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8_{7AD35381-6CBC-4DA8-9C11-C3CACAEDBEB3}" xr6:coauthVersionLast="47" xr6:coauthVersionMax="47" xr10:uidLastSave="{00000000-0000-0000-0000-000000000000}"/>
  <bookViews>
    <workbookView xWindow="-120" yWindow="-120" windowWidth="20730" windowHeight="11160" tabRatio="826" activeTab="3" xr2:uid="{00000000-000D-0000-FFFF-FFFF00000000}"/>
  </bookViews>
  <sheets>
    <sheet name="Sheet1" sheetId="25" r:id="rId1"/>
    <sheet name="Selected Data" sheetId="24" r:id="rId2"/>
    <sheet name="Notable Assumptions" sheetId="33" r:id="rId3"/>
    <sheet name="Summary" sheetId="20" r:id="rId4"/>
    <sheet name="Authorized Rev Req" sheetId="2" r:id="rId5"/>
    <sheet name="Incremental Rev Req" sheetId="5" r:id="rId6"/>
    <sheet name="SAR and RAR" sheetId="19" r:id="rId7"/>
    <sheet name="Res Bill Impact" sheetId="18" r:id="rId8"/>
    <sheet name="SAR and AR (B-1)" sheetId="26" r:id="rId9"/>
    <sheet name="Bill Impact (B-1)" sheetId="27" r:id="rId10"/>
    <sheet name="Hypothetical Summary" sheetId="17" r:id="rId11"/>
    <sheet name="Hypothetical SAR and RAR" sheetId="23" r:id="rId12"/>
    <sheet name="Hypothetical Res Bill Impact" sheetId="22" r:id="rId13"/>
    <sheet name="Hypo. Bill Impact (B-1)" sheetId="29" r:id="rId14"/>
    <sheet name="Hypothetical SAR and RAR (B-1)" sheetId="30" r:id="rId15"/>
  </sheets>
  <definedNames>
    <definedName name="___huh2" localSheetId="9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__huh2" localSheetId="13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__huh2" localSheetId="8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__huh2" localSheetId="1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_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2017_Labor_Escalation_Rate">#REF!</definedName>
    <definedName name="_4ColName">SUBSTITUTE(SUBSTITUTE(SUBSTITUTE(SUBSTITUTE(SUBSTITUTE(TRIM(T(#REF!)&amp;"."&amp;T(#REF!)&amp;"."&amp;T(#REF!)&amp;"."&amp;T(#REF!)&amp;"."),"+","and"),"%","pct"),"-",""),"..","."),"&amp;","and")</definedName>
    <definedName name="_FPV1">#REF!</definedName>
    <definedName name="_FPV3">#REF!</definedName>
    <definedName name="_huh2" localSheetId="9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huh2" localSheetId="13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huh2" localSheetId="8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huh2" localSheetId="1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SPV1">#REF!</definedName>
    <definedName name="_SPV3">#REF!</definedName>
    <definedName name="Actuals">#REF!</definedName>
    <definedName name="Aflag" localSheetId="9">#REF!</definedName>
    <definedName name="Aflag" localSheetId="13">#REF!</definedName>
    <definedName name="Aflag" localSheetId="12">#REF!</definedName>
    <definedName name="Aflag" localSheetId="11">#REF!</definedName>
    <definedName name="Aflag" localSheetId="14">#REF!</definedName>
    <definedName name="Aflag" localSheetId="8">#REF!</definedName>
    <definedName name="Aflag" localSheetId="1">#REF!</definedName>
    <definedName name="Aflag">#REF!</definedName>
    <definedName name="Aflag2" localSheetId="12">#REF!</definedName>
    <definedName name="Aflag2" localSheetId="11">#REF!</definedName>
    <definedName name="Aflag2" localSheetId="14">#REF!</definedName>
    <definedName name="Aflag2" localSheetId="1">#REF!</definedName>
    <definedName name="Aflag2">#REF!</definedName>
    <definedName name="again" localSheetId="9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gain" localSheetId="13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gain" localSheetId="8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gain" localSheetId="1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gain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IR">#REF!</definedName>
    <definedName name="Balancing_Authority">#REF!</definedName>
    <definedName name="BondsIssued">#REF!</definedName>
    <definedName name="Boolean">#REF!</definedName>
    <definedName name="bt_d">#REF!</definedName>
    <definedName name="Bundled_Unbundled">#REF!</definedName>
    <definedName name="CBond" localSheetId="9">#REF!</definedName>
    <definedName name="CBond" localSheetId="13">#REF!</definedName>
    <definedName name="CBond" localSheetId="12">#REF!</definedName>
    <definedName name="CBond" localSheetId="11">#REF!</definedName>
    <definedName name="CBond" localSheetId="14">#REF!</definedName>
    <definedName name="CBond" localSheetId="8">#REF!</definedName>
    <definedName name="CBond" localSheetId="1">#REF!</definedName>
    <definedName name="CBond">#REF!</definedName>
    <definedName name="CECRA" localSheetId="12">#REF!</definedName>
    <definedName name="CECRA" localSheetId="11">#REF!</definedName>
    <definedName name="CECRA" localSheetId="14">#REF!</definedName>
    <definedName name="CECRA" localSheetId="1">#REF!</definedName>
    <definedName name="CECRA">#REF!</definedName>
    <definedName name="Construction_Status">#REF!</definedName>
    <definedName name="copy" localSheetId="9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" localSheetId="13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" localSheetId="8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" localSheetId="1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print" localSheetId="9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print" localSheetId="13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print" localSheetId="8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print" localSheetId="1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rap" localSheetId="9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ap" localSheetId="13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ap" localSheetId="8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ap" localSheetId="1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evalloc" localSheetId="9" hidden="1">{#N/A,#N/A,FALSE,"RRQ inputs ";#N/A,#N/A,FALSE,"FERC Rev @ PR";#N/A,#N/A,FALSE,"Distribution Revenue Allocation";#N/A,#N/A,FALSE,"Nonallocated Revenues";#N/A,#N/A,FALSE,"MC Revenues-03 sales, 96 MC's";#N/A,#N/A,FALSE,"FTA"}</definedName>
    <definedName name="copyrevalloc" localSheetId="13" hidden="1">{#N/A,#N/A,FALSE,"RRQ inputs ";#N/A,#N/A,FALSE,"FERC Rev @ PR";#N/A,#N/A,FALSE,"Distribution Revenue Allocation";#N/A,#N/A,FALSE,"Nonallocated Revenues";#N/A,#N/A,FALSE,"MC Revenues-03 sales, 96 MC's";#N/A,#N/A,FALSE,"FTA"}</definedName>
    <definedName name="copyrevalloc" localSheetId="8" hidden="1">{#N/A,#N/A,FALSE,"RRQ inputs ";#N/A,#N/A,FALSE,"FERC Rev @ PR";#N/A,#N/A,FALSE,"Distribution Revenue Allocation";#N/A,#N/A,FALSE,"Nonallocated Revenues";#N/A,#N/A,FALSE,"MC Revenues-03 sales, 96 MC's";#N/A,#N/A,FALSE,"FTA"}</definedName>
    <definedName name="copyrevalloc" localSheetId="1" hidden="1">{#N/A,#N/A,FALSE,"RRQ inputs ";#N/A,#N/A,FALSE,"FERC Rev @ PR";#N/A,#N/A,FALSE,"Distribution Revenue Allocation";#N/A,#N/A,FALSE,"Nonallocated Revenues";#N/A,#N/A,FALSE,"MC Revenues-03 sales, 96 MC's";#N/A,#N/A,FALSE,"FTA"}</definedName>
    <definedName name="copy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copyschudel" localSheetId="9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pyschudel" localSheetId="13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pyschudel" localSheetId="8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pyschudel" localSheetId="1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py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RE_U" localSheetId="9">#REF!</definedName>
    <definedName name="CORE_U" localSheetId="13">#REF!</definedName>
    <definedName name="CORE_U" localSheetId="12">#REF!</definedName>
    <definedName name="CORE_U" localSheetId="11">#REF!</definedName>
    <definedName name="CORE_U" localSheetId="14">#REF!</definedName>
    <definedName name="CORE_U" localSheetId="8">#REF!</definedName>
    <definedName name="CORE_U" localSheetId="1">#REF!</definedName>
    <definedName name="CORE_U">#REF!</definedName>
    <definedName name="Country">#REF!</definedName>
    <definedName name="CPUC_Approval_Status">#REF!</definedName>
    <definedName name="CREZ">#REF!</definedName>
    <definedName name="CTAC" localSheetId="9">#REF!</definedName>
    <definedName name="CTAC" localSheetId="13">#REF!</definedName>
    <definedName name="CTAC" localSheetId="12">#REF!</definedName>
    <definedName name="CTAC" localSheetId="11">#REF!</definedName>
    <definedName name="CTAC" localSheetId="14">#REF!</definedName>
    <definedName name="CTAC" localSheetId="8">#REF!</definedName>
    <definedName name="CTAC" localSheetId="1">#REF!</definedName>
    <definedName name="CTAC">#REF!</definedName>
    <definedName name="CTRBA" localSheetId="12">#REF!</definedName>
    <definedName name="CTRBA" localSheetId="11">#REF!</definedName>
    <definedName name="CTRBA" localSheetId="14">#REF!</definedName>
    <definedName name="CTRBA" localSheetId="1">#REF!</definedName>
    <definedName name="CTRBA">#REF!</definedName>
    <definedName name="DACRS" localSheetId="9">SUM(#REF!)</definedName>
    <definedName name="DACRS" localSheetId="13">SUM(#REF!)</definedName>
    <definedName name="DACRS" localSheetId="12">SUM(#REF!)</definedName>
    <definedName name="DACRS" localSheetId="11">SUM(#REF!)</definedName>
    <definedName name="DACRS" localSheetId="14">SUM(#REF!)</definedName>
    <definedName name="DACRS" localSheetId="8">SUM(#REF!)</definedName>
    <definedName name="DACRS" localSheetId="1">SUM(#REF!)</definedName>
    <definedName name="DACRS">SUM(#REF!)</definedName>
    <definedName name="_xlnm.Database" localSheetId="12">#REF!</definedName>
    <definedName name="_xlnm.Database" localSheetId="11">#REF!</definedName>
    <definedName name="_xlnm.Database" localSheetId="14">#REF!</definedName>
    <definedName name="_xlnm.Database">#REF!</definedName>
    <definedName name="Dchoice" localSheetId="12">#REF!</definedName>
    <definedName name="Dchoice" localSheetId="11">#REF!</definedName>
    <definedName name="Dchoice" localSheetId="14">#REF!</definedName>
    <definedName name="Dchoice" localSheetId="1">#REF!</definedName>
    <definedName name="Dchoice">#REF!</definedName>
    <definedName name="Delay_Termination_Reason">#REF!</definedName>
    <definedName name="DeliverabilityStatusOptions">#REF!</definedName>
    <definedName name="Distflag" localSheetId="9">#REF!</definedName>
    <definedName name="Distflag" localSheetId="13">#REF!</definedName>
    <definedName name="Distflag" localSheetId="12">#REF!</definedName>
    <definedName name="Distflag" localSheetId="11">#REF!</definedName>
    <definedName name="Distflag" localSheetId="14">#REF!</definedName>
    <definedName name="Distflag" localSheetId="8">#REF!</definedName>
    <definedName name="Distflag" localSheetId="1">#REF!</definedName>
    <definedName name="Distflag">#REF!</definedName>
    <definedName name="Dmdmult" localSheetId="12">#REF!</definedName>
    <definedName name="Dmdmult" localSheetId="11">#REF!</definedName>
    <definedName name="Dmdmult" localSheetId="14">#REF!</definedName>
    <definedName name="Dmdmult" localSheetId="1">#REF!</definedName>
    <definedName name="Dmdmult">#REF!</definedName>
    <definedName name="EPC_Contract_Status">#REF!</definedName>
    <definedName name="F_E">#REF!</definedName>
    <definedName name="Facility_Status">#REF!</definedName>
    <definedName name="FAIR">#REF!</definedName>
    <definedName name="FBUILD">#REF!</definedName>
    <definedName name="FCOMM">#REF!</definedName>
    <definedName name="FCOMP">#REF!</definedName>
    <definedName name="Financing_Status">#REF!</definedName>
    <definedName name="Flat" localSheetId="9">#REF!</definedName>
    <definedName name="Flat" localSheetId="13">#REF!</definedName>
    <definedName name="Flat" localSheetId="12">#REF!</definedName>
    <definedName name="Flat" localSheetId="11">#REF!</definedName>
    <definedName name="Flat" localSheetId="14">#REF!</definedName>
    <definedName name="Flat" localSheetId="8">#REF!</definedName>
    <definedName name="Flat" localSheetId="1">#REF!</definedName>
    <definedName name="Flat">#REF!</definedName>
    <definedName name="FM">#REF!</definedName>
    <definedName name="FOPROD">#REF!</definedName>
    <definedName name="FSONG2">#REF!</definedName>
    <definedName name="FSTEAM">#REF!</definedName>
    <definedName name="FT_D">#REF!</definedName>
    <definedName name="gsur">#REF!</definedName>
    <definedName name="head1" localSheetId="9">#REF!</definedName>
    <definedName name="head1" localSheetId="13">#REF!</definedName>
    <definedName name="head1" localSheetId="12">#REF!</definedName>
    <definedName name="head1" localSheetId="11">#REF!</definedName>
    <definedName name="head1" localSheetId="14">#REF!</definedName>
    <definedName name="head1" localSheetId="8">#REF!</definedName>
    <definedName name="head1" localSheetId="1">#REF!</definedName>
    <definedName name="head1">#REF!</definedName>
    <definedName name="head10" localSheetId="12">#REF!</definedName>
    <definedName name="head10" localSheetId="11">#REF!</definedName>
    <definedName name="head10" localSheetId="14">#REF!</definedName>
    <definedName name="head10" localSheetId="1">#REF!</definedName>
    <definedName name="head10">#REF!</definedName>
    <definedName name="head11" localSheetId="12">#REF!</definedName>
    <definedName name="head11" localSheetId="11">#REF!</definedName>
    <definedName name="head11" localSheetId="14">#REF!</definedName>
    <definedName name="head11" localSheetId="1">#REF!</definedName>
    <definedName name="head11">#REF!</definedName>
    <definedName name="head2" localSheetId="12">#REF!</definedName>
    <definedName name="head2" localSheetId="11">#REF!</definedName>
    <definedName name="head2" localSheetId="14">#REF!</definedName>
    <definedName name="head2" localSheetId="1">#REF!</definedName>
    <definedName name="head2">#REF!</definedName>
    <definedName name="head3" localSheetId="12">#REF!</definedName>
    <definedName name="head3" localSheetId="11">#REF!</definedName>
    <definedName name="head3" localSheetId="14">#REF!</definedName>
    <definedName name="head3" localSheetId="1">#REF!</definedName>
    <definedName name="head3">#REF!</definedName>
    <definedName name="head4" localSheetId="12">#REF!</definedName>
    <definedName name="head4" localSheetId="11">#REF!</definedName>
    <definedName name="head4" localSheetId="14">#REF!</definedName>
    <definedName name="head4" localSheetId="1">#REF!</definedName>
    <definedName name="head4">#REF!</definedName>
    <definedName name="head5" localSheetId="12">#REF!</definedName>
    <definedName name="head5" localSheetId="11">#REF!</definedName>
    <definedName name="head5" localSheetId="14">#REF!</definedName>
    <definedName name="head5" localSheetId="1">#REF!</definedName>
    <definedName name="head5">#REF!</definedName>
    <definedName name="head6" localSheetId="12">#REF!</definedName>
    <definedName name="head6" localSheetId="11">#REF!</definedName>
    <definedName name="head6" localSheetId="14">#REF!</definedName>
    <definedName name="head6" localSheetId="1">#REF!</definedName>
    <definedName name="head6">#REF!</definedName>
    <definedName name="head7" localSheetId="12">#REF!</definedName>
    <definedName name="head7" localSheetId="11">#REF!</definedName>
    <definedName name="head7" localSheetId="14">#REF!</definedName>
    <definedName name="head7" localSheetId="1">#REF!</definedName>
    <definedName name="head7">#REF!</definedName>
    <definedName name="head8" localSheetId="12">#REF!</definedName>
    <definedName name="head8" localSheetId="11">#REF!</definedName>
    <definedName name="head8" localSheetId="14">#REF!</definedName>
    <definedName name="head8" localSheetId="1">#REF!</definedName>
    <definedName name="head8">#REF!</definedName>
    <definedName name="head9" localSheetId="12">#REF!</definedName>
    <definedName name="head9" localSheetId="11">#REF!</definedName>
    <definedName name="head9" localSheetId="14">#REF!</definedName>
    <definedName name="head9" localSheetId="1">#REF!</definedName>
    <definedName name="head9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"10/13/1999"</definedName>
    <definedName name="HTML_LineAfter" hidden="1">FALSE</definedName>
    <definedName name="HTML_LineBefore" hidden="1">FALSE</definedName>
    <definedName name="HTML_Name" hidden="1">"Sharim Chaudhury"</definedName>
    <definedName name="HTML_OBDlg2" hidden="1">TRUE</definedName>
    <definedName name="HTML_OBDlg4" hidden="1">TRUE</definedName>
    <definedName name="HTML_OS" hidden="1">0</definedName>
    <definedName name="HTML_PathFile" hidden="1">"W:\19991013\default.htm"</definedName>
    <definedName name="HTML_Title" hidden="1">"Daily MTM  Report"</definedName>
    <definedName name="huh" localSheetId="9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" localSheetId="13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" localSheetId="8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" localSheetId="1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nd" localSheetId="9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" localSheetId="13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" localSheetId="8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" localSheetId="1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localSheetId="9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localSheetId="13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localSheetId="8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localSheetId="1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print" localSheetId="9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print" localSheetId="13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print" localSheetId="8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print" localSheetId="1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rap" localSheetId="9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ap" localSheetId="13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ap" localSheetId="8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ap" localSheetId="1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evalloc" localSheetId="9" hidden="1">{#N/A,#N/A,FALSE,"RRQ inputs ";#N/A,#N/A,FALSE,"FERC Rev @ PR";#N/A,#N/A,FALSE,"Distribution Revenue Allocation";#N/A,#N/A,FALSE,"Nonallocated Revenues";#N/A,#N/A,FALSE,"MC Revenues-03 sales, 96 MC's";#N/A,#N/A,FALSE,"FTA"}</definedName>
    <definedName name="huhrevalloc" localSheetId="13" hidden="1">{#N/A,#N/A,FALSE,"RRQ inputs ";#N/A,#N/A,FALSE,"FERC Rev @ PR";#N/A,#N/A,FALSE,"Distribution Revenue Allocation";#N/A,#N/A,FALSE,"Nonallocated Revenues";#N/A,#N/A,FALSE,"MC Revenues-03 sales, 96 MC's";#N/A,#N/A,FALSE,"FTA"}</definedName>
    <definedName name="huhrevalloc" localSheetId="8" hidden="1">{#N/A,#N/A,FALSE,"RRQ inputs ";#N/A,#N/A,FALSE,"FERC Rev @ PR";#N/A,#N/A,FALSE,"Distribution Revenue Allocation";#N/A,#N/A,FALSE,"Nonallocated Revenues";#N/A,#N/A,FALSE,"MC Revenues-03 sales, 96 MC's";#N/A,#N/A,FALSE,"FTA"}</definedName>
    <definedName name="huhrevalloc" localSheetId="1" hidden="1">{#N/A,#N/A,FALSE,"RRQ inputs ";#N/A,#N/A,FALSE,"FERC Rev @ PR";#N/A,#N/A,FALSE,"Distribution Revenue Allocation";#N/A,#N/A,FALSE,"Nonallocated Revenues";#N/A,#N/A,FALSE,"MC Revenues-03 sales, 96 MC's";#N/A,#N/A,FALSE,"FTA"}</definedName>
    <definedName name="huh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huhschudel" localSheetId="9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huhschudel" localSheetId="13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huhschudel" localSheetId="8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huhschudel" localSheetId="1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huh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IterationType">#REF!</definedName>
    <definedName name="LineLoss">#REF!</definedName>
    <definedName name="LocalAreaOptions">#REF!</definedName>
    <definedName name="LOLD">1</definedName>
    <definedName name="LOLD_Table">7</definedName>
    <definedName name="Mflag" localSheetId="9">#REF!</definedName>
    <definedName name="Mflag" localSheetId="13">#REF!</definedName>
    <definedName name="Mflag" localSheetId="12">#REF!</definedName>
    <definedName name="Mflag" localSheetId="11">#REF!</definedName>
    <definedName name="Mflag" localSheetId="14">#REF!</definedName>
    <definedName name="Mflag" localSheetId="8">#REF!</definedName>
    <definedName name="Mflag" localSheetId="1">#REF!</definedName>
    <definedName name="Mflag">#REF!</definedName>
    <definedName name="NCORE_U" localSheetId="12">#REF!</definedName>
    <definedName name="NCORE_U" localSheetId="11">#REF!</definedName>
    <definedName name="NCORE_U" localSheetId="14">#REF!</definedName>
    <definedName name="NCORE_U" localSheetId="1">#REF!</definedName>
    <definedName name="NCORE_U">#REF!</definedName>
    <definedName name="ND">#REF!</definedName>
    <definedName name="Out_Start_Date">#REF!</definedName>
    <definedName name="Out_Term_Date">#REF!</definedName>
    <definedName name="Overall_Project_Status">#REF!</definedName>
    <definedName name="Party_that_Terminated_Contract">#REF!</definedName>
    <definedName name="Path26DesignationOptions">#REF!</definedName>
    <definedName name="PBond" localSheetId="9">#REF!</definedName>
    <definedName name="PBond" localSheetId="13">#REF!</definedName>
    <definedName name="PBond" localSheetId="12">#REF!</definedName>
    <definedName name="PBond" localSheetId="11">#REF!</definedName>
    <definedName name="PBond" localSheetId="14">#REF!</definedName>
    <definedName name="PBond" localSheetId="8">#REF!</definedName>
    <definedName name="PBond" localSheetId="1">#REF!</definedName>
    <definedName name="PBond">#REF!</definedName>
    <definedName name="PCC_Classification">#REF!</definedName>
    <definedName name="PECRA" localSheetId="9">#REF!</definedName>
    <definedName name="PECRA" localSheetId="13">#REF!</definedName>
    <definedName name="PECRA" localSheetId="12">#REF!</definedName>
    <definedName name="PECRA" localSheetId="11">#REF!</definedName>
    <definedName name="PECRA" localSheetId="14">#REF!</definedName>
    <definedName name="PECRA" localSheetId="8">#REF!</definedName>
    <definedName name="PECRA" localSheetId="1">#REF!</definedName>
    <definedName name="PECRA">#REF!</definedName>
    <definedName name="Print_All_Tariff">#REF!</definedName>
    <definedName name="Program_Origination">#REF!</definedName>
    <definedName name="RAM_Auction_Round">#REF!</definedName>
    <definedName name="record1">#REF!</definedName>
    <definedName name="Record2">#REF!</definedName>
    <definedName name="Reporting_LSE">#REF!</definedName>
    <definedName name="Resource_Designation">#REF!</definedName>
    <definedName name="SAIR">#REF!</definedName>
    <definedName name="SAPBEXhrIndnt" hidden="1">"Wide"</definedName>
    <definedName name="SAPsysID" hidden="1">"708C5W7SBKP804JT78WJ0JNKI"</definedName>
    <definedName name="SAPwbID" hidden="1">"ARS"</definedName>
    <definedName name="SBUILD">#REF!</definedName>
    <definedName name="SchedulingID">#REF!</definedName>
    <definedName name="SCOMM">#REF!</definedName>
    <definedName name="SCOMP">#REF!</definedName>
    <definedName name="sds">#REF!</definedName>
    <definedName name="Season">#REF!</definedName>
    <definedName name="Sflag" localSheetId="9">#REF!</definedName>
    <definedName name="Sflag" localSheetId="13">#REF!</definedName>
    <definedName name="Sflag" localSheetId="12">#REF!</definedName>
    <definedName name="Sflag" localSheetId="11">#REF!</definedName>
    <definedName name="Sflag" localSheetId="14">#REF!</definedName>
    <definedName name="Sflag" localSheetId="8">#REF!</definedName>
    <definedName name="Sflag" localSheetId="1">#REF!</definedName>
    <definedName name="Sflag">#REF!</definedName>
    <definedName name="SM">#REF!</definedName>
    <definedName name="SOPROD">#REF!</definedName>
    <definedName name="SSONG2">#REF!</definedName>
    <definedName name="SSTEAM">#REF!</definedName>
    <definedName name="ST_D">#REF!</definedName>
    <definedName name="Status_of_Facility_Study___Phase_II_Study">#REF!</definedName>
    <definedName name="Status_of_Feasibility_Study">#REF!</definedName>
    <definedName name="Status_of_Interconnection_Agreement">#REF!</definedName>
    <definedName name="Status_of_System_Impact_Study___Phase_I_Study">#REF!</definedName>
    <definedName name="STEAM">#REF!</definedName>
    <definedName name="TAC">#REF!</definedName>
    <definedName name="TACCalcOptions">#REF!</definedName>
    <definedName name="Technology_SubType">#REF!</definedName>
    <definedName name="Technology_Type">#REF!</definedName>
    <definedName name="TRBA">#REF!</definedName>
    <definedName name="wrn.AG." localSheetId="9" hidden="1">{#N/A,#N/A,FALSE,"AG-1";#N/A,#N/A,FALSE,"AG-R";#N/A,#N/A,FALSE,"AG-V";#N/A,#N/A,FALSE,"AG-4";#N/A,#N/A,FALSE,"AG-5";#N/A,#N/A,FALSE,"AG-6";#N/A,#N/A,FALSE,"AG-7"}</definedName>
    <definedName name="wrn.AG." localSheetId="13" hidden="1">{#N/A,#N/A,FALSE,"AG-1";#N/A,#N/A,FALSE,"AG-R";#N/A,#N/A,FALSE,"AG-V";#N/A,#N/A,FALSE,"AG-4";#N/A,#N/A,FALSE,"AG-5";#N/A,#N/A,FALSE,"AG-6";#N/A,#N/A,FALSE,"AG-7"}</definedName>
    <definedName name="wrn.AG." localSheetId="8" hidden="1">{#N/A,#N/A,FALSE,"AG-1";#N/A,#N/A,FALSE,"AG-R";#N/A,#N/A,FALSE,"AG-V";#N/A,#N/A,FALSE,"AG-4";#N/A,#N/A,FALSE,"AG-5";#N/A,#N/A,FALSE,"AG-6";#N/A,#N/A,FALSE,"AG-7"}</definedName>
    <definedName name="wrn.AG." localSheetId="1" hidden="1">{#N/A,#N/A,FALSE,"AG-1";#N/A,#N/A,FALSE,"AG-R";#N/A,#N/A,FALSE,"AG-V";#N/A,#N/A,FALSE,"AG-4";#N/A,#N/A,FALSE,"AG-5";#N/A,#N/A,FALSE,"AG-6";#N/A,#N/A,FALSE,"AG-7"}</definedName>
    <definedName name="wrn.AG." hidden="1">{#N/A,#N/A,FALSE,"AG-1";#N/A,#N/A,FALSE,"AG-R";#N/A,#N/A,FALSE,"AG-V";#N/A,#N/A,FALSE,"AG-4";#N/A,#N/A,FALSE,"AG-5";#N/A,#N/A,FALSE,"AG-6";#N/A,#N/A,FALSE,"AG-7"}</definedName>
    <definedName name="wrn.AGa." localSheetId="9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a." localSheetId="13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a." localSheetId="8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a." localSheetId="1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a.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b." localSheetId="9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Agb." localSheetId="13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Agb." localSheetId="8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Agb." localSheetId="1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Agb.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comind." localSheetId="9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comind." localSheetId="13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comind." localSheetId="8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comind." localSheetId="1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comind.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Distr." localSheetId="9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Distr." localSheetId="13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Distr." localSheetId="8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Distr." localSheetId="1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Distr.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G_CSP_REPORT." localSheetId="9" hidden="1">{#N/A,#N/A,FALSE,"Summary";#N/A,#N/A,FALSE,"Tariff G-CSP &amp; G-SUR";#N/A,#N/A,FALSE,"Amortization Calculations";#N/A,#N/A,FALSE,"Contracted Volumes";#N/A,#N/A,FALSE,"Reservation"}</definedName>
    <definedName name="wrn.G_CSP_REPORT." localSheetId="13" hidden="1">{#N/A,#N/A,FALSE,"Summary";#N/A,#N/A,FALSE,"Tariff G-CSP &amp; G-SUR";#N/A,#N/A,FALSE,"Amortization Calculations";#N/A,#N/A,FALSE,"Contracted Volumes";#N/A,#N/A,FALSE,"Reservation"}</definedName>
    <definedName name="wrn.G_CSP_REPORT." localSheetId="8" hidden="1">{#N/A,#N/A,FALSE,"Summary";#N/A,#N/A,FALSE,"Tariff G-CSP &amp; G-SUR";#N/A,#N/A,FALSE,"Amortization Calculations";#N/A,#N/A,FALSE,"Contracted Volumes";#N/A,#N/A,FALSE,"Reservation"}</definedName>
    <definedName name="wrn.G_CSP_REPORT." localSheetId="1" hidden="1">{#N/A,#N/A,FALSE,"Summary";#N/A,#N/A,FALSE,"Tariff G-CSP &amp; G-SUR";#N/A,#N/A,FALSE,"Amortization Calculations";#N/A,#N/A,FALSE,"Contracted Volumes";#N/A,#N/A,FALSE,"Reservation"}</definedName>
    <definedName name="wrn.G_CSP_REPORT." hidden="1">{#N/A,#N/A,FALSE,"Summary";#N/A,#N/A,FALSE,"Tariff G-CSP &amp; G-SUR";#N/A,#N/A,FALSE,"Amortization Calculations";#N/A,#N/A,FALSE,"Contracted Volumes";#N/A,#N/A,FALSE,"Reservation"}</definedName>
    <definedName name="wrn.ND." localSheetId="9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ND." localSheetId="13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ND." localSheetId="8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ND." localSheetId="1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ND.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Print._.Out." localSheetId="9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Print._.Out." localSheetId="13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Print._.Out." localSheetId="8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Print._.Out." localSheetId="1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Print._.Out.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RAP." localSheetId="9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AP." localSheetId="13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AP." localSheetId="8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AP." localSheetId="1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AP.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es." localSheetId="9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s." localSheetId="13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s." localSheetId="8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s." localSheetId="1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s.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v._.Alloc." localSheetId="9" hidden="1">{#N/A,#N/A,FALSE,"RRQ inputs ";#N/A,#N/A,FALSE,"FERC Rev @ PR";#N/A,#N/A,FALSE,"Distribution Revenue Allocation";#N/A,#N/A,FALSE,"Nonallocated Revenues";#N/A,#N/A,FALSE,"MC Revenues-03 sales, 96 MC's";#N/A,#N/A,FALSE,"FTA"}</definedName>
    <definedName name="wrn.Rev._.Alloc." localSheetId="13" hidden="1">{#N/A,#N/A,FALSE,"RRQ inputs ";#N/A,#N/A,FALSE,"FERC Rev @ PR";#N/A,#N/A,FALSE,"Distribution Revenue Allocation";#N/A,#N/A,FALSE,"Nonallocated Revenues";#N/A,#N/A,FALSE,"MC Revenues-03 sales, 96 MC's";#N/A,#N/A,FALSE,"FTA"}</definedName>
    <definedName name="wrn.Rev._.Alloc." localSheetId="8" hidden="1">{#N/A,#N/A,FALSE,"RRQ inputs ";#N/A,#N/A,FALSE,"FERC Rev @ PR";#N/A,#N/A,FALSE,"Distribution Revenue Allocation";#N/A,#N/A,FALSE,"Nonallocated Revenues";#N/A,#N/A,FALSE,"MC Revenues-03 sales, 96 MC's";#N/A,#N/A,FALSE,"FTA"}</definedName>
    <definedName name="wrn.Rev._.Alloc." localSheetId="1" hidden="1">{#N/A,#N/A,FALSE,"RRQ inputs ";#N/A,#N/A,FALSE,"FERC Rev @ PR";#N/A,#N/A,FALSE,"Distribution Revenue Allocation";#N/A,#N/A,FALSE,"Nonallocated Revenues";#N/A,#N/A,FALSE,"MC Revenues-03 sales, 96 MC's";#N/A,#N/A,FALSE,"FTA"}</definedName>
    <definedName name="wrn.Rev._.Alloc." hidden="1">{#N/A,#N/A,FALSE,"RRQ inputs ";#N/A,#N/A,FALSE,"FERC Rev @ PR";#N/A,#N/A,FALSE,"Distribution Revenue Allocation";#N/A,#N/A,FALSE,"Nonallocated Revenues";#N/A,#N/A,FALSE,"MC Revenues-03 sales, 96 MC's";#N/A,#N/A,FALSE,"FTA"}</definedName>
    <definedName name="wrn.schedules." localSheetId="9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wrn.schedules." localSheetId="13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wrn.schedules." localSheetId="8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wrn.schedules." localSheetId="1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wrn.schedules.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</definedNames>
  <calcPr calcId="191029" calcMode="autoNoTable" iterate="1" iterateCount="2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29" l="1"/>
  <c r="R30" i="30"/>
  <c r="Q30" i="30"/>
  <c r="P30" i="30"/>
  <c r="O30" i="30"/>
  <c r="H30" i="30"/>
  <c r="G30" i="30"/>
  <c r="F30" i="30"/>
  <c r="E30" i="30"/>
  <c r="R29" i="30"/>
  <c r="Q29" i="30"/>
  <c r="P29" i="30"/>
  <c r="H29" i="30"/>
  <c r="G29" i="30"/>
  <c r="F29" i="30"/>
  <c r="P28" i="30"/>
  <c r="O28" i="30"/>
  <c r="F28" i="30"/>
  <c r="E28" i="30"/>
  <c r="W25" i="30"/>
  <c r="W24" i="30"/>
  <c r="E23" i="30"/>
  <c r="Y22" i="30"/>
  <c r="U21" i="30"/>
  <c r="T21" i="30"/>
  <c r="S21" i="30"/>
  <c r="R21" i="30"/>
  <c r="Q21" i="30"/>
  <c r="P21" i="30"/>
  <c r="O21" i="30"/>
  <c r="N21" i="30"/>
  <c r="M21" i="30"/>
  <c r="L21" i="30"/>
  <c r="K21" i="30"/>
  <c r="J21" i="30"/>
  <c r="I21" i="30"/>
  <c r="H21" i="30"/>
  <c r="G21" i="30"/>
  <c r="U20" i="30"/>
  <c r="T20" i="30"/>
  <c r="S20" i="30"/>
  <c r="R20" i="30"/>
  <c r="Q20" i="30"/>
  <c r="P20" i="30"/>
  <c r="O20" i="30"/>
  <c r="N20" i="30"/>
  <c r="M20" i="30"/>
  <c r="L20" i="30"/>
  <c r="K20" i="30"/>
  <c r="J20" i="30"/>
  <c r="I20" i="30"/>
  <c r="H20" i="30"/>
  <c r="G20" i="30"/>
  <c r="Y19" i="30"/>
  <c r="C18" i="30"/>
  <c r="C17" i="30"/>
  <c r="C16" i="30"/>
  <c r="C15" i="30"/>
  <c r="C14" i="30"/>
  <c r="C13" i="30"/>
  <c r="C12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G11" i="30"/>
  <c r="F11" i="30"/>
  <c r="C11" i="30"/>
  <c r="T10" i="30"/>
  <c r="S10" i="30"/>
  <c r="R10" i="30"/>
  <c r="Q10" i="30"/>
  <c r="P10" i="30"/>
  <c r="O10" i="30"/>
  <c r="N10" i="30"/>
  <c r="M10" i="30"/>
  <c r="L10" i="30"/>
  <c r="K10" i="30"/>
  <c r="J10" i="30"/>
  <c r="I10" i="30"/>
  <c r="H10" i="30"/>
  <c r="G10" i="30"/>
  <c r="F10" i="30"/>
  <c r="C10" i="30"/>
  <c r="C9" i="30"/>
  <c r="C8" i="30"/>
  <c r="C7" i="30"/>
  <c r="S6" i="30"/>
  <c r="R6" i="30"/>
  <c r="Q6" i="30"/>
  <c r="P6" i="30"/>
  <c r="O6" i="30"/>
  <c r="N6" i="30"/>
  <c r="M6" i="30"/>
  <c r="L6" i="30"/>
  <c r="K6" i="30"/>
  <c r="J6" i="30"/>
  <c r="I6" i="30"/>
  <c r="H6" i="30"/>
  <c r="G6" i="30"/>
  <c r="F6" i="30"/>
  <c r="C6" i="30"/>
  <c r="C5" i="30"/>
  <c r="C4" i="30"/>
  <c r="AB41" i="29"/>
  <c r="AA41" i="29"/>
  <c r="Z41" i="29"/>
  <c r="AB39" i="29"/>
  <c r="AA39" i="29"/>
  <c r="Z39" i="29"/>
  <c r="AB38" i="29"/>
  <c r="AA38" i="29"/>
  <c r="Z38" i="29"/>
  <c r="AB37" i="29"/>
  <c r="AA37" i="29"/>
  <c r="Z37" i="29"/>
  <c r="AB36" i="29"/>
  <c r="AA36" i="29"/>
  <c r="Z36" i="29"/>
  <c r="AB35" i="29"/>
  <c r="AA35" i="29"/>
  <c r="Z35" i="29"/>
  <c r="H35" i="29"/>
  <c r="G35" i="29"/>
  <c r="F35" i="29"/>
  <c r="E35" i="29"/>
  <c r="D35" i="29"/>
  <c r="C35" i="29"/>
  <c r="AB34" i="29"/>
  <c r="AA34" i="29"/>
  <c r="Z34" i="29"/>
  <c r="H34" i="29"/>
  <c r="G34" i="29"/>
  <c r="F34" i="29"/>
  <c r="E34" i="29"/>
  <c r="D34" i="29"/>
  <c r="C34" i="29"/>
  <c r="AB33" i="29"/>
  <c r="AA33" i="29"/>
  <c r="Z33" i="29"/>
  <c r="Y33" i="29"/>
  <c r="H33" i="29"/>
  <c r="G33" i="29"/>
  <c r="F33" i="29"/>
  <c r="E33" i="29"/>
  <c r="D33" i="29"/>
  <c r="C33" i="29"/>
  <c r="E31" i="29"/>
  <c r="C31" i="29"/>
  <c r="E28" i="29"/>
  <c r="D28" i="29"/>
  <c r="E27" i="29"/>
  <c r="D27" i="29"/>
  <c r="E26" i="29"/>
  <c r="D26" i="29"/>
  <c r="E25" i="29"/>
  <c r="D25" i="29"/>
  <c r="W24" i="29"/>
  <c r="E24" i="29"/>
  <c r="D24" i="29"/>
  <c r="W23" i="29"/>
  <c r="E23" i="29"/>
  <c r="D23" i="29"/>
  <c r="W22" i="29"/>
  <c r="E22" i="29"/>
  <c r="D22" i="29"/>
  <c r="D21" i="29"/>
  <c r="I15" i="29"/>
  <c r="G15" i="29"/>
  <c r="I14" i="29"/>
  <c r="H14" i="29"/>
  <c r="G14" i="29"/>
  <c r="E14" i="29"/>
  <c r="I12" i="29"/>
  <c r="H12" i="29"/>
  <c r="G12" i="29"/>
  <c r="E12" i="29"/>
  <c r="I11" i="29"/>
  <c r="H11" i="29"/>
  <c r="G11" i="29"/>
  <c r="E11" i="29"/>
  <c r="I10" i="29"/>
  <c r="H10" i="29"/>
  <c r="G10" i="29"/>
  <c r="E10" i="29"/>
  <c r="I9" i="29"/>
  <c r="H9" i="29"/>
  <c r="G9" i="29"/>
  <c r="E9" i="29"/>
  <c r="I8" i="29"/>
  <c r="H8" i="29"/>
  <c r="G8" i="29"/>
  <c r="E8" i="29"/>
  <c r="I7" i="29"/>
  <c r="H7" i="29"/>
  <c r="G7" i="29"/>
  <c r="E7" i="29"/>
  <c r="G4" i="29"/>
  <c r="F4" i="29"/>
  <c r="P126" i="22"/>
  <c r="O126" i="22"/>
  <c r="N126" i="22"/>
  <c r="M126" i="22"/>
  <c r="L126" i="22"/>
  <c r="K126" i="22"/>
  <c r="H126" i="22"/>
  <c r="G126" i="22"/>
  <c r="F126" i="22"/>
  <c r="E126" i="22"/>
  <c r="D126" i="22"/>
  <c r="C126" i="22"/>
  <c r="P125" i="22"/>
  <c r="O125" i="22"/>
  <c r="N125" i="22"/>
  <c r="M125" i="22"/>
  <c r="L125" i="22"/>
  <c r="K125" i="22"/>
  <c r="H125" i="22"/>
  <c r="G125" i="22"/>
  <c r="F125" i="22"/>
  <c r="E125" i="22"/>
  <c r="D125" i="22"/>
  <c r="C125" i="22"/>
  <c r="P124" i="22"/>
  <c r="O124" i="22"/>
  <c r="N124" i="22"/>
  <c r="M124" i="22"/>
  <c r="L124" i="22"/>
  <c r="K124" i="22"/>
  <c r="H124" i="22"/>
  <c r="G124" i="22"/>
  <c r="F124" i="22"/>
  <c r="E124" i="22"/>
  <c r="D124" i="22"/>
  <c r="C124" i="22"/>
  <c r="P123" i="22"/>
  <c r="O123" i="22"/>
  <c r="N123" i="22"/>
  <c r="M123" i="22"/>
  <c r="L123" i="22"/>
  <c r="K123" i="22"/>
  <c r="H123" i="22"/>
  <c r="G123" i="22"/>
  <c r="F123" i="22"/>
  <c r="E123" i="22"/>
  <c r="D123" i="22"/>
  <c r="C123" i="22"/>
  <c r="P122" i="22"/>
  <c r="O122" i="22"/>
  <c r="N122" i="22"/>
  <c r="M122" i="22"/>
  <c r="L122" i="22"/>
  <c r="K122" i="22"/>
  <c r="H122" i="22"/>
  <c r="G122" i="22"/>
  <c r="F122" i="22"/>
  <c r="E122" i="22"/>
  <c r="D122" i="22"/>
  <c r="C122" i="22"/>
  <c r="P121" i="22"/>
  <c r="O121" i="22"/>
  <c r="N121" i="22"/>
  <c r="M121" i="22"/>
  <c r="L121" i="22"/>
  <c r="K121" i="22"/>
  <c r="H121" i="22"/>
  <c r="G121" i="22"/>
  <c r="F121" i="22"/>
  <c r="E121" i="22"/>
  <c r="D121" i="22"/>
  <c r="C121" i="22"/>
  <c r="P120" i="22"/>
  <c r="O120" i="22"/>
  <c r="N120" i="22"/>
  <c r="M120" i="22"/>
  <c r="L120" i="22"/>
  <c r="K120" i="22"/>
  <c r="H120" i="22"/>
  <c r="G120" i="22"/>
  <c r="F120" i="22"/>
  <c r="E120" i="22"/>
  <c r="D120" i="22"/>
  <c r="C120" i="22"/>
  <c r="P119" i="22"/>
  <c r="O119" i="22"/>
  <c r="N119" i="22"/>
  <c r="M119" i="22"/>
  <c r="L119" i="22"/>
  <c r="K119" i="22"/>
  <c r="H119" i="22"/>
  <c r="G119" i="22"/>
  <c r="F119" i="22"/>
  <c r="E119" i="22"/>
  <c r="D119" i="22"/>
  <c r="C119" i="22"/>
  <c r="P118" i="22"/>
  <c r="O118" i="22"/>
  <c r="N118" i="22"/>
  <c r="M118" i="22"/>
  <c r="L118" i="22"/>
  <c r="K118" i="22"/>
  <c r="H118" i="22"/>
  <c r="G118" i="22"/>
  <c r="F118" i="22"/>
  <c r="E118" i="22"/>
  <c r="D118" i="22"/>
  <c r="C118" i="22"/>
  <c r="P117" i="22"/>
  <c r="O117" i="22"/>
  <c r="N117" i="22"/>
  <c r="M117" i="22"/>
  <c r="L117" i="22"/>
  <c r="K117" i="22"/>
  <c r="H117" i="22"/>
  <c r="G117" i="22"/>
  <c r="F117" i="22"/>
  <c r="E117" i="22"/>
  <c r="D117" i="22"/>
  <c r="C117" i="22"/>
  <c r="P116" i="22"/>
  <c r="O116" i="22"/>
  <c r="N116" i="22"/>
  <c r="M116" i="22"/>
  <c r="L116" i="22"/>
  <c r="K116" i="22"/>
  <c r="H116" i="22"/>
  <c r="G116" i="22"/>
  <c r="F116" i="22"/>
  <c r="E116" i="22"/>
  <c r="D116" i="22"/>
  <c r="C116" i="22"/>
  <c r="O114" i="22"/>
  <c r="M114" i="22"/>
  <c r="K114" i="22"/>
  <c r="G114" i="22"/>
  <c r="E114" i="22"/>
  <c r="C114" i="22"/>
  <c r="J113" i="22"/>
  <c r="B113" i="22"/>
  <c r="P111" i="22"/>
  <c r="O111" i="22"/>
  <c r="N111" i="22"/>
  <c r="M111" i="22"/>
  <c r="L111" i="22"/>
  <c r="K111" i="22"/>
  <c r="H111" i="22"/>
  <c r="G111" i="22"/>
  <c r="F111" i="22"/>
  <c r="E111" i="22"/>
  <c r="D111" i="22"/>
  <c r="C111" i="22"/>
  <c r="P110" i="22"/>
  <c r="O110" i="22"/>
  <c r="N110" i="22"/>
  <c r="M110" i="22"/>
  <c r="L110" i="22"/>
  <c r="K110" i="22"/>
  <c r="H110" i="22"/>
  <c r="G110" i="22"/>
  <c r="F110" i="22"/>
  <c r="E110" i="22"/>
  <c r="D110" i="22"/>
  <c r="C110" i="22"/>
  <c r="P109" i="22"/>
  <c r="O109" i="22"/>
  <c r="N109" i="22"/>
  <c r="M109" i="22"/>
  <c r="L109" i="22"/>
  <c r="K109" i="22"/>
  <c r="H109" i="22"/>
  <c r="G109" i="22"/>
  <c r="F109" i="22"/>
  <c r="E109" i="22"/>
  <c r="D109" i="22"/>
  <c r="C109" i="22"/>
  <c r="P108" i="22"/>
  <c r="O108" i="22"/>
  <c r="N108" i="22"/>
  <c r="M108" i="22"/>
  <c r="L108" i="22"/>
  <c r="K108" i="22"/>
  <c r="H108" i="22"/>
  <c r="G108" i="22"/>
  <c r="F108" i="22"/>
  <c r="E108" i="22"/>
  <c r="D108" i="22"/>
  <c r="C108" i="22"/>
  <c r="P107" i="22"/>
  <c r="O107" i="22"/>
  <c r="N107" i="22"/>
  <c r="M107" i="22"/>
  <c r="L107" i="22"/>
  <c r="K107" i="22"/>
  <c r="H107" i="22"/>
  <c r="G107" i="22"/>
  <c r="F107" i="22"/>
  <c r="E107" i="22"/>
  <c r="D107" i="22"/>
  <c r="C107" i="22"/>
  <c r="P106" i="22"/>
  <c r="O106" i="22"/>
  <c r="N106" i="22"/>
  <c r="M106" i="22"/>
  <c r="L106" i="22"/>
  <c r="K106" i="22"/>
  <c r="H106" i="22"/>
  <c r="G106" i="22"/>
  <c r="F106" i="22"/>
  <c r="E106" i="22"/>
  <c r="D106" i="22"/>
  <c r="C106" i="22"/>
  <c r="P105" i="22"/>
  <c r="O105" i="22"/>
  <c r="N105" i="22"/>
  <c r="M105" i="22"/>
  <c r="L105" i="22"/>
  <c r="K105" i="22"/>
  <c r="H105" i="22"/>
  <c r="G105" i="22"/>
  <c r="F105" i="22"/>
  <c r="E105" i="22"/>
  <c r="D105" i="22"/>
  <c r="C105" i="22"/>
  <c r="P104" i="22"/>
  <c r="O104" i="22"/>
  <c r="N104" i="22"/>
  <c r="M104" i="22"/>
  <c r="L104" i="22"/>
  <c r="K104" i="22"/>
  <c r="H104" i="22"/>
  <c r="G104" i="22"/>
  <c r="F104" i="22"/>
  <c r="E104" i="22"/>
  <c r="D104" i="22"/>
  <c r="C104" i="22"/>
  <c r="P103" i="22"/>
  <c r="O103" i="22"/>
  <c r="N103" i="22"/>
  <c r="M103" i="22"/>
  <c r="L103" i="22"/>
  <c r="K103" i="22"/>
  <c r="H103" i="22"/>
  <c r="G103" i="22"/>
  <c r="F103" i="22"/>
  <c r="E103" i="22"/>
  <c r="D103" i="22"/>
  <c r="C103" i="22"/>
  <c r="P102" i="22"/>
  <c r="O102" i="22"/>
  <c r="N102" i="22"/>
  <c r="M102" i="22"/>
  <c r="L102" i="22"/>
  <c r="K102" i="22"/>
  <c r="H102" i="22"/>
  <c r="G102" i="22"/>
  <c r="F102" i="22"/>
  <c r="E102" i="22"/>
  <c r="D102" i="22"/>
  <c r="C102" i="22"/>
  <c r="P101" i="22"/>
  <c r="O101" i="22"/>
  <c r="N101" i="22"/>
  <c r="M101" i="22"/>
  <c r="L101" i="22"/>
  <c r="K101" i="22"/>
  <c r="H101" i="22"/>
  <c r="G101" i="22"/>
  <c r="F101" i="22"/>
  <c r="E101" i="22"/>
  <c r="D101" i="22"/>
  <c r="C101" i="22"/>
  <c r="O99" i="22"/>
  <c r="M99" i="22"/>
  <c r="K99" i="22"/>
  <c r="G99" i="22"/>
  <c r="E99" i="22"/>
  <c r="C99" i="22"/>
  <c r="J98" i="22"/>
  <c r="B98" i="22"/>
  <c r="P95" i="22"/>
  <c r="O95" i="22"/>
  <c r="N95" i="22"/>
  <c r="M95" i="22"/>
  <c r="L95" i="22"/>
  <c r="K95" i="22"/>
  <c r="H95" i="22"/>
  <c r="G95" i="22"/>
  <c r="F95" i="22"/>
  <c r="E95" i="22"/>
  <c r="D95" i="22"/>
  <c r="C95" i="22"/>
  <c r="P94" i="22"/>
  <c r="O94" i="22"/>
  <c r="N94" i="22"/>
  <c r="M94" i="22"/>
  <c r="L94" i="22"/>
  <c r="K94" i="22"/>
  <c r="H94" i="22"/>
  <c r="G94" i="22"/>
  <c r="F94" i="22"/>
  <c r="E94" i="22"/>
  <c r="D94" i="22"/>
  <c r="C94" i="22"/>
  <c r="P93" i="22"/>
  <c r="O93" i="22"/>
  <c r="N93" i="22"/>
  <c r="M93" i="22"/>
  <c r="L93" i="22"/>
  <c r="K93" i="22"/>
  <c r="H93" i="22"/>
  <c r="G93" i="22"/>
  <c r="F93" i="22"/>
  <c r="E93" i="22"/>
  <c r="D93" i="22"/>
  <c r="C93" i="22"/>
  <c r="P92" i="22"/>
  <c r="O92" i="22"/>
  <c r="N92" i="22"/>
  <c r="M92" i="22"/>
  <c r="L92" i="22"/>
  <c r="K92" i="22"/>
  <c r="H92" i="22"/>
  <c r="G92" i="22"/>
  <c r="F92" i="22"/>
  <c r="E92" i="22"/>
  <c r="D92" i="22"/>
  <c r="C92" i="22"/>
  <c r="P91" i="22"/>
  <c r="O91" i="22"/>
  <c r="N91" i="22"/>
  <c r="M91" i="22"/>
  <c r="L91" i="22"/>
  <c r="K91" i="22"/>
  <c r="H91" i="22"/>
  <c r="G91" i="22"/>
  <c r="F91" i="22"/>
  <c r="E91" i="22"/>
  <c r="D91" i="22"/>
  <c r="C91" i="22"/>
  <c r="P90" i="22"/>
  <c r="O90" i="22"/>
  <c r="N90" i="22"/>
  <c r="M90" i="22"/>
  <c r="L90" i="22"/>
  <c r="K90" i="22"/>
  <c r="H90" i="22"/>
  <c r="G90" i="22"/>
  <c r="F90" i="22"/>
  <c r="E90" i="22"/>
  <c r="D90" i="22"/>
  <c r="C90" i="22"/>
  <c r="P89" i="22"/>
  <c r="O89" i="22"/>
  <c r="N89" i="22"/>
  <c r="M89" i="22"/>
  <c r="L89" i="22"/>
  <c r="K89" i="22"/>
  <c r="H89" i="22"/>
  <c r="G89" i="22"/>
  <c r="F89" i="22"/>
  <c r="E89" i="22"/>
  <c r="D89" i="22"/>
  <c r="C89" i="22"/>
  <c r="P88" i="22"/>
  <c r="O88" i="22"/>
  <c r="N88" i="22"/>
  <c r="M88" i="22"/>
  <c r="L88" i="22"/>
  <c r="K88" i="22"/>
  <c r="H88" i="22"/>
  <c r="G88" i="22"/>
  <c r="F88" i="22"/>
  <c r="E88" i="22"/>
  <c r="D88" i="22"/>
  <c r="C88" i="22"/>
  <c r="P87" i="22"/>
  <c r="O87" i="22"/>
  <c r="N87" i="22"/>
  <c r="M87" i="22"/>
  <c r="L87" i="22"/>
  <c r="K87" i="22"/>
  <c r="H87" i="22"/>
  <c r="G87" i="22"/>
  <c r="F87" i="22"/>
  <c r="E87" i="22"/>
  <c r="D87" i="22"/>
  <c r="C87" i="22"/>
  <c r="P86" i="22"/>
  <c r="O86" i="22"/>
  <c r="N86" i="22"/>
  <c r="M86" i="22"/>
  <c r="L86" i="22"/>
  <c r="K86" i="22"/>
  <c r="H86" i="22"/>
  <c r="G86" i="22"/>
  <c r="F86" i="22"/>
  <c r="E86" i="22"/>
  <c r="D86" i="22"/>
  <c r="C86" i="22"/>
  <c r="P85" i="22"/>
  <c r="O85" i="22"/>
  <c r="N85" i="22"/>
  <c r="M85" i="22"/>
  <c r="L85" i="22"/>
  <c r="K85" i="22"/>
  <c r="H85" i="22"/>
  <c r="G85" i="22"/>
  <c r="F85" i="22"/>
  <c r="E85" i="22"/>
  <c r="D85" i="22"/>
  <c r="C85" i="22"/>
  <c r="O83" i="22"/>
  <c r="M83" i="22"/>
  <c r="K83" i="22"/>
  <c r="G83" i="22"/>
  <c r="E83" i="22"/>
  <c r="C83" i="22"/>
  <c r="P79" i="22"/>
  <c r="O79" i="22"/>
  <c r="N79" i="22"/>
  <c r="M79" i="22"/>
  <c r="L79" i="22"/>
  <c r="K79" i="22"/>
  <c r="H79" i="22"/>
  <c r="G79" i="22"/>
  <c r="F79" i="22"/>
  <c r="E79" i="22"/>
  <c r="D79" i="22"/>
  <c r="C79" i="22"/>
  <c r="P78" i="22"/>
  <c r="O78" i="22"/>
  <c r="N78" i="22"/>
  <c r="M78" i="22"/>
  <c r="L78" i="22"/>
  <c r="K78" i="22"/>
  <c r="H78" i="22"/>
  <c r="G78" i="22"/>
  <c r="F78" i="22"/>
  <c r="E78" i="22"/>
  <c r="D78" i="22"/>
  <c r="C78" i="22"/>
  <c r="P77" i="22"/>
  <c r="O77" i="22"/>
  <c r="N77" i="22"/>
  <c r="M77" i="22"/>
  <c r="L77" i="22"/>
  <c r="K77" i="22"/>
  <c r="H77" i="22"/>
  <c r="G77" i="22"/>
  <c r="F77" i="22"/>
  <c r="E77" i="22"/>
  <c r="D77" i="22"/>
  <c r="C77" i="22"/>
  <c r="P76" i="22"/>
  <c r="O76" i="22"/>
  <c r="N76" i="22"/>
  <c r="M76" i="22"/>
  <c r="L76" i="22"/>
  <c r="K76" i="22"/>
  <c r="H76" i="22"/>
  <c r="G76" i="22"/>
  <c r="F76" i="22"/>
  <c r="E76" i="22"/>
  <c r="D76" i="22"/>
  <c r="C76" i="22"/>
  <c r="P75" i="22"/>
  <c r="O75" i="22"/>
  <c r="N75" i="22"/>
  <c r="M75" i="22"/>
  <c r="L75" i="22"/>
  <c r="K75" i="22"/>
  <c r="H75" i="22"/>
  <c r="G75" i="22"/>
  <c r="F75" i="22"/>
  <c r="E75" i="22"/>
  <c r="D75" i="22"/>
  <c r="C75" i="22"/>
  <c r="P74" i="22"/>
  <c r="O74" i="22"/>
  <c r="N74" i="22"/>
  <c r="M74" i="22"/>
  <c r="L74" i="22"/>
  <c r="K74" i="22"/>
  <c r="H74" i="22"/>
  <c r="G74" i="22"/>
  <c r="F74" i="22"/>
  <c r="E74" i="22"/>
  <c r="D74" i="22"/>
  <c r="C74" i="22"/>
  <c r="P73" i="22"/>
  <c r="O73" i="22"/>
  <c r="N73" i="22"/>
  <c r="M73" i="22"/>
  <c r="L73" i="22"/>
  <c r="K73" i="22"/>
  <c r="H73" i="22"/>
  <c r="G73" i="22"/>
  <c r="F73" i="22"/>
  <c r="E73" i="22"/>
  <c r="D73" i="22"/>
  <c r="C73" i="22"/>
  <c r="P72" i="22"/>
  <c r="O72" i="22"/>
  <c r="N72" i="22"/>
  <c r="M72" i="22"/>
  <c r="L72" i="22"/>
  <c r="K72" i="22"/>
  <c r="H72" i="22"/>
  <c r="G72" i="22"/>
  <c r="F72" i="22"/>
  <c r="E72" i="22"/>
  <c r="D72" i="22"/>
  <c r="C72" i="22"/>
  <c r="P71" i="22"/>
  <c r="O71" i="22"/>
  <c r="N71" i="22"/>
  <c r="M71" i="22"/>
  <c r="L71" i="22"/>
  <c r="K71" i="22"/>
  <c r="H71" i="22"/>
  <c r="G71" i="22"/>
  <c r="F71" i="22"/>
  <c r="E71" i="22"/>
  <c r="D71" i="22"/>
  <c r="C71" i="22"/>
  <c r="P70" i="22"/>
  <c r="O70" i="22"/>
  <c r="N70" i="22"/>
  <c r="M70" i="22"/>
  <c r="L70" i="22"/>
  <c r="K70" i="22"/>
  <c r="H70" i="22"/>
  <c r="G70" i="22"/>
  <c r="F70" i="22"/>
  <c r="E70" i="22"/>
  <c r="D70" i="22"/>
  <c r="C70" i="22"/>
  <c r="P69" i="22"/>
  <c r="O69" i="22"/>
  <c r="N69" i="22"/>
  <c r="M69" i="22"/>
  <c r="L69" i="22"/>
  <c r="K69" i="22"/>
  <c r="H69" i="22"/>
  <c r="G69" i="22"/>
  <c r="F69" i="22"/>
  <c r="E69" i="22"/>
  <c r="D69" i="22"/>
  <c r="C69" i="22"/>
  <c r="O67" i="22"/>
  <c r="M67" i="22"/>
  <c r="K67" i="22"/>
  <c r="G67" i="22"/>
  <c r="E67" i="22"/>
  <c r="C67" i="22"/>
  <c r="P63" i="22"/>
  <c r="O63" i="22"/>
  <c r="N63" i="22"/>
  <c r="M63" i="22"/>
  <c r="L63" i="22"/>
  <c r="K63" i="22"/>
  <c r="H63" i="22"/>
  <c r="G63" i="22"/>
  <c r="F63" i="22"/>
  <c r="E63" i="22"/>
  <c r="D63" i="22"/>
  <c r="C63" i="22"/>
  <c r="P62" i="22"/>
  <c r="O62" i="22"/>
  <c r="N62" i="22"/>
  <c r="M62" i="22"/>
  <c r="L62" i="22"/>
  <c r="K62" i="22"/>
  <c r="H62" i="22"/>
  <c r="G62" i="22"/>
  <c r="F62" i="22"/>
  <c r="E62" i="22"/>
  <c r="D62" i="22"/>
  <c r="C62" i="22"/>
  <c r="P61" i="22"/>
  <c r="O61" i="22"/>
  <c r="N61" i="22"/>
  <c r="M61" i="22"/>
  <c r="L61" i="22"/>
  <c r="K61" i="22"/>
  <c r="H61" i="22"/>
  <c r="G61" i="22"/>
  <c r="F61" i="22"/>
  <c r="E61" i="22"/>
  <c r="D61" i="22"/>
  <c r="C61" i="22"/>
  <c r="P60" i="22"/>
  <c r="O60" i="22"/>
  <c r="N60" i="22"/>
  <c r="M60" i="22"/>
  <c r="L60" i="22"/>
  <c r="K60" i="22"/>
  <c r="H60" i="22"/>
  <c r="G60" i="22"/>
  <c r="F60" i="22"/>
  <c r="E60" i="22"/>
  <c r="D60" i="22"/>
  <c r="C60" i="22"/>
  <c r="P59" i="22"/>
  <c r="O59" i="22"/>
  <c r="N59" i="22"/>
  <c r="M59" i="22"/>
  <c r="L59" i="22"/>
  <c r="K59" i="22"/>
  <c r="H59" i="22"/>
  <c r="G59" i="22"/>
  <c r="F59" i="22"/>
  <c r="E59" i="22"/>
  <c r="D59" i="22"/>
  <c r="C59" i="22"/>
  <c r="P58" i="22"/>
  <c r="O58" i="22"/>
  <c r="N58" i="22"/>
  <c r="M58" i="22"/>
  <c r="L58" i="22"/>
  <c r="K58" i="22"/>
  <c r="H58" i="22"/>
  <c r="G58" i="22"/>
  <c r="F58" i="22"/>
  <c r="E58" i="22"/>
  <c r="D58" i="22"/>
  <c r="C58" i="22"/>
  <c r="P57" i="22"/>
  <c r="O57" i="22"/>
  <c r="N57" i="22"/>
  <c r="M57" i="22"/>
  <c r="L57" i="22"/>
  <c r="K57" i="22"/>
  <c r="H57" i="22"/>
  <c r="G57" i="22"/>
  <c r="F57" i="22"/>
  <c r="E57" i="22"/>
  <c r="D57" i="22"/>
  <c r="C57" i="22"/>
  <c r="P56" i="22"/>
  <c r="O56" i="22"/>
  <c r="N56" i="22"/>
  <c r="M56" i="22"/>
  <c r="L56" i="22"/>
  <c r="K56" i="22"/>
  <c r="H56" i="22"/>
  <c r="G56" i="22"/>
  <c r="F56" i="22"/>
  <c r="E56" i="22"/>
  <c r="D56" i="22"/>
  <c r="C56" i="22"/>
  <c r="P55" i="22"/>
  <c r="O55" i="22"/>
  <c r="N55" i="22"/>
  <c r="M55" i="22"/>
  <c r="L55" i="22"/>
  <c r="K55" i="22"/>
  <c r="H55" i="22"/>
  <c r="G55" i="22"/>
  <c r="F55" i="22"/>
  <c r="E55" i="22"/>
  <c r="D55" i="22"/>
  <c r="C55" i="22"/>
  <c r="P54" i="22"/>
  <c r="O54" i="22"/>
  <c r="N54" i="22"/>
  <c r="M54" i="22"/>
  <c r="L54" i="22"/>
  <c r="K54" i="22"/>
  <c r="H54" i="22"/>
  <c r="G54" i="22"/>
  <c r="F54" i="22"/>
  <c r="E54" i="22"/>
  <c r="D54" i="22"/>
  <c r="C54" i="22"/>
  <c r="P53" i="22"/>
  <c r="O53" i="22"/>
  <c r="N53" i="22"/>
  <c r="M53" i="22"/>
  <c r="L53" i="22"/>
  <c r="K53" i="22"/>
  <c r="H53" i="22"/>
  <c r="G53" i="22"/>
  <c r="F53" i="22"/>
  <c r="E53" i="22"/>
  <c r="D53" i="22"/>
  <c r="C53" i="22"/>
  <c r="O51" i="22"/>
  <c r="M51" i="22"/>
  <c r="K51" i="22"/>
  <c r="G51" i="22"/>
  <c r="E51" i="22"/>
  <c r="C51" i="22"/>
  <c r="P47" i="22"/>
  <c r="O47" i="22"/>
  <c r="N47" i="22"/>
  <c r="M47" i="22"/>
  <c r="L47" i="22"/>
  <c r="K47" i="22"/>
  <c r="H47" i="22"/>
  <c r="G47" i="22"/>
  <c r="F47" i="22"/>
  <c r="E47" i="22"/>
  <c r="D47" i="22"/>
  <c r="C47" i="22"/>
  <c r="P46" i="22"/>
  <c r="O46" i="22"/>
  <c r="N46" i="22"/>
  <c r="M46" i="22"/>
  <c r="L46" i="22"/>
  <c r="K46" i="22"/>
  <c r="H46" i="22"/>
  <c r="G46" i="22"/>
  <c r="F46" i="22"/>
  <c r="E46" i="22"/>
  <c r="D46" i="22"/>
  <c r="C46" i="22"/>
  <c r="P45" i="22"/>
  <c r="O45" i="22"/>
  <c r="N45" i="22"/>
  <c r="M45" i="22"/>
  <c r="L45" i="22"/>
  <c r="K45" i="22"/>
  <c r="H45" i="22"/>
  <c r="G45" i="22"/>
  <c r="F45" i="22"/>
  <c r="E45" i="22"/>
  <c r="D45" i="22"/>
  <c r="C45" i="22"/>
  <c r="P44" i="22"/>
  <c r="O44" i="22"/>
  <c r="N44" i="22"/>
  <c r="M44" i="22"/>
  <c r="L44" i="22"/>
  <c r="K44" i="22"/>
  <c r="H44" i="22"/>
  <c r="G44" i="22"/>
  <c r="F44" i="22"/>
  <c r="E44" i="22"/>
  <c r="D44" i="22"/>
  <c r="C44" i="22"/>
  <c r="P43" i="22"/>
  <c r="O43" i="22"/>
  <c r="N43" i="22"/>
  <c r="M43" i="22"/>
  <c r="L43" i="22"/>
  <c r="K43" i="22"/>
  <c r="H43" i="22"/>
  <c r="G43" i="22"/>
  <c r="F43" i="22"/>
  <c r="E43" i="22"/>
  <c r="D43" i="22"/>
  <c r="C43" i="22"/>
  <c r="P42" i="22"/>
  <c r="O42" i="22"/>
  <c r="N42" i="22"/>
  <c r="M42" i="22"/>
  <c r="L42" i="22"/>
  <c r="K42" i="22"/>
  <c r="H42" i="22"/>
  <c r="G42" i="22"/>
  <c r="F42" i="22"/>
  <c r="E42" i="22"/>
  <c r="D42" i="22"/>
  <c r="C42" i="22"/>
  <c r="P41" i="22"/>
  <c r="O41" i="22"/>
  <c r="N41" i="22"/>
  <c r="M41" i="22"/>
  <c r="L41" i="22"/>
  <c r="K41" i="22"/>
  <c r="H41" i="22"/>
  <c r="G41" i="22"/>
  <c r="F41" i="22"/>
  <c r="E41" i="22"/>
  <c r="D41" i="22"/>
  <c r="C41" i="22"/>
  <c r="P40" i="22"/>
  <c r="O40" i="22"/>
  <c r="N40" i="22"/>
  <c r="M40" i="22"/>
  <c r="L40" i="22"/>
  <c r="K40" i="22"/>
  <c r="H40" i="22"/>
  <c r="G40" i="22"/>
  <c r="F40" i="22"/>
  <c r="E40" i="22"/>
  <c r="D40" i="22"/>
  <c r="C40" i="22"/>
  <c r="P39" i="22"/>
  <c r="O39" i="22"/>
  <c r="N39" i="22"/>
  <c r="M39" i="22"/>
  <c r="L39" i="22"/>
  <c r="K39" i="22"/>
  <c r="H39" i="22"/>
  <c r="G39" i="22"/>
  <c r="F39" i="22"/>
  <c r="E39" i="22"/>
  <c r="D39" i="22"/>
  <c r="C39" i="22"/>
  <c r="P38" i="22"/>
  <c r="O38" i="22"/>
  <c r="N38" i="22"/>
  <c r="M38" i="22"/>
  <c r="L38" i="22"/>
  <c r="K38" i="22"/>
  <c r="H38" i="22"/>
  <c r="G38" i="22"/>
  <c r="F38" i="22"/>
  <c r="E38" i="22"/>
  <c r="D38" i="22"/>
  <c r="C38" i="22"/>
  <c r="P37" i="22"/>
  <c r="O37" i="22"/>
  <c r="N37" i="22"/>
  <c r="M37" i="22"/>
  <c r="L37" i="22"/>
  <c r="K37" i="22"/>
  <c r="H37" i="22"/>
  <c r="G37" i="22"/>
  <c r="F37" i="22"/>
  <c r="E37" i="22"/>
  <c r="D37" i="22"/>
  <c r="C37" i="22"/>
  <c r="O35" i="22"/>
  <c r="M35" i="22"/>
  <c r="K35" i="22"/>
  <c r="G35" i="22"/>
  <c r="E35" i="22"/>
  <c r="C35" i="22"/>
  <c r="R33" i="22"/>
  <c r="AD31" i="22"/>
  <c r="AC31" i="22"/>
  <c r="AB31" i="22"/>
  <c r="AA31" i="22"/>
  <c r="Z31" i="22"/>
  <c r="Y31" i="22"/>
  <c r="V31" i="22"/>
  <c r="U31" i="22"/>
  <c r="T31" i="22"/>
  <c r="S31" i="22"/>
  <c r="R31" i="22"/>
  <c r="Q31" i="22"/>
  <c r="N31" i="22"/>
  <c r="M31" i="22"/>
  <c r="J31" i="22"/>
  <c r="I31" i="22"/>
  <c r="AD30" i="22"/>
  <c r="AC30" i="22"/>
  <c r="AB30" i="22"/>
  <c r="AA30" i="22"/>
  <c r="Z30" i="22"/>
  <c r="Y30" i="22"/>
  <c r="V30" i="22"/>
  <c r="U30" i="22"/>
  <c r="T30" i="22"/>
  <c r="S30" i="22"/>
  <c r="R30" i="22"/>
  <c r="Q30" i="22"/>
  <c r="N30" i="22"/>
  <c r="M30" i="22"/>
  <c r="J30" i="22"/>
  <c r="I30" i="22"/>
  <c r="E30" i="22"/>
  <c r="D30" i="22"/>
  <c r="AD29" i="22"/>
  <c r="AC29" i="22"/>
  <c r="AB29" i="22"/>
  <c r="AA29" i="22"/>
  <c r="Z29" i="22"/>
  <c r="Y29" i="22"/>
  <c r="V29" i="22"/>
  <c r="U29" i="22"/>
  <c r="T29" i="22"/>
  <c r="S29" i="22"/>
  <c r="R29" i="22"/>
  <c r="Q29" i="22"/>
  <c r="N29" i="22"/>
  <c r="M29" i="22"/>
  <c r="J29" i="22"/>
  <c r="I29" i="22"/>
  <c r="E29" i="22"/>
  <c r="D29" i="22"/>
  <c r="AD28" i="22"/>
  <c r="AC28" i="22"/>
  <c r="AB28" i="22"/>
  <c r="AA28" i="22"/>
  <c r="Z28" i="22"/>
  <c r="Y28" i="22"/>
  <c r="V28" i="22"/>
  <c r="U28" i="22"/>
  <c r="T28" i="22"/>
  <c r="S28" i="22"/>
  <c r="R28" i="22"/>
  <c r="Q28" i="22"/>
  <c r="N28" i="22"/>
  <c r="M28" i="22"/>
  <c r="J28" i="22"/>
  <c r="I28" i="22"/>
  <c r="E28" i="22"/>
  <c r="D28" i="22"/>
  <c r="AD27" i="22"/>
  <c r="AC27" i="22"/>
  <c r="AB27" i="22"/>
  <c r="AA27" i="22"/>
  <c r="Z27" i="22"/>
  <c r="Y27" i="22"/>
  <c r="V27" i="22"/>
  <c r="U27" i="22"/>
  <c r="T27" i="22"/>
  <c r="S27" i="22"/>
  <c r="R27" i="22"/>
  <c r="Q27" i="22"/>
  <c r="N27" i="22"/>
  <c r="M27" i="22"/>
  <c r="J27" i="22"/>
  <c r="I27" i="22"/>
  <c r="D27" i="22"/>
  <c r="C27" i="22"/>
  <c r="AD26" i="22"/>
  <c r="AC26" i="22"/>
  <c r="AB26" i="22"/>
  <c r="AA26" i="22"/>
  <c r="Z26" i="22"/>
  <c r="Y26" i="22"/>
  <c r="V26" i="22"/>
  <c r="U26" i="22"/>
  <c r="T26" i="22"/>
  <c r="S26" i="22"/>
  <c r="R26" i="22"/>
  <c r="Q26" i="22"/>
  <c r="N26" i="22"/>
  <c r="M26" i="22"/>
  <c r="J26" i="22"/>
  <c r="I26" i="22"/>
  <c r="AD25" i="22"/>
  <c r="AC25" i="22"/>
  <c r="AB25" i="22"/>
  <c r="AA25" i="22"/>
  <c r="Z25" i="22"/>
  <c r="Y25" i="22"/>
  <c r="V25" i="22"/>
  <c r="U25" i="22"/>
  <c r="T25" i="22"/>
  <c r="S25" i="22"/>
  <c r="R25" i="22"/>
  <c r="Q25" i="22"/>
  <c r="N25" i="22"/>
  <c r="M25" i="22"/>
  <c r="J25" i="22"/>
  <c r="I25" i="22"/>
  <c r="AD24" i="22"/>
  <c r="AC24" i="22"/>
  <c r="AB24" i="22"/>
  <c r="AA24" i="22"/>
  <c r="Z24" i="22"/>
  <c r="Y24" i="22"/>
  <c r="V24" i="22"/>
  <c r="U24" i="22"/>
  <c r="T24" i="22"/>
  <c r="S24" i="22"/>
  <c r="R24" i="22"/>
  <c r="Q24" i="22"/>
  <c r="N24" i="22"/>
  <c r="M24" i="22"/>
  <c r="J24" i="22"/>
  <c r="I24" i="22"/>
  <c r="E24" i="22"/>
  <c r="D24" i="22"/>
  <c r="AD23" i="22"/>
  <c r="AC23" i="22"/>
  <c r="AB23" i="22"/>
  <c r="AA23" i="22"/>
  <c r="Z23" i="22"/>
  <c r="Y23" i="22"/>
  <c r="V23" i="22"/>
  <c r="U23" i="22"/>
  <c r="T23" i="22"/>
  <c r="S23" i="22"/>
  <c r="R23" i="22"/>
  <c r="Q23" i="22"/>
  <c r="N23" i="22"/>
  <c r="M23" i="22"/>
  <c r="J23" i="22"/>
  <c r="I23" i="22"/>
  <c r="E23" i="22"/>
  <c r="D23" i="22"/>
  <c r="AD22" i="22"/>
  <c r="AC22" i="22"/>
  <c r="AB22" i="22"/>
  <c r="AA22" i="22"/>
  <c r="Z22" i="22"/>
  <c r="Y22" i="22"/>
  <c r="V22" i="22"/>
  <c r="U22" i="22"/>
  <c r="T22" i="22"/>
  <c r="S22" i="22"/>
  <c r="R22" i="22"/>
  <c r="Q22" i="22"/>
  <c r="N22" i="22"/>
  <c r="M22" i="22"/>
  <c r="J22" i="22"/>
  <c r="I22" i="22"/>
  <c r="E22" i="22"/>
  <c r="D22" i="22"/>
  <c r="D21" i="22"/>
  <c r="P19" i="22"/>
  <c r="T12" i="22"/>
  <c r="S12" i="22"/>
  <c r="R12" i="22"/>
  <c r="I12" i="22"/>
  <c r="H12" i="22"/>
  <c r="G12" i="22"/>
  <c r="E12" i="22"/>
  <c r="T11" i="22"/>
  <c r="S11" i="22"/>
  <c r="R11" i="22"/>
  <c r="I11" i="22"/>
  <c r="H11" i="22"/>
  <c r="G11" i="22"/>
  <c r="E11" i="22"/>
  <c r="Y10" i="22"/>
  <c r="T10" i="22"/>
  <c r="S10" i="22"/>
  <c r="R10" i="22"/>
  <c r="P10" i="22"/>
  <c r="I10" i="22"/>
  <c r="H10" i="22"/>
  <c r="G10" i="22"/>
  <c r="E10" i="22"/>
  <c r="Y9" i="22"/>
  <c r="T9" i="22"/>
  <c r="S9" i="22"/>
  <c r="R9" i="22"/>
  <c r="P9" i="22"/>
  <c r="I9" i="22"/>
  <c r="H9" i="22"/>
  <c r="G9" i="22"/>
  <c r="E9" i="22"/>
  <c r="Y8" i="22"/>
  <c r="T8" i="22"/>
  <c r="S8" i="22"/>
  <c r="R8" i="22"/>
  <c r="P8" i="22"/>
  <c r="I8" i="22"/>
  <c r="H8" i="22"/>
  <c r="G8" i="22"/>
  <c r="E8" i="22"/>
  <c r="T7" i="22"/>
  <c r="S7" i="22"/>
  <c r="R7" i="22"/>
  <c r="P7" i="22"/>
  <c r="I7" i="22"/>
  <c r="H7" i="22"/>
  <c r="G7" i="22"/>
  <c r="E7" i="22"/>
  <c r="R4" i="22"/>
  <c r="Q4" i="22"/>
  <c r="P4" i="22"/>
  <c r="G4" i="22"/>
  <c r="F4" i="22"/>
  <c r="E4" i="22"/>
  <c r="R30" i="23"/>
  <c r="Q30" i="23"/>
  <c r="P30" i="23"/>
  <c r="H30" i="23"/>
  <c r="G30" i="23"/>
  <c r="F30" i="23"/>
  <c r="R29" i="23"/>
  <c r="Q29" i="23"/>
  <c r="P29" i="23"/>
  <c r="H29" i="23"/>
  <c r="G29" i="23"/>
  <c r="F29" i="23"/>
  <c r="P28" i="23"/>
  <c r="O28" i="23"/>
  <c r="F28" i="23"/>
  <c r="E28" i="23"/>
  <c r="T25" i="23"/>
  <c r="T24" i="23"/>
  <c r="E23" i="23"/>
  <c r="Y22" i="23"/>
  <c r="U21" i="23"/>
  <c r="T21" i="23"/>
  <c r="S21" i="23"/>
  <c r="R21" i="23"/>
  <c r="Q21" i="23"/>
  <c r="P21" i="23"/>
  <c r="O21" i="23"/>
  <c r="N21" i="23"/>
  <c r="M21" i="23"/>
  <c r="L21" i="23"/>
  <c r="K21" i="23"/>
  <c r="J21" i="23"/>
  <c r="I21" i="23"/>
  <c r="H21" i="23"/>
  <c r="G21" i="23"/>
  <c r="U20" i="23"/>
  <c r="T20" i="23"/>
  <c r="S20" i="23"/>
  <c r="R20" i="23"/>
  <c r="Q20" i="23"/>
  <c r="P20" i="23"/>
  <c r="O20" i="23"/>
  <c r="N20" i="23"/>
  <c r="M20" i="23"/>
  <c r="L20" i="23"/>
  <c r="K20" i="23"/>
  <c r="J20" i="23"/>
  <c r="I20" i="23"/>
  <c r="H20" i="23"/>
  <c r="G20" i="23"/>
  <c r="Y19" i="23"/>
  <c r="C18" i="23"/>
  <c r="C17" i="23"/>
  <c r="C16" i="23"/>
  <c r="C15" i="23"/>
  <c r="C14" i="23"/>
  <c r="C13" i="23"/>
  <c r="C12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C11" i="23"/>
  <c r="T10" i="23"/>
  <c r="S10" i="23"/>
  <c r="R10" i="23"/>
  <c r="Q10" i="23"/>
  <c r="P10" i="23"/>
  <c r="O10" i="23"/>
  <c r="N10" i="23"/>
  <c r="M10" i="23"/>
  <c r="L10" i="23"/>
  <c r="K10" i="23"/>
  <c r="J10" i="23"/>
  <c r="I10" i="23"/>
  <c r="H10" i="23"/>
  <c r="G10" i="23"/>
  <c r="F10" i="23"/>
  <c r="C10" i="23"/>
  <c r="C9" i="23"/>
  <c r="C8" i="23"/>
  <c r="C7" i="23"/>
  <c r="S6" i="23"/>
  <c r="R6" i="23"/>
  <c r="Q6" i="23"/>
  <c r="P6" i="23"/>
  <c r="O6" i="23"/>
  <c r="N6" i="23"/>
  <c r="M6" i="23"/>
  <c r="L6" i="23"/>
  <c r="K6" i="23"/>
  <c r="J6" i="23"/>
  <c r="I6" i="23"/>
  <c r="H6" i="23"/>
  <c r="G6" i="23"/>
  <c r="F6" i="23"/>
  <c r="C6" i="23"/>
  <c r="C5" i="23"/>
  <c r="C4" i="23"/>
  <c r="H109" i="17"/>
  <c r="G109" i="17"/>
  <c r="F109" i="17"/>
  <c r="E109" i="17"/>
  <c r="D109" i="17"/>
  <c r="H108" i="17"/>
  <c r="G108" i="17"/>
  <c r="F108" i="17"/>
  <c r="E108" i="17"/>
  <c r="D108" i="17"/>
  <c r="H107" i="17"/>
  <c r="G107" i="17"/>
  <c r="F107" i="17"/>
  <c r="E107" i="17"/>
  <c r="D107" i="17"/>
  <c r="H106" i="17"/>
  <c r="G106" i="17"/>
  <c r="H103" i="17"/>
  <c r="G103" i="17"/>
  <c r="F103" i="17"/>
  <c r="E103" i="17"/>
  <c r="D103" i="17"/>
  <c r="H102" i="17"/>
  <c r="G102" i="17"/>
  <c r="F102" i="17"/>
  <c r="E102" i="17"/>
  <c r="D102" i="17"/>
  <c r="H101" i="17"/>
  <c r="G101" i="17"/>
  <c r="F101" i="17"/>
  <c r="E101" i="17"/>
  <c r="D101" i="17"/>
  <c r="H100" i="17"/>
  <c r="G100" i="17"/>
  <c r="H97" i="17"/>
  <c r="G97" i="17"/>
  <c r="F97" i="17"/>
  <c r="E97" i="17"/>
  <c r="D97" i="17"/>
  <c r="H96" i="17"/>
  <c r="G96" i="17"/>
  <c r="F96" i="17"/>
  <c r="E96" i="17"/>
  <c r="D96" i="17"/>
  <c r="H95" i="17"/>
  <c r="G95" i="17"/>
  <c r="F95" i="17"/>
  <c r="E95" i="17"/>
  <c r="D95" i="17"/>
  <c r="H94" i="17"/>
  <c r="G94" i="17"/>
  <c r="P91" i="17"/>
  <c r="O91" i="17"/>
  <c r="N91" i="17"/>
  <c r="M91" i="17"/>
  <c r="L91" i="17"/>
  <c r="H91" i="17"/>
  <c r="G91" i="17"/>
  <c r="F91" i="17"/>
  <c r="E91" i="17"/>
  <c r="D91" i="17"/>
  <c r="P90" i="17"/>
  <c r="O90" i="17"/>
  <c r="N90" i="17"/>
  <c r="M90" i="17"/>
  <c r="L90" i="17"/>
  <c r="J90" i="17"/>
  <c r="H90" i="17"/>
  <c r="G90" i="17"/>
  <c r="F90" i="17"/>
  <c r="E90" i="17"/>
  <c r="D90" i="17"/>
  <c r="B90" i="17"/>
  <c r="P89" i="17"/>
  <c r="O89" i="17"/>
  <c r="N89" i="17"/>
  <c r="M89" i="17"/>
  <c r="L89" i="17"/>
  <c r="J89" i="17"/>
  <c r="H89" i="17"/>
  <c r="G89" i="17"/>
  <c r="F89" i="17"/>
  <c r="E89" i="17"/>
  <c r="D89" i="17"/>
  <c r="B89" i="17"/>
  <c r="P88" i="17"/>
  <c r="O88" i="17"/>
  <c r="M88" i="17"/>
  <c r="L88" i="17"/>
  <c r="H88" i="17"/>
  <c r="G88" i="17"/>
  <c r="E88" i="17"/>
  <c r="D88" i="17"/>
  <c r="P84" i="17"/>
  <c r="O84" i="17"/>
  <c r="N84" i="17"/>
  <c r="M84" i="17"/>
  <c r="L84" i="17"/>
  <c r="H84" i="17"/>
  <c r="G84" i="17"/>
  <c r="F84" i="17"/>
  <c r="E84" i="17"/>
  <c r="D84" i="17"/>
  <c r="P83" i="17"/>
  <c r="O83" i="17"/>
  <c r="N83" i="17"/>
  <c r="M83" i="17"/>
  <c r="L83" i="17"/>
  <c r="J83" i="17"/>
  <c r="H83" i="17"/>
  <c r="G83" i="17"/>
  <c r="F83" i="17"/>
  <c r="E83" i="17"/>
  <c r="D83" i="17"/>
  <c r="B83" i="17"/>
  <c r="P82" i="17"/>
  <c r="O82" i="17"/>
  <c r="N82" i="17"/>
  <c r="M82" i="17"/>
  <c r="L82" i="17"/>
  <c r="J82" i="17"/>
  <c r="H82" i="17"/>
  <c r="G82" i="17"/>
  <c r="F82" i="17"/>
  <c r="E82" i="17"/>
  <c r="D82" i="17"/>
  <c r="B82" i="17"/>
  <c r="P81" i="17"/>
  <c r="O81" i="17"/>
  <c r="M81" i="17"/>
  <c r="L81" i="17"/>
  <c r="H81" i="17"/>
  <c r="G81" i="17"/>
  <c r="E81" i="17"/>
  <c r="D81" i="17"/>
  <c r="P77" i="17"/>
  <c r="O77" i="17"/>
  <c r="N77" i="17"/>
  <c r="M77" i="17"/>
  <c r="L77" i="17"/>
  <c r="H77" i="17"/>
  <c r="G77" i="17"/>
  <c r="F77" i="17"/>
  <c r="E77" i="17"/>
  <c r="D77" i="17"/>
  <c r="P76" i="17"/>
  <c r="O76" i="17"/>
  <c r="N76" i="17"/>
  <c r="M76" i="17"/>
  <c r="L76" i="17"/>
  <c r="J76" i="17"/>
  <c r="H76" i="17"/>
  <c r="G76" i="17"/>
  <c r="F76" i="17"/>
  <c r="E76" i="17"/>
  <c r="D76" i="17"/>
  <c r="B76" i="17"/>
  <c r="P75" i="17"/>
  <c r="O75" i="17"/>
  <c r="N75" i="17"/>
  <c r="M75" i="17"/>
  <c r="L75" i="17"/>
  <c r="J75" i="17"/>
  <c r="H75" i="17"/>
  <c r="G75" i="17"/>
  <c r="F75" i="17"/>
  <c r="E75" i="17"/>
  <c r="D75" i="17"/>
  <c r="B75" i="17"/>
  <c r="P74" i="17"/>
  <c r="O74" i="17"/>
  <c r="M74" i="17"/>
  <c r="L74" i="17"/>
  <c r="H74" i="17"/>
  <c r="G74" i="17"/>
  <c r="E74" i="17"/>
  <c r="D74" i="17"/>
  <c r="P70" i="17"/>
  <c r="O70" i="17"/>
  <c r="N70" i="17"/>
  <c r="M70" i="17"/>
  <c r="L70" i="17"/>
  <c r="H70" i="17"/>
  <c r="G70" i="17"/>
  <c r="F70" i="17"/>
  <c r="E70" i="17"/>
  <c r="D70" i="17"/>
  <c r="P69" i="17"/>
  <c r="O69" i="17"/>
  <c r="N69" i="17"/>
  <c r="M69" i="17"/>
  <c r="L69" i="17"/>
  <c r="H69" i="17"/>
  <c r="G69" i="17"/>
  <c r="F69" i="17"/>
  <c r="E69" i="17"/>
  <c r="D69" i="17"/>
  <c r="P68" i="17"/>
  <c r="O68" i="17"/>
  <c r="N68" i="17"/>
  <c r="M68" i="17"/>
  <c r="L68" i="17"/>
  <c r="H68" i="17"/>
  <c r="G68" i="17"/>
  <c r="F68" i="17"/>
  <c r="E68" i="17"/>
  <c r="D68" i="17"/>
  <c r="P67" i="17"/>
  <c r="O67" i="17"/>
  <c r="M67" i="17"/>
  <c r="L67" i="17"/>
  <c r="H67" i="17"/>
  <c r="G67" i="17"/>
  <c r="E67" i="17"/>
  <c r="D67" i="17"/>
  <c r="P63" i="17"/>
  <c r="O63" i="17"/>
  <c r="N63" i="17"/>
  <c r="M63" i="17"/>
  <c r="L63" i="17"/>
  <c r="H63" i="17"/>
  <c r="G63" i="17"/>
  <c r="F63" i="17"/>
  <c r="E63" i="17"/>
  <c r="D63" i="17"/>
  <c r="P62" i="17"/>
  <c r="O62" i="17"/>
  <c r="N62" i="17"/>
  <c r="M62" i="17"/>
  <c r="L62" i="17"/>
  <c r="H62" i="17"/>
  <c r="G62" i="17"/>
  <c r="F62" i="17"/>
  <c r="E62" i="17"/>
  <c r="D62" i="17"/>
  <c r="P61" i="17"/>
  <c r="O61" i="17"/>
  <c r="N61" i="17"/>
  <c r="M61" i="17"/>
  <c r="L61" i="17"/>
  <c r="H61" i="17"/>
  <c r="G61" i="17"/>
  <c r="F61" i="17"/>
  <c r="E61" i="17"/>
  <c r="D61" i="17"/>
  <c r="P60" i="17"/>
  <c r="O60" i="17"/>
  <c r="M60" i="17"/>
  <c r="L60" i="17"/>
  <c r="H60" i="17"/>
  <c r="G60" i="17"/>
  <c r="E60" i="17"/>
  <c r="D60" i="17"/>
  <c r="P56" i="17"/>
  <c r="O56" i="17"/>
  <c r="N56" i="17"/>
  <c r="M56" i="17"/>
  <c r="L56" i="17"/>
  <c r="H56" i="17"/>
  <c r="G56" i="17"/>
  <c r="F56" i="17"/>
  <c r="E56" i="17"/>
  <c r="D56" i="17"/>
  <c r="P55" i="17"/>
  <c r="O55" i="17"/>
  <c r="N55" i="17"/>
  <c r="M55" i="17"/>
  <c r="L55" i="17"/>
  <c r="H55" i="17"/>
  <c r="G55" i="17"/>
  <c r="F55" i="17"/>
  <c r="E55" i="17"/>
  <c r="D55" i="17"/>
  <c r="P54" i="17"/>
  <c r="O54" i="17"/>
  <c r="N54" i="17"/>
  <c r="M54" i="17"/>
  <c r="L54" i="17"/>
  <c r="H54" i="17"/>
  <c r="G54" i="17"/>
  <c r="F54" i="17"/>
  <c r="E54" i="17"/>
  <c r="D54" i="17"/>
  <c r="P53" i="17"/>
  <c r="O53" i="17"/>
  <c r="M53" i="17"/>
  <c r="L53" i="17"/>
  <c r="H53" i="17"/>
  <c r="G53" i="17"/>
  <c r="E53" i="17"/>
  <c r="D53" i="17"/>
  <c r="P49" i="17"/>
  <c r="O49" i="17"/>
  <c r="N49" i="17"/>
  <c r="M49" i="17"/>
  <c r="L49" i="17"/>
  <c r="H49" i="17"/>
  <c r="G49" i="17"/>
  <c r="F49" i="17"/>
  <c r="E49" i="17"/>
  <c r="D49" i="17"/>
  <c r="P48" i="17"/>
  <c r="O48" i="17"/>
  <c r="N48" i="17"/>
  <c r="M48" i="17"/>
  <c r="L48" i="17"/>
  <c r="H48" i="17"/>
  <c r="G48" i="17"/>
  <c r="F48" i="17"/>
  <c r="E48" i="17"/>
  <c r="D48" i="17"/>
  <c r="P47" i="17"/>
  <c r="O47" i="17"/>
  <c r="N47" i="17"/>
  <c r="M47" i="17"/>
  <c r="L47" i="17"/>
  <c r="H47" i="17"/>
  <c r="G47" i="17"/>
  <c r="F47" i="17"/>
  <c r="E47" i="17"/>
  <c r="D47" i="17"/>
  <c r="P46" i="17"/>
  <c r="O46" i="17"/>
  <c r="M46" i="17"/>
  <c r="L46" i="17"/>
  <c r="H46" i="17"/>
  <c r="G46" i="17"/>
  <c r="E46" i="17"/>
  <c r="D46" i="17"/>
  <c r="P42" i="17"/>
  <c r="O42" i="17"/>
  <c r="N42" i="17"/>
  <c r="M42" i="17"/>
  <c r="L42" i="17"/>
  <c r="H42" i="17"/>
  <c r="G42" i="17"/>
  <c r="F42" i="17"/>
  <c r="E42" i="17"/>
  <c r="D42" i="17"/>
  <c r="P41" i="17"/>
  <c r="O41" i="17"/>
  <c r="N41" i="17"/>
  <c r="M41" i="17"/>
  <c r="L41" i="17"/>
  <c r="H41" i="17"/>
  <c r="G41" i="17"/>
  <c r="F41" i="17"/>
  <c r="E41" i="17"/>
  <c r="D41" i="17"/>
  <c r="P40" i="17"/>
  <c r="O40" i="17"/>
  <c r="N40" i="17"/>
  <c r="M40" i="17"/>
  <c r="L40" i="17"/>
  <c r="H40" i="17"/>
  <c r="G40" i="17"/>
  <c r="F40" i="17"/>
  <c r="E40" i="17"/>
  <c r="D40" i="17"/>
  <c r="P39" i="17"/>
  <c r="O39" i="17"/>
  <c r="M39" i="17"/>
  <c r="L39" i="17"/>
  <c r="H39" i="17"/>
  <c r="G39" i="17"/>
  <c r="E39" i="17"/>
  <c r="D39" i="17"/>
  <c r="P35" i="17"/>
  <c r="O35" i="17"/>
  <c r="N35" i="17"/>
  <c r="M35" i="17"/>
  <c r="L35" i="17"/>
  <c r="H35" i="17"/>
  <c r="G35" i="17"/>
  <c r="F35" i="17"/>
  <c r="E35" i="17"/>
  <c r="D35" i="17"/>
  <c r="P34" i="17"/>
  <c r="O34" i="17"/>
  <c r="N34" i="17"/>
  <c r="M34" i="17"/>
  <c r="L34" i="17"/>
  <c r="H34" i="17"/>
  <c r="G34" i="17"/>
  <c r="F34" i="17"/>
  <c r="E34" i="17"/>
  <c r="D34" i="17"/>
  <c r="P33" i="17"/>
  <c r="O33" i="17"/>
  <c r="N33" i="17"/>
  <c r="M33" i="17"/>
  <c r="L33" i="17"/>
  <c r="H33" i="17"/>
  <c r="G33" i="17"/>
  <c r="F33" i="17"/>
  <c r="E33" i="17"/>
  <c r="D33" i="17"/>
  <c r="P32" i="17"/>
  <c r="O32" i="17"/>
  <c r="M32" i="17"/>
  <c r="L32" i="17"/>
  <c r="H32" i="17"/>
  <c r="G32" i="17"/>
  <c r="E32" i="17"/>
  <c r="D32" i="17"/>
  <c r="P28" i="17"/>
  <c r="O28" i="17"/>
  <c r="N28" i="17"/>
  <c r="M28" i="17"/>
  <c r="L28" i="17"/>
  <c r="H28" i="17"/>
  <c r="G28" i="17"/>
  <c r="F28" i="17"/>
  <c r="E28" i="17"/>
  <c r="D28" i="17"/>
  <c r="P27" i="17"/>
  <c r="O27" i="17"/>
  <c r="N27" i="17"/>
  <c r="M27" i="17"/>
  <c r="L27" i="17"/>
  <c r="H27" i="17"/>
  <c r="G27" i="17"/>
  <c r="F27" i="17"/>
  <c r="E27" i="17"/>
  <c r="D27" i="17"/>
  <c r="P26" i="17"/>
  <c r="O26" i="17"/>
  <c r="N26" i="17"/>
  <c r="M26" i="17"/>
  <c r="L26" i="17"/>
  <c r="H26" i="17"/>
  <c r="G26" i="17"/>
  <c r="F26" i="17"/>
  <c r="E26" i="17"/>
  <c r="D26" i="17"/>
  <c r="P25" i="17"/>
  <c r="O25" i="17"/>
  <c r="M25" i="17"/>
  <c r="L25" i="17"/>
  <c r="H25" i="17"/>
  <c r="G25" i="17"/>
  <c r="E25" i="17"/>
  <c r="D21" i="17"/>
  <c r="P17" i="17"/>
  <c r="Q16" i="17"/>
  <c r="P16" i="17"/>
  <c r="O16" i="17"/>
  <c r="N16" i="17"/>
  <c r="Q15" i="17"/>
  <c r="P15" i="17"/>
  <c r="O15" i="17"/>
  <c r="N15" i="17"/>
  <c r="Q14" i="17"/>
  <c r="P14" i="17"/>
  <c r="O14" i="17"/>
  <c r="N14" i="17"/>
  <c r="Q13" i="17"/>
  <c r="P13" i="17"/>
  <c r="O13" i="17"/>
  <c r="N13" i="17"/>
  <c r="Q12" i="17"/>
  <c r="P12" i="17"/>
  <c r="O12" i="17"/>
  <c r="N12" i="17"/>
  <c r="Q11" i="17"/>
  <c r="P11" i="17"/>
  <c r="O11" i="17"/>
  <c r="N11" i="17"/>
  <c r="AB41" i="27"/>
  <c r="AA41" i="27"/>
  <c r="AB39" i="27"/>
  <c r="AA39" i="27"/>
  <c r="AB38" i="27"/>
  <c r="AA38" i="27"/>
  <c r="AB37" i="27"/>
  <c r="AA37" i="27"/>
  <c r="AB36" i="27"/>
  <c r="AA36" i="27"/>
  <c r="AB35" i="27"/>
  <c r="AA35" i="27"/>
  <c r="J35" i="27"/>
  <c r="I35" i="27"/>
  <c r="H35" i="27"/>
  <c r="G35" i="27"/>
  <c r="F35" i="27"/>
  <c r="E35" i="27"/>
  <c r="D35" i="27"/>
  <c r="C35" i="27"/>
  <c r="AB34" i="27"/>
  <c r="AA34" i="27"/>
  <c r="J34" i="27"/>
  <c r="I34" i="27"/>
  <c r="H34" i="27"/>
  <c r="G34" i="27"/>
  <c r="F34" i="27"/>
  <c r="E34" i="27"/>
  <c r="D34" i="27"/>
  <c r="C34" i="27"/>
  <c r="AB33" i="27"/>
  <c r="AA33" i="27"/>
  <c r="Z33" i="27"/>
  <c r="Y33" i="27"/>
  <c r="J33" i="27"/>
  <c r="I33" i="27"/>
  <c r="H33" i="27"/>
  <c r="G33" i="27"/>
  <c r="F33" i="27"/>
  <c r="E33" i="27"/>
  <c r="D33" i="27"/>
  <c r="C33" i="27"/>
  <c r="I31" i="27"/>
  <c r="G31" i="27"/>
  <c r="E31" i="27"/>
  <c r="C31" i="27"/>
  <c r="F28" i="27"/>
  <c r="E28" i="27"/>
  <c r="D28" i="27"/>
  <c r="F27" i="27"/>
  <c r="E27" i="27"/>
  <c r="D27" i="27"/>
  <c r="F26" i="27"/>
  <c r="E26" i="27"/>
  <c r="D26" i="27"/>
  <c r="F25" i="27"/>
  <c r="E25" i="27"/>
  <c r="D25" i="27"/>
  <c r="W24" i="27"/>
  <c r="F24" i="27"/>
  <c r="E24" i="27"/>
  <c r="D24" i="27"/>
  <c r="W23" i="27"/>
  <c r="F23" i="27"/>
  <c r="E23" i="27"/>
  <c r="D23" i="27"/>
  <c r="W22" i="27"/>
  <c r="F22" i="27"/>
  <c r="E22" i="27"/>
  <c r="D22" i="27"/>
  <c r="D21" i="27"/>
  <c r="K15" i="27"/>
  <c r="I15" i="27"/>
  <c r="G15" i="27"/>
  <c r="K14" i="27"/>
  <c r="J14" i="27"/>
  <c r="I14" i="27"/>
  <c r="H14" i="27"/>
  <c r="G14" i="27"/>
  <c r="E14" i="27"/>
  <c r="K12" i="27"/>
  <c r="J12" i="27"/>
  <c r="I12" i="27"/>
  <c r="H12" i="27"/>
  <c r="G12" i="27"/>
  <c r="E12" i="27"/>
  <c r="K11" i="27"/>
  <c r="J11" i="27"/>
  <c r="I11" i="27"/>
  <c r="H11" i="27"/>
  <c r="G11" i="27"/>
  <c r="E11" i="27"/>
  <c r="K10" i="27"/>
  <c r="J10" i="27"/>
  <c r="I10" i="27"/>
  <c r="H10" i="27"/>
  <c r="G10" i="27"/>
  <c r="E10" i="27"/>
  <c r="K9" i="27"/>
  <c r="J9" i="27"/>
  <c r="I9" i="27"/>
  <c r="H9" i="27"/>
  <c r="G9" i="27"/>
  <c r="E9" i="27"/>
  <c r="K8" i="27"/>
  <c r="J8" i="27"/>
  <c r="I8" i="27"/>
  <c r="H8" i="27"/>
  <c r="G8" i="27"/>
  <c r="E8" i="27"/>
  <c r="K7" i="27"/>
  <c r="J7" i="27"/>
  <c r="I7" i="27"/>
  <c r="H7" i="27"/>
  <c r="G7" i="27"/>
  <c r="E7" i="27"/>
  <c r="G4" i="27"/>
  <c r="F4" i="27"/>
  <c r="E4" i="27"/>
  <c r="E65" i="26"/>
  <c r="E64" i="26"/>
  <c r="E63" i="26"/>
  <c r="E62" i="26"/>
  <c r="O58" i="26"/>
  <c r="N58" i="26"/>
  <c r="K58" i="26"/>
  <c r="J58" i="26"/>
  <c r="G58" i="26"/>
  <c r="F58" i="26"/>
  <c r="O57" i="26"/>
  <c r="N57" i="26"/>
  <c r="K57" i="26"/>
  <c r="J57" i="26"/>
  <c r="G57" i="26"/>
  <c r="F57" i="26"/>
  <c r="O56" i="26"/>
  <c r="N56" i="26"/>
  <c r="K56" i="26"/>
  <c r="J56" i="26"/>
  <c r="G56" i="26"/>
  <c r="F56" i="26"/>
  <c r="O55" i="26"/>
  <c r="N55" i="26"/>
  <c r="K55" i="26"/>
  <c r="J55" i="26"/>
  <c r="G55" i="26"/>
  <c r="F55" i="26"/>
  <c r="O54" i="26"/>
  <c r="N54" i="26"/>
  <c r="K54" i="26"/>
  <c r="J54" i="26"/>
  <c r="G54" i="26"/>
  <c r="F54" i="26"/>
  <c r="O53" i="26"/>
  <c r="N53" i="26"/>
  <c r="K53" i="26"/>
  <c r="J53" i="26"/>
  <c r="G53" i="26"/>
  <c r="F53" i="26"/>
  <c r="N52" i="26"/>
  <c r="J52" i="26"/>
  <c r="F52" i="26"/>
  <c r="N51" i="26"/>
  <c r="J51" i="26"/>
  <c r="F51" i="26"/>
  <c r="T48" i="26"/>
  <c r="S48" i="26"/>
  <c r="R48" i="26"/>
  <c r="Q48" i="26"/>
  <c r="P48" i="26"/>
  <c r="O48" i="26"/>
  <c r="N48" i="26"/>
  <c r="M48" i="26"/>
  <c r="L48" i="26"/>
  <c r="K48" i="26"/>
  <c r="J48" i="26"/>
  <c r="I48" i="26"/>
  <c r="H48" i="26"/>
  <c r="G48" i="26"/>
  <c r="F48" i="26"/>
  <c r="T47" i="26"/>
  <c r="S47" i="26"/>
  <c r="R47" i="26"/>
  <c r="Q47" i="26"/>
  <c r="P47" i="26"/>
  <c r="O47" i="26"/>
  <c r="N47" i="26"/>
  <c r="M47" i="26"/>
  <c r="L47" i="26"/>
  <c r="K47" i="26"/>
  <c r="J47" i="26"/>
  <c r="I47" i="26"/>
  <c r="H47" i="26"/>
  <c r="G47" i="26"/>
  <c r="F47" i="26"/>
  <c r="T46" i="26"/>
  <c r="S46" i="26"/>
  <c r="R46" i="26"/>
  <c r="Q46" i="26"/>
  <c r="P46" i="26"/>
  <c r="O46" i="26"/>
  <c r="N46" i="26"/>
  <c r="M46" i="26"/>
  <c r="L46" i="26"/>
  <c r="K46" i="26"/>
  <c r="J46" i="26"/>
  <c r="I46" i="26"/>
  <c r="H46" i="26"/>
  <c r="F46" i="26"/>
  <c r="T45" i="26"/>
  <c r="S45" i="26"/>
  <c r="R45" i="26"/>
  <c r="Q45" i="26"/>
  <c r="P45" i="26"/>
  <c r="O45" i="26"/>
  <c r="N45" i="26"/>
  <c r="M45" i="26"/>
  <c r="L45" i="26"/>
  <c r="K45" i="26"/>
  <c r="J45" i="26"/>
  <c r="I45" i="26"/>
  <c r="H45" i="26"/>
  <c r="F45" i="26"/>
  <c r="T44" i="26"/>
  <c r="S44" i="26"/>
  <c r="R44" i="26"/>
  <c r="Q44" i="26"/>
  <c r="P44" i="26"/>
  <c r="O44" i="26"/>
  <c r="N44" i="26"/>
  <c r="M44" i="26"/>
  <c r="L44" i="26"/>
  <c r="K44" i="26"/>
  <c r="J44" i="26"/>
  <c r="I44" i="26"/>
  <c r="H44" i="26"/>
  <c r="G44" i="26"/>
  <c r="F44" i="26"/>
  <c r="T43" i="26"/>
  <c r="S43" i="26"/>
  <c r="R43" i="26"/>
  <c r="Q43" i="26"/>
  <c r="P43" i="26"/>
  <c r="O43" i="26"/>
  <c r="N43" i="26"/>
  <c r="M43" i="26"/>
  <c r="L43" i="26"/>
  <c r="K43" i="26"/>
  <c r="J43" i="26"/>
  <c r="I43" i="26"/>
  <c r="H43" i="26"/>
  <c r="G43" i="26"/>
  <c r="F43" i="26"/>
  <c r="T42" i="26"/>
  <c r="S42" i="26"/>
  <c r="R42" i="26"/>
  <c r="Q42" i="26"/>
  <c r="P42" i="26"/>
  <c r="O42" i="26"/>
  <c r="N42" i="26"/>
  <c r="M42" i="26"/>
  <c r="L42" i="26"/>
  <c r="K42" i="26"/>
  <c r="J42" i="26"/>
  <c r="I42" i="26"/>
  <c r="H42" i="26"/>
  <c r="F42" i="26"/>
  <c r="T41" i="26"/>
  <c r="S41" i="26"/>
  <c r="R41" i="26"/>
  <c r="Q41" i="26"/>
  <c r="P41" i="26"/>
  <c r="O41" i="26"/>
  <c r="N41" i="26"/>
  <c r="M41" i="26"/>
  <c r="L41" i="26"/>
  <c r="K41" i="26"/>
  <c r="J41" i="26"/>
  <c r="I41" i="26"/>
  <c r="H41" i="26"/>
  <c r="F41" i="26"/>
  <c r="AK40" i="26"/>
  <c r="AJ40" i="26"/>
  <c r="AC40" i="26"/>
  <c r="AB40" i="26"/>
  <c r="AK39" i="26"/>
  <c r="AJ39" i="26"/>
  <c r="AC39" i="26"/>
  <c r="AB39" i="26"/>
  <c r="AK38" i="26"/>
  <c r="AJ38" i="26"/>
  <c r="AC38" i="26"/>
  <c r="AB38" i="26"/>
  <c r="T38" i="26"/>
  <c r="S38" i="26"/>
  <c r="R38" i="26"/>
  <c r="Q38" i="26"/>
  <c r="P38" i="26"/>
  <c r="O38" i="26"/>
  <c r="N38" i="26"/>
  <c r="M38" i="26"/>
  <c r="L38" i="26"/>
  <c r="K38" i="26"/>
  <c r="J38" i="26"/>
  <c r="I38" i="26"/>
  <c r="H38" i="26"/>
  <c r="G38" i="26"/>
  <c r="F38" i="26"/>
  <c r="AK37" i="26"/>
  <c r="AJ37" i="26"/>
  <c r="AC37" i="26"/>
  <c r="AB37" i="26"/>
  <c r="T37" i="26"/>
  <c r="S37" i="26"/>
  <c r="R37" i="26"/>
  <c r="Q37" i="26"/>
  <c r="P37" i="26"/>
  <c r="O37" i="26"/>
  <c r="N37" i="26"/>
  <c r="M37" i="26"/>
  <c r="L37" i="26"/>
  <c r="K37" i="26"/>
  <c r="J37" i="26"/>
  <c r="I37" i="26"/>
  <c r="H37" i="26"/>
  <c r="G37" i="26"/>
  <c r="F37" i="26"/>
  <c r="AK36" i="26"/>
  <c r="AJ36" i="26"/>
  <c r="AC36" i="26"/>
  <c r="AB36" i="26"/>
  <c r="T36" i="26"/>
  <c r="F36" i="26"/>
  <c r="AK35" i="26"/>
  <c r="AJ35" i="26"/>
  <c r="AC35" i="26"/>
  <c r="AB35" i="26"/>
  <c r="T35" i="26"/>
  <c r="AK34" i="26"/>
  <c r="AJ34" i="26"/>
  <c r="AC34" i="26"/>
  <c r="AB34" i="26"/>
  <c r="AK33" i="26"/>
  <c r="AJ33" i="26"/>
  <c r="AC33" i="26"/>
  <c r="AB33" i="26"/>
  <c r="AK32" i="26"/>
  <c r="AJ32" i="26"/>
  <c r="AC32" i="26"/>
  <c r="AB32" i="26"/>
  <c r="AK31" i="26"/>
  <c r="AJ31" i="26"/>
  <c r="AC31" i="26"/>
  <c r="AB31" i="26"/>
  <c r="AN30" i="26"/>
  <c r="AM30" i="26"/>
  <c r="AK30" i="26"/>
  <c r="AJ30" i="26"/>
  <c r="AF30" i="26"/>
  <c r="AE30" i="26"/>
  <c r="AC30" i="26"/>
  <c r="AB30" i="26"/>
  <c r="U29" i="26"/>
  <c r="T29" i="26"/>
  <c r="S29" i="26"/>
  <c r="R29" i="26"/>
  <c r="Q29" i="26"/>
  <c r="P29" i="26"/>
  <c r="K29" i="26"/>
  <c r="J29" i="26"/>
  <c r="I29" i="26"/>
  <c r="H29" i="26"/>
  <c r="G29" i="26"/>
  <c r="F29" i="26"/>
  <c r="U28" i="26"/>
  <c r="T28" i="26"/>
  <c r="S28" i="26"/>
  <c r="R28" i="26"/>
  <c r="Q28" i="26"/>
  <c r="P28" i="26"/>
  <c r="K28" i="26"/>
  <c r="J28" i="26"/>
  <c r="I28" i="26"/>
  <c r="H28" i="26"/>
  <c r="G28" i="26"/>
  <c r="F28" i="26"/>
  <c r="AJ27" i="26"/>
  <c r="AB27" i="26"/>
  <c r="Q27" i="26"/>
  <c r="P27" i="26"/>
  <c r="G27" i="26"/>
  <c r="F27" i="26"/>
  <c r="X23" i="26"/>
  <c r="W23" i="26"/>
  <c r="T23" i="26"/>
  <c r="S23" i="26"/>
  <c r="R23" i="26"/>
  <c r="Q23" i="26"/>
  <c r="P23" i="26"/>
  <c r="O23" i="26"/>
  <c r="N23" i="26"/>
  <c r="M23" i="26"/>
  <c r="L23" i="26"/>
  <c r="K23" i="26"/>
  <c r="J23" i="26"/>
  <c r="I23" i="26"/>
  <c r="H23" i="26"/>
  <c r="G23" i="26"/>
  <c r="X22" i="26"/>
  <c r="W22" i="26"/>
  <c r="F22" i="26"/>
  <c r="AC21" i="26"/>
  <c r="AB21" i="26"/>
  <c r="AC20" i="26"/>
  <c r="AB20" i="26"/>
  <c r="X20" i="26"/>
  <c r="W20" i="26"/>
  <c r="V20" i="26"/>
  <c r="U20" i="26"/>
  <c r="T20" i="26"/>
  <c r="S20" i="26"/>
  <c r="R20" i="26"/>
  <c r="Q20" i="26"/>
  <c r="P20" i="26"/>
  <c r="O20" i="26"/>
  <c r="N20" i="26"/>
  <c r="M20" i="26"/>
  <c r="L20" i="26"/>
  <c r="K20" i="26"/>
  <c r="J20" i="26"/>
  <c r="I20" i="26"/>
  <c r="H20" i="26"/>
  <c r="G20" i="26"/>
  <c r="AC19" i="26"/>
  <c r="AB19" i="26"/>
  <c r="X19" i="26"/>
  <c r="W19" i="26"/>
  <c r="V19" i="26"/>
  <c r="U19" i="26"/>
  <c r="T19" i="26"/>
  <c r="S19" i="26"/>
  <c r="R19" i="26"/>
  <c r="Q19" i="26"/>
  <c r="P19" i="26"/>
  <c r="O19" i="26"/>
  <c r="N19" i="26"/>
  <c r="M19" i="26"/>
  <c r="L19" i="26"/>
  <c r="K19" i="26"/>
  <c r="J19" i="26"/>
  <c r="I19" i="26"/>
  <c r="H19" i="26"/>
  <c r="G19" i="26"/>
  <c r="AC18" i="26"/>
  <c r="AB18" i="26"/>
  <c r="D18" i="26"/>
  <c r="C18" i="26"/>
  <c r="D17" i="26"/>
  <c r="C17" i="26"/>
  <c r="D16" i="26"/>
  <c r="C16" i="26"/>
  <c r="D15" i="26"/>
  <c r="C15" i="26"/>
  <c r="U14" i="26"/>
  <c r="T14" i="26"/>
  <c r="S14" i="26"/>
  <c r="R14" i="26"/>
  <c r="Q14" i="26"/>
  <c r="P14" i="26"/>
  <c r="O14" i="26"/>
  <c r="N14" i="26"/>
  <c r="M14" i="26"/>
  <c r="L14" i="26"/>
  <c r="K14" i="26"/>
  <c r="J14" i="26"/>
  <c r="I14" i="26"/>
  <c r="H14" i="26"/>
  <c r="G14" i="26"/>
  <c r="D14" i="26"/>
  <c r="C14" i="26"/>
  <c r="U13" i="26"/>
  <c r="T13" i="26"/>
  <c r="S13" i="26"/>
  <c r="R13" i="26"/>
  <c r="Q13" i="26"/>
  <c r="P13" i="26"/>
  <c r="O13" i="26"/>
  <c r="N13" i="26"/>
  <c r="M13" i="26"/>
  <c r="L13" i="26"/>
  <c r="K13" i="26"/>
  <c r="J13" i="26"/>
  <c r="I13" i="26"/>
  <c r="H13" i="26"/>
  <c r="G13" i="26"/>
  <c r="D13" i="26"/>
  <c r="C13" i="26"/>
  <c r="D12" i="26"/>
  <c r="C12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G11" i="26"/>
  <c r="D11" i="26"/>
  <c r="C11" i="26"/>
  <c r="U10" i="26"/>
  <c r="T10" i="26"/>
  <c r="S10" i="26"/>
  <c r="R10" i="26"/>
  <c r="Q10" i="26"/>
  <c r="P10" i="26"/>
  <c r="O10" i="26"/>
  <c r="N10" i="26"/>
  <c r="M10" i="26"/>
  <c r="L10" i="26"/>
  <c r="K10" i="26"/>
  <c r="J10" i="26"/>
  <c r="I10" i="26"/>
  <c r="H10" i="26"/>
  <c r="G10" i="26"/>
  <c r="D10" i="26"/>
  <c r="C10" i="26"/>
  <c r="D9" i="26"/>
  <c r="C9" i="26"/>
  <c r="D8" i="26"/>
  <c r="C8" i="26"/>
  <c r="D7" i="26"/>
  <c r="C7" i="26"/>
  <c r="T6" i="26"/>
  <c r="S6" i="26"/>
  <c r="R6" i="26"/>
  <c r="Q6" i="26"/>
  <c r="P6" i="26"/>
  <c r="O6" i="26"/>
  <c r="N6" i="26"/>
  <c r="M6" i="26"/>
  <c r="L6" i="26"/>
  <c r="K6" i="26"/>
  <c r="J6" i="26"/>
  <c r="I6" i="26"/>
  <c r="H6" i="26"/>
  <c r="G6" i="26"/>
  <c r="D6" i="26"/>
  <c r="C6" i="26"/>
  <c r="D5" i="26"/>
  <c r="C5" i="26"/>
  <c r="D4" i="26"/>
  <c r="C4" i="26"/>
  <c r="T127" i="18"/>
  <c r="S127" i="18"/>
  <c r="R127" i="18"/>
  <c r="Q127" i="18"/>
  <c r="P127" i="18"/>
  <c r="O127" i="18"/>
  <c r="N127" i="18"/>
  <c r="M127" i="18"/>
  <c r="J127" i="18"/>
  <c r="I127" i="18"/>
  <c r="H127" i="18"/>
  <c r="G127" i="18"/>
  <c r="F127" i="18"/>
  <c r="E127" i="18"/>
  <c r="D127" i="18"/>
  <c r="C127" i="18"/>
  <c r="T126" i="18"/>
  <c r="S126" i="18"/>
  <c r="R126" i="18"/>
  <c r="Q126" i="18"/>
  <c r="P126" i="18"/>
  <c r="O126" i="18"/>
  <c r="N126" i="18"/>
  <c r="M126" i="18"/>
  <c r="J126" i="18"/>
  <c r="I126" i="18"/>
  <c r="H126" i="18"/>
  <c r="G126" i="18"/>
  <c r="F126" i="18"/>
  <c r="E126" i="18"/>
  <c r="D126" i="18"/>
  <c r="C126" i="18"/>
  <c r="T125" i="18"/>
  <c r="S125" i="18"/>
  <c r="R125" i="18"/>
  <c r="Q125" i="18"/>
  <c r="P125" i="18"/>
  <c r="O125" i="18"/>
  <c r="N125" i="18"/>
  <c r="M125" i="18"/>
  <c r="J125" i="18"/>
  <c r="I125" i="18"/>
  <c r="H125" i="18"/>
  <c r="G125" i="18"/>
  <c r="F125" i="18"/>
  <c r="E125" i="18"/>
  <c r="D125" i="18"/>
  <c r="C125" i="18"/>
  <c r="T124" i="18"/>
  <c r="S124" i="18"/>
  <c r="R124" i="18"/>
  <c r="Q124" i="18"/>
  <c r="P124" i="18"/>
  <c r="O124" i="18"/>
  <c r="N124" i="18"/>
  <c r="M124" i="18"/>
  <c r="J124" i="18"/>
  <c r="I124" i="18"/>
  <c r="H124" i="18"/>
  <c r="G124" i="18"/>
  <c r="F124" i="18"/>
  <c r="E124" i="18"/>
  <c r="D124" i="18"/>
  <c r="C124" i="18"/>
  <c r="T123" i="18"/>
  <c r="S123" i="18"/>
  <c r="R123" i="18"/>
  <c r="Q123" i="18"/>
  <c r="P123" i="18"/>
  <c r="O123" i="18"/>
  <c r="N123" i="18"/>
  <c r="M123" i="18"/>
  <c r="J123" i="18"/>
  <c r="I123" i="18"/>
  <c r="H123" i="18"/>
  <c r="G123" i="18"/>
  <c r="F123" i="18"/>
  <c r="E123" i="18"/>
  <c r="D123" i="18"/>
  <c r="C123" i="18"/>
  <c r="T122" i="18"/>
  <c r="S122" i="18"/>
  <c r="R122" i="18"/>
  <c r="Q122" i="18"/>
  <c r="P122" i="18"/>
  <c r="O122" i="18"/>
  <c r="N122" i="18"/>
  <c r="M122" i="18"/>
  <c r="J122" i="18"/>
  <c r="I122" i="18"/>
  <c r="H122" i="18"/>
  <c r="G122" i="18"/>
  <c r="F122" i="18"/>
  <c r="E122" i="18"/>
  <c r="D122" i="18"/>
  <c r="C122" i="18"/>
  <c r="T121" i="18"/>
  <c r="S121" i="18"/>
  <c r="R121" i="18"/>
  <c r="Q121" i="18"/>
  <c r="P121" i="18"/>
  <c r="O121" i="18"/>
  <c r="N121" i="18"/>
  <c r="M121" i="18"/>
  <c r="J121" i="18"/>
  <c r="I121" i="18"/>
  <c r="H121" i="18"/>
  <c r="G121" i="18"/>
  <c r="F121" i="18"/>
  <c r="E121" i="18"/>
  <c r="D121" i="18"/>
  <c r="C121" i="18"/>
  <c r="T120" i="18"/>
  <c r="S120" i="18"/>
  <c r="R120" i="18"/>
  <c r="Q120" i="18"/>
  <c r="P120" i="18"/>
  <c r="O120" i="18"/>
  <c r="N120" i="18"/>
  <c r="M120" i="18"/>
  <c r="J120" i="18"/>
  <c r="I120" i="18"/>
  <c r="H120" i="18"/>
  <c r="G120" i="18"/>
  <c r="F120" i="18"/>
  <c r="E120" i="18"/>
  <c r="D120" i="18"/>
  <c r="C120" i="18"/>
  <c r="T119" i="18"/>
  <c r="S119" i="18"/>
  <c r="R119" i="18"/>
  <c r="Q119" i="18"/>
  <c r="P119" i="18"/>
  <c r="O119" i="18"/>
  <c r="N119" i="18"/>
  <c r="M119" i="18"/>
  <c r="J119" i="18"/>
  <c r="I119" i="18"/>
  <c r="H119" i="18"/>
  <c r="G119" i="18"/>
  <c r="F119" i="18"/>
  <c r="E119" i="18"/>
  <c r="D119" i="18"/>
  <c r="C119" i="18"/>
  <c r="T118" i="18"/>
  <c r="S118" i="18"/>
  <c r="R118" i="18"/>
  <c r="Q118" i="18"/>
  <c r="P118" i="18"/>
  <c r="O118" i="18"/>
  <c r="N118" i="18"/>
  <c r="M118" i="18"/>
  <c r="J118" i="18"/>
  <c r="I118" i="18"/>
  <c r="H118" i="18"/>
  <c r="G118" i="18"/>
  <c r="F118" i="18"/>
  <c r="E118" i="18"/>
  <c r="D118" i="18"/>
  <c r="C118" i="18"/>
  <c r="T117" i="18"/>
  <c r="S117" i="18"/>
  <c r="R117" i="18"/>
  <c r="Q117" i="18"/>
  <c r="P117" i="18"/>
  <c r="O117" i="18"/>
  <c r="N117" i="18"/>
  <c r="M117" i="18"/>
  <c r="J117" i="18"/>
  <c r="I117" i="18"/>
  <c r="H117" i="18"/>
  <c r="G117" i="18"/>
  <c r="F117" i="18"/>
  <c r="E117" i="18"/>
  <c r="D117" i="18"/>
  <c r="C117" i="18"/>
  <c r="S115" i="18"/>
  <c r="Q115" i="18"/>
  <c r="O115" i="18"/>
  <c r="M115" i="18"/>
  <c r="I115" i="18"/>
  <c r="G115" i="18"/>
  <c r="E115" i="18"/>
  <c r="C115" i="18"/>
  <c r="L114" i="18"/>
  <c r="B114" i="18"/>
  <c r="T112" i="18"/>
  <c r="S112" i="18"/>
  <c r="R112" i="18"/>
  <c r="Q112" i="18"/>
  <c r="P112" i="18"/>
  <c r="O112" i="18"/>
  <c r="N112" i="18"/>
  <c r="M112" i="18"/>
  <c r="J112" i="18"/>
  <c r="I112" i="18"/>
  <c r="H112" i="18"/>
  <c r="G112" i="18"/>
  <c r="F112" i="18"/>
  <c r="E112" i="18"/>
  <c r="D112" i="18"/>
  <c r="C112" i="18"/>
  <c r="T111" i="18"/>
  <c r="S111" i="18"/>
  <c r="R111" i="18"/>
  <c r="Q111" i="18"/>
  <c r="P111" i="18"/>
  <c r="O111" i="18"/>
  <c r="N111" i="18"/>
  <c r="M111" i="18"/>
  <c r="J111" i="18"/>
  <c r="I111" i="18"/>
  <c r="H111" i="18"/>
  <c r="G111" i="18"/>
  <c r="F111" i="18"/>
  <c r="E111" i="18"/>
  <c r="D111" i="18"/>
  <c r="C111" i="18"/>
  <c r="T110" i="18"/>
  <c r="S110" i="18"/>
  <c r="R110" i="18"/>
  <c r="Q110" i="18"/>
  <c r="P110" i="18"/>
  <c r="O110" i="18"/>
  <c r="N110" i="18"/>
  <c r="M110" i="18"/>
  <c r="J110" i="18"/>
  <c r="I110" i="18"/>
  <c r="H110" i="18"/>
  <c r="G110" i="18"/>
  <c r="F110" i="18"/>
  <c r="E110" i="18"/>
  <c r="D110" i="18"/>
  <c r="C110" i="18"/>
  <c r="T109" i="18"/>
  <c r="S109" i="18"/>
  <c r="R109" i="18"/>
  <c r="Q109" i="18"/>
  <c r="P109" i="18"/>
  <c r="O109" i="18"/>
  <c r="N109" i="18"/>
  <c r="M109" i="18"/>
  <c r="J109" i="18"/>
  <c r="I109" i="18"/>
  <c r="H109" i="18"/>
  <c r="G109" i="18"/>
  <c r="F109" i="18"/>
  <c r="E109" i="18"/>
  <c r="D109" i="18"/>
  <c r="C109" i="18"/>
  <c r="T108" i="18"/>
  <c r="S108" i="18"/>
  <c r="R108" i="18"/>
  <c r="Q108" i="18"/>
  <c r="P108" i="18"/>
  <c r="O108" i="18"/>
  <c r="N108" i="18"/>
  <c r="M108" i="18"/>
  <c r="J108" i="18"/>
  <c r="I108" i="18"/>
  <c r="H108" i="18"/>
  <c r="G108" i="18"/>
  <c r="F108" i="18"/>
  <c r="E108" i="18"/>
  <c r="D108" i="18"/>
  <c r="C108" i="18"/>
  <c r="T107" i="18"/>
  <c r="S107" i="18"/>
  <c r="R107" i="18"/>
  <c r="Q107" i="18"/>
  <c r="P107" i="18"/>
  <c r="O107" i="18"/>
  <c r="N107" i="18"/>
  <c r="M107" i="18"/>
  <c r="J107" i="18"/>
  <c r="I107" i="18"/>
  <c r="H107" i="18"/>
  <c r="G107" i="18"/>
  <c r="F107" i="18"/>
  <c r="E107" i="18"/>
  <c r="D107" i="18"/>
  <c r="C107" i="18"/>
  <c r="T106" i="18"/>
  <c r="S106" i="18"/>
  <c r="R106" i="18"/>
  <c r="Q106" i="18"/>
  <c r="P106" i="18"/>
  <c r="O106" i="18"/>
  <c r="N106" i="18"/>
  <c r="M106" i="18"/>
  <c r="J106" i="18"/>
  <c r="I106" i="18"/>
  <c r="H106" i="18"/>
  <c r="G106" i="18"/>
  <c r="F106" i="18"/>
  <c r="E106" i="18"/>
  <c r="D106" i="18"/>
  <c r="C106" i="18"/>
  <c r="T105" i="18"/>
  <c r="S105" i="18"/>
  <c r="R105" i="18"/>
  <c r="Q105" i="18"/>
  <c r="P105" i="18"/>
  <c r="O105" i="18"/>
  <c r="N105" i="18"/>
  <c r="M105" i="18"/>
  <c r="J105" i="18"/>
  <c r="I105" i="18"/>
  <c r="H105" i="18"/>
  <c r="G105" i="18"/>
  <c r="F105" i="18"/>
  <c r="E105" i="18"/>
  <c r="D105" i="18"/>
  <c r="C105" i="18"/>
  <c r="T104" i="18"/>
  <c r="S104" i="18"/>
  <c r="R104" i="18"/>
  <c r="Q104" i="18"/>
  <c r="P104" i="18"/>
  <c r="O104" i="18"/>
  <c r="N104" i="18"/>
  <c r="M104" i="18"/>
  <c r="J104" i="18"/>
  <c r="I104" i="18"/>
  <c r="H104" i="18"/>
  <c r="G104" i="18"/>
  <c r="F104" i="18"/>
  <c r="E104" i="18"/>
  <c r="D104" i="18"/>
  <c r="C104" i="18"/>
  <c r="T103" i="18"/>
  <c r="S103" i="18"/>
  <c r="R103" i="18"/>
  <c r="Q103" i="18"/>
  <c r="P103" i="18"/>
  <c r="O103" i="18"/>
  <c r="N103" i="18"/>
  <c r="M103" i="18"/>
  <c r="J103" i="18"/>
  <c r="I103" i="18"/>
  <c r="H103" i="18"/>
  <c r="G103" i="18"/>
  <c r="F103" i="18"/>
  <c r="E103" i="18"/>
  <c r="D103" i="18"/>
  <c r="C103" i="18"/>
  <c r="T102" i="18"/>
  <c r="S102" i="18"/>
  <c r="R102" i="18"/>
  <c r="Q102" i="18"/>
  <c r="P102" i="18"/>
  <c r="O102" i="18"/>
  <c r="N102" i="18"/>
  <c r="M102" i="18"/>
  <c r="J102" i="18"/>
  <c r="I102" i="18"/>
  <c r="H102" i="18"/>
  <c r="G102" i="18"/>
  <c r="F102" i="18"/>
  <c r="E102" i="18"/>
  <c r="D102" i="18"/>
  <c r="C102" i="18"/>
  <c r="S100" i="18"/>
  <c r="Q100" i="18"/>
  <c r="O100" i="18"/>
  <c r="M100" i="18"/>
  <c r="I100" i="18"/>
  <c r="G100" i="18"/>
  <c r="E100" i="18"/>
  <c r="C100" i="18"/>
  <c r="L99" i="18"/>
  <c r="B99" i="18"/>
  <c r="T96" i="18"/>
  <c r="S96" i="18"/>
  <c r="R96" i="18"/>
  <c r="Q96" i="18"/>
  <c r="P96" i="18"/>
  <c r="O96" i="18"/>
  <c r="N96" i="18"/>
  <c r="M96" i="18"/>
  <c r="J96" i="18"/>
  <c r="I96" i="18"/>
  <c r="H96" i="18"/>
  <c r="G96" i="18"/>
  <c r="F96" i="18"/>
  <c r="E96" i="18"/>
  <c r="D96" i="18"/>
  <c r="C96" i="18"/>
  <c r="T95" i="18"/>
  <c r="S95" i="18"/>
  <c r="R95" i="18"/>
  <c r="Q95" i="18"/>
  <c r="P95" i="18"/>
  <c r="O95" i="18"/>
  <c r="N95" i="18"/>
  <c r="M95" i="18"/>
  <c r="J95" i="18"/>
  <c r="I95" i="18"/>
  <c r="H95" i="18"/>
  <c r="G95" i="18"/>
  <c r="F95" i="18"/>
  <c r="E95" i="18"/>
  <c r="D95" i="18"/>
  <c r="C95" i="18"/>
  <c r="T94" i="18"/>
  <c r="S94" i="18"/>
  <c r="R94" i="18"/>
  <c r="Q94" i="18"/>
  <c r="P94" i="18"/>
  <c r="O94" i="18"/>
  <c r="N94" i="18"/>
  <c r="M94" i="18"/>
  <c r="J94" i="18"/>
  <c r="I94" i="18"/>
  <c r="H94" i="18"/>
  <c r="G94" i="18"/>
  <c r="F94" i="18"/>
  <c r="E94" i="18"/>
  <c r="D94" i="18"/>
  <c r="C94" i="18"/>
  <c r="T93" i="18"/>
  <c r="S93" i="18"/>
  <c r="R93" i="18"/>
  <c r="Q93" i="18"/>
  <c r="P93" i="18"/>
  <c r="O93" i="18"/>
  <c r="N93" i="18"/>
  <c r="M93" i="18"/>
  <c r="J93" i="18"/>
  <c r="I93" i="18"/>
  <c r="H93" i="18"/>
  <c r="G93" i="18"/>
  <c r="F93" i="18"/>
  <c r="E93" i="18"/>
  <c r="D93" i="18"/>
  <c r="C93" i="18"/>
  <c r="T92" i="18"/>
  <c r="S92" i="18"/>
  <c r="R92" i="18"/>
  <c r="Q92" i="18"/>
  <c r="P92" i="18"/>
  <c r="O92" i="18"/>
  <c r="N92" i="18"/>
  <c r="M92" i="18"/>
  <c r="J92" i="18"/>
  <c r="I92" i="18"/>
  <c r="H92" i="18"/>
  <c r="G92" i="18"/>
  <c r="F92" i="18"/>
  <c r="E92" i="18"/>
  <c r="D92" i="18"/>
  <c r="C92" i="18"/>
  <c r="T91" i="18"/>
  <c r="S91" i="18"/>
  <c r="R91" i="18"/>
  <c r="Q91" i="18"/>
  <c r="P91" i="18"/>
  <c r="O91" i="18"/>
  <c r="N91" i="18"/>
  <c r="M91" i="18"/>
  <c r="J91" i="18"/>
  <c r="I91" i="18"/>
  <c r="H91" i="18"/>
  <c r="G91" i="18"/>
  <c r="F91" i="18"/>
  <c r="E91" i="18"/>
  <c r="D91" i="18"/>
  <c r="C91" i="18"/>
  <c r="T90" i="18"/>
  <c r="S90" i="18"/>
  <c r="R90" i="18"/>
  <c r="Q90" i="18"/>
  <c r="P90" i="18"/>
  <c r="O90" i="18"/>
  <c r="N90" i="18"/>
  <c r="M90" i="18"/>
  <c r="J90" i="18"/>
  <c r="I90" i="18"/>
  <c r="H90" i="18"/>
  <c r="G90" i="18"/>
  <c r="F90" i="18"/>
  <c r="E90" i="18"/>
  <c r="D90" i="18"/>
  <c r="C90" i="18"/>
  <c r="T89" i="18"/>
  <c r="S89" i="18"/>
  <c r="R89" i="18"/>
  <c r="Q89" i="18"/>
  <c r="P89" i="18"/>
  <c r="O89" i="18"/>
  <c r="N89" i="18"/>
  <c r="M89" i="18"/>
  <c r="J89" i="18"/>
  <c r="I89" i="18"/>
  <c r="H89" i="18"/>
  <c r="G89" i="18"/>
  <c r="F89" i="18"/>
  <c r="E89" i="18"/>
  <c r="D89" i="18"/>
  <c r="C89" i="18"/>
  <c r="T88" i="18"/>
  <c r="S88" i="18"/>
  <c r="R88" i="18"/>
  <c r="Q88" i="18"/>
  <c r="P88" i="18"/>
  <c r="O88" i="18"/>
  <c r="N88" i="18"/>
  <c r="M88" i="18"/>
  <c r="J88" i="18"/>
  <c r="I88" i="18"/>
  <c r="H88" i="18"/>
  <c r="G88" i="18"/>
  <c r="F88" i="18"/>
  <c r="E88" i="18"/>
  <c r="D88" i="18"/>
  <c r="C88" i="18"/>
  <c r="T87" i="18"/>
  <c r="S87" i="18"/>
  <c r="R87" i="18"/>
  <c r="Q87" i="18"/>
  <c r="P87" i="18"/>
  <c r="O87" i="18"/>
  <c r="N87" i="18"/>
  <c r="M87" i="18"/>
  <c r="J87" i="18"/>
  <c r="I87" i="18"/>
  <c r="H87" i="18"/>
  <c r="G87" i="18"/>
  <c r="F87" i="18"/>
  <c r="E87" i="18"/>
  <c r="D87" i="18"/>
  <c r="C87" i="18"/>
  <c r="T86" i="18"/>
  <c r="S86" i="18"/>
  <c r="R86" i="18"/>
  <c r="Q86" i="18"/>
  <c r="P86" i="18"/>
  <c r="O86" i="18"/>
  <c r="N86" i="18"/>
  <c r="M86" i="18"/>
  <c r="J86" i="18"/>
  <c r="I86" i="18"/>
  <c r="H86" i="18"/>
  <c r="G86" i="18"/>
  <c r="F86" i="18"/>
  <c r="E86" i="18"/>
  <c r="D86" i="18"/>
  <c r="C86" i="18"/>
  <c r="S84" i="18"/>
  <c r="Q84" i="18"/>
  <c r="O84" i="18"/>
  <c r="M84" i="18"/>
  <c r="I84" i="18"/>
  <c r="G84" i="18"/>
  <c r="E84" i="18"/>
  <c r="C84" i="18"/>
  <c r="T80" i="18"/>
  <c r="S80" i="18"/>
  <c r="R80" i="18"/>
  <c r="Q80" i="18"/>
  <c r="P80" i="18"/>
  <c r="O80" i="18"/>
  <c r="N80" i="18"/>
  <c r="M80" i="18"/>
  <c r="J80" i="18"/>
  <c r="I80" i="18"/>
  <c r="H80" i="18"/>
  <c r="G80" i="18"/>
  <c r="F80" i="18"/>
  <c r="E80" i="18"/>
  <c r="D80" i="18"/>
  <c r="C80" i="18"/>
  <c r="T79" i="18"/>
  <c r="S79" i="18"/>
  <c r="R79" i="18"/>
  <c r="Q79" i="18"/>
  <c r="P79" i="18"/>
  <c r="O79" i="18"/>
  <c r="N79" i="18"/>
  <c r="M79" i="18"/>
  <c r="J79" i="18"/>
  <c r="I79" i="18"/>
  <c r="H79" i="18"/>
  <c r="G79" i="18"/>
  <c r="F79" i="18"/>
  <c r="E79" i="18"/>
  <c r="D79" i="18"/>
  <c r="C79" i="18"/>
  <c r="T78" i="18"/>
  <c r="S78" i="18"/>
  <c r="R78" i="18"/>
  <c r="Q78" i="18"/>
  <c r="P78" i="18"/>
  <c r="O78" i="18"/>
  <c r="N78" i="18"/>
  <c r="M78" i="18"/>
  <c r="J78" i="18"/>
  <c r="I78" i="18"/>
  <c r="H78" i="18"/>
  <c r="G78" i="18"/>
  <c r="F78" i="18"/>
  <c r="E78" i="18"/>
  <c r="D78" i="18"/>
  <c r="C78" i="18"/>
  <c r="T77" i="18"/>
  <c r="S77" i="18"/>
  <c r="R77" i="18"/>
  <c r="Q77" i="18"/>
  <c r="P77" i="18"/>
  <c r="O77" i="18"/>
  <c r="N77" i="18"/>
  <c r="M77" i="18"/>
  <c r="J77" i="18"/>
  <c r="I77" i="18"/>
  <c r="H77" i="18"/>
  <c r="G77" i="18"/>
  <c r="F77" i="18"/>
  <c r="E77" i="18"/>
  <c r="D77" i="18"/>
  <c r="C77" i="18"/>
  <c r="T76" i="18"/>
  <c r="S76" i="18"/>
  <c r="R76" i="18"/>
  <c r="Q76" i="18"/>
  <c r="P76" i="18"/>
  <c r="O76" i="18"/>
  <c r="N76" i="18"/>
  <c r="M76" i="18"/>
  <c r="J76" i="18"/>
  <c r="I76" i="18"/>
  <c r="H76" i="18"/>
  <c r="G76" i="18"/>
  <c r="F76" i="18"/>
  <c r="E76" i="18"/>
  <c r="D76" i="18"/>
  <c r="C76" i="18"/>
  <c r="T75" i="18"/>
  <c r="S75" i="18"/>
  <c r="R75" i="18"/>
  <c r="Q75" i="18"/>
  <c r="P75" i="18"/>
  <c r="O75" i="18"/>
  <c r="N75" i="18"/>
  <c r="M75" i="18"/>
  <c r="J75" i="18"/>
  <c r="I75" i="18"/>
  <c r="H75" i="18"/>
  <c r="G75" i="18"/>
  <c r="F75" i="18"/>
  <c r="E75" i="18"/>
  <c r="D75" i="18"/>
  <c r="C75" i="18"/>
  <c r="T74" i="18"/>
  <c r="S74" i="18"/>
  <c r="R74" i="18"/>
  <c r="Q74" i="18"/>
  <c r="P74" i="18"/>
  <c r="O74" i="18"/>
  <c r="N74" i="18"/>
  <c r="M74" i="18"/>
  <c r="J74" i="18"/>
  <c r="I74" i="18"/>
  <c r="H74" i="18"/>
  <c r="G74" i="18"/>
  <c r="F74" i="18"/>
  <c r="E74" i="18"/>
  <c r="D74" i="18"/>
  <c r="C74" i="18"/>
  <c r="T73" i="18"/>
  <c r="S73" i="18"/>
  <c r="R73" i="18"/>
  <c r="Q73" i="18"/>
  <c r="P73" i="18"/>
  <c r="O73" i="18"/>
  <c r="N73" i="18"/>
  <c r="M73" i="18"/>
  <c r="J73" i="18"/>
  <c r="I73" i="18"/>
  <c r="H73" i="18"/>
  <c r="G73" i="18"/>
  <c r="F73" i="18"/>
  <c r="E73" i="18"/>
  <c r="D73" i="18"/>
  <c r="C73" i="18"/>
  <c r="T72" i="18"/>
  <c r="S72" i="18"/>
  <c r="R72" i="18"/>
  <c r="Q72" i="18"/>
  <c r="P72" i="18"/>
  <c r="O72" i="18"/>
  <c r="N72" i="18"/>
  <c r="M72" i="18"/>
  <c r="J72" i="18"/>
  <c r="I72" i="18"/>
  <c r="H72" i="18"/>
  <c r="G72" i="18"/>
  <c r="F72" i="18"/>
  <c r="E72" i="18"/>
  <c r="D72" i="18"/>
  <c r="C72" i="18"/>
  <c r="T71" i="18"/>
  <c r="S71" i="18"/>
  <c r="R71" i="18"/>
  <c r="Q71" i="18"/>
  <c r="P71" i="18"/>
  <c r="O71" i="18"/>
  <c r="N71" i="18"/>
  <c r="M71" i="18"/>
  <c r="J71" i="18"/>
  <c r="I71" i="18"/>
  <c r="H71" i="18"/>
  <c r="G71" i="18"/>
  <c r="F71" i="18"/>
  <c r="E71" i="18"/>
  <c r="D71" i="18"/>
  <c r="C71" i="18"/>
  <c r="T70" i="18"/>
  <c r="S70" i="18"/>
  <c r="R70" i="18"/>
  <c r="Q70" i="18"/>
  <c r="P70" i="18"/>
  <c r="O70" i="18"/>
  <c r="N70" i="18"/>
  <c r="M70" i="18"/>
  <c r="J70" i="18"/>
  <c r="I70" i="18"/>
  <c r="H70" i="18"/>
  <c r="G70" i="18"/>
  <c r="F70" i="18"/>
  <c r="E70" i="18"/>
  <c r="D70" i="18"/>
  <c r="C70" i="18"/>
  <c r="S68" i="18"/>
  <c r="Q68" i="18"/>
  <c r="O68" i="18"/>
  <c r="M68" i="18"/>
  <c r="I68" i="18"/>
  <c r="G68" i="18"/>
  <c r="E68" i="18"/>
  <c r="C68" i="18"/>
  <c r="T64" i="18"/>
  <c r="S64" i="18"/>
  <c r="R64" i="18"/>
  <c r="Q64" i="18"/>
  <c r="P64" i="18"/>
  <c r="O64" i="18"/>
  <c r="N64" i="18"/>
  <c r="M64" i="18"/>
  <c r="J64" i="18"/>
  <c r="I64" i="18"/>
  <c r="H64" i="18"/>
  <c r="G64" i="18"/>
  <c r="F64" i="18"/>
  <c r="E64" i="18"/>
  <c r="D64" i="18"/>
  <c r="C64" i="18"/>
  <c r="T63" i="18"/>
  <c r="S63" i="18"/>
  <c r="R63" i="18"/>
  <c r="Q63" i="18"/>
  <c r="P63" i="18"/>
  <c r="O63" i="18"/>
  <c r="N63" i="18"/>
  <c r="M63" i="18"/>
  <c r="J63" i="18"/>
  <c r="I63" i="18"/>
  <c r="H63" i="18"/>
  <c r="G63" i="18"/>
  <c r="F63" i="18"/>
  <c r="E63" i="18"/>
  <c r="D63" i="18"/>
  <c r="C63" i="18"/>
  <c r="T62" i="18"/>
  <c r="S62" i="18"/>
  <c r="R62" i="18"/>
  <c r="Q62" i="18"/>
  <c r="P62" i="18"/>
  <c r="O62" i="18"/>
  <c r="N62" i="18"/>
  <c r="M62" i="18"/>
  <c r="J62" i="18"/>
  <c r="I62" i="18"/>
  <c r="H62" i="18"/>
  <c r="G62" i="18"/>
  <c r="F62" i="18"/>
  <c r="E62" i="18"/>
  <c r="D62" i="18"/>
  <c r="C62" i="18"/>
  <c r="T61" i="18"/>
  <c r="S61" i="18"/>
  <c r="R61" i="18"/>
  <c r="Q61" i="18"/>
  <c r="P61" i="18"/>
  <c r="O61" i="18"/>
  <c r="N61" i="18"/>
  <c r="M61" i="18"/>
  <c r="J61" i="18"/>
  <c r="I61" i="18"/>
  <c r="H61" i="18"/>
  <c r="G61" i="18"/>
  <c r="F61" i="18"/>
  <c r="E61" i="18"/>
  <c r="D61" i="18"/>
  <c r="C61" i="18"/>
  <c r="T60" i="18"/>
  <c r="S60" i="18"/>
  <c r="R60" i="18"/>
  <c r="Q60" i="18"/>
  <c r="P60" i="18"/>
  <c r="O60" i="18"/>
  <c r="N60" i="18"/>
  <c r="M60" i="18"/>
  <c r="J60" i="18"/>
  <c r="I60" i="18"/>
  <c r="H60" i="18"/>
  <c r="G60" i="18"/>
  <c r="F60" i="18"/>
  <c r="E60" i="18"/>
  <c r="D60" i="18"/>
  <c r="C60" i="18"/>
  <c r="T59" i="18"/>
  <c r="S59" i="18"/>
  <c r="R59" i="18"/>
  <c r="Q59" i="18"/>
  <c r="P59" i="18"/>
  <c r="O59" i="18"/>
  <c r="N59" i="18"/>
  <c r="M59" i="18"/>
  <c r="J59" i="18"/>
  <c r="I59" i="18"/>
  <c r="H59" i="18"/>
  <c r="G59" i="18"/>
  <c r="F59" i="18"/>
  <c r="E59" i="18"/>
  <c r="D59" i="18"/>
  <c r="C59" i="18"/>
  <c r="T58" i="18"/>
  <c r="S58" i="18"/>
  <c r="R58" i="18"/>
  <c r="Q58" i="18"/>
  <c r="P58" i="18"/>
  <c r="O58" i="18"/>
  <c r="N58" i="18"/>
  <c r="M58" i="18"/>
  <c r="J58" i="18"/>
  <c r="I58" i="18"/>
  <c r="H58" i="18"/>
  <c r="G58" i="18"/>
  <c r="F58" i="18"/>
  <c r="E58" i="18"/>
  <c r="D58" i="18"/>
  <c r="C58" i="18"/>
  <c r="T57" i="18"/>
  <c r="S57" i="18"/>
  <c r="R57" i="18"/>
  <c r="Q57" i="18"/>
  <c r="P57" i="18"/>
  <c r="O57" i="18"/>
  <c r="N57" i="18"/>
  <c r="M57" i="18"/>
  <c r="J57" i="18"/>
  <c r="I57" i="18"/>
  <c r="H57" i="18"/>
  <c r="G57" i="18"/>
  <c r="F57" i="18"/>
  <c r="E57" i="18"/>
  <c r="D57" i="18"/>
  <c r="C57" i="18"/>
  <c r="T56" i="18"/>
  <c r="S56" i="18"/>
  <c r="R56" i="18"/>
  <c r="Q56" i="18"/>
  <c r="P56" i="18"/>
  <c r="O56" i="18"/>
  <c r="N56" i="18"/>
  <c r="M56" i="18"/>
  <c r="J56" i="18"/>
  <c r="I56" i="18"/>
  <c r="H56" i="18"/>
  <c r="G56" i="18"/>
  <c r="F56" i="18"/>
  <c r="E56" i="18"/>
  <c r="D56" i="18"/>
  <c r="C56" i="18"/>
  <c r="T55" i="18"/>
  <c r="S55" i="18"/>
  <c r="R55" i="18"/>
  <c r="Q55" i="18"/>
  <c r="P55" i="18"/>
  <c r="O55" i="18"/>
  <c r="N55" i="18"/>
  <c r="M55" i="18"/>
  <c r="J55" i="18"/>
  <c r="I55" i="18"/>
  <c r="H55" i="18"/>
  <c r="G55" i="18"/>
  <c r="F55" i="18"/>
  <c r="E55" i="18"/>
  <c r="D55" i="18"/>
  <c r="C55" i="18"/>
  <c r="T54" i="18"/>
  <c r="S54" i="18"/>
  <c r="R54" i="18"/>
  <c r="Q54" i="18"/>
  <c r="P54" i="18"/>
  <c r="O54" i="18"/>
  <c r="N54" i="18"/>
  <c r="M54" i="18"/>
  <c r="J54" i="18"/>
  <c r="I54" i="18"/>
  <c r="H54" i="18"/>
  <c r="G54" i="18"/>
  <c r="F54" i="18"/>
  <c r="E54" i="18"/>
  <c r="D54" i="18"/>
  <c r="C54" i="18"/>
  <c r="AB53" i="18"/>
  <c r="AA53" i="18"/>
  <c r="Z53" i="18"/>
  <c r="Y53" i="18"/>
  <c r="AB52" i="18"/>
  <c r="AA52" i="18"/>
  <c r="Z52" i="18"/>
  <c r="Y52" i="18"/>
  <c r="S52" i="18"/>
  <c r="Q52" i="18"/>
  <c r="O52" i="18"/>
  <c r="M52" i="18"/>
  <c r="I52" i="18"/>
  <c r="G52" i="18"/>
  <c r="E52" i="18"/>
  <c r="C52" i="18"/>
  <c r="AB51" i="18"/>
  <c r="AA51" i="18"/>
  <c r="Z51" i="18"/>
  <c r="Y51" i="18"/>
  <c r="AB50" i="18"/>
  <c r="AA50" i="18"/>
  <c r="Z50" i="18"/>
  <c r="Y50" i="18"/>
  <c r="AB49" i="18"/>
  <c r="AA49" i="18"/>
  <c r="Z49" i="18"/>
  <c r="Y49" i="18"/>
  <c r="T48" i="18"/>
  <c r="S48" i="18"/>
  <c r="R48" i="18"/>
  <c r="Q48" i="18"/>
  <c r="P48" i="18"/>
  <c r="O48" i="18"/>
  <c r="N48" i="18"/>
  <c r="M48" i="18"/>
  <c r="J48" i="18"/>
  <c r="I48" i="18"/>
  <c r="H48" i="18"/>
  <c r="G48" i="18"/>
  <c r="F48" i="18"/>
  <c r="E48" i="18"/>
  <c r="D48" i="18"/>
  <c r="C48" i="18"/>
  <c r="T47" i="18"/>
  <c r="S47" i="18"/>
  <c r="R47" i="18"/>
  <c r="Q47" i="18"/>
  <c r="P47" i="18"/>
  <c r="O47" i="18"/>
  <c r="N47" i="18"/>
  <c r="M47" i="18"/>
  <c r="J47" i="18"/>
  <c r="I47" i="18"/>
  <c r="H47" i="18"/>
  <c r="G47" i="18"/>
  <c r="F47" i="18"/>
  <c r="E47" i="18"/>
  <c r="D47" i="18"/>
  <c r="C47" i="18"/>
  <c r="T46" i="18"/>
  <c r="S46" i="18"/>
  <c r="R46" i="18"/>
  <c r="Q46" i="18"/>
  <c r="P46" i="18"/>
  <c r="O46" i="18"/>
  <c r="N46" i="18"/>
  <c r="M46" i="18"/>
  <c r="J46" i="18"/>
  <c r="I46" i="18"/>
  <c r="H46" i="18"/>
  <c r="G46" i="18"/>
  <c r="F46" i="18"/>
  <c r="E46" i="18"/>
  <c r="D46" i="18"/>
  <c r="C46" i="18"/>
  <c r="T45" i="18"/>
  <c r="S45" i="18"/>
  <c r="R45" i="18"/>
  <c r="Q45" i="18"/>
  <c r="P45" i="18"/>
  <c r="O45" i="18"/>
  <c r="N45" i="18"/>
  <c r="M45" i="18"/>
  <c r="J45" i="18"/>
  <c r="I45" i="18"/>
  <c r="H45" i="18"/>
  <c r="G45" i="18"/>
  <c r="F45" i="18"/>
  <c r="E45" i="18"/>
  <c r="D45" i="18"/>
  <c r="C45" i="18"/>
  <c r="T44" i="18"/>
  <c r="S44" i="18"/>
  <c r="R44" i="18"/>
  <c r="Q44" i="18"/>
  <c r="P44" i="18"/>
  <c r="O44" i="18"/>
  <c r="N44" i="18"/>
  <c r="M44" i="18"/>
  <c r="J44" i="18"/>
  <c r="I44" i="18"/>
  <c r="H44" i="18"/>
  <c r="G44" i="18"/>
  <c r="F44" i="18"/>
  <c r="E44" i="18"/>
  <c r="D44" i="18"/>
  <c r="C44" i="18"/>
  <c r="T43" i="18"/>
  <c r="S43" i="18"/>
  <c r="R43" i="18"/>
  <c r="Q43" i="18"/>
  <c r="P43" i="18"/>
  <c r="O43" i="18"/>
  <c r="N43" i="18"/>
  <c r="M43" i="18"/>
  <c r="J43" i="18"/>
  <c r="I43" i="18"/>
  <c r="H43" i="18"/>
  <c r="G43" i="18"/>
  <c r="F43" i="18"/>
  <c r="E43" i="18"/>
  <c r="D43" i="18"/>
  <c r="C43" i="18"/>
  <c r="AB42" i="18"/>
  <c r="AA42" i="18"/>
  <c r="Z42" i="18"/>
  <c r="Y42" i="18"/>
  <c r="T42" i="18"/>
  <c r="S42" i="18"/>
  <c r="R42" i="18"/>
  <c r="Q42" i="18"/>
  <c r="P42" i="18"/>
  <c r="O42" i="18"/>
  <c r="N42" i="18"/>
  <c r="M42" i="18"/>
  <c r="J42" i="18"/>
  <c r="I42" i="18"/>
  <c r="H42" i="18"/>
  <c r="G42" i="18"/>
  <c r="F42" i="18"/>
  <c r="E42" i="18"/>
  <c r="D42" i="18"/>
  <c r="C42" i="18"/>
  <c r="AB41" i="18"/>
  <c r="AA41" i="18"/>
  <c r="Z41" i="18"/>
  <c r="Y41" i="18"/>
  <c r="T41" i="18"/>
  <c r="S41" i="18"/>
  <c r="R41" i="18"/>
  <c r="Q41" i="18"/>
  <c r="P41" i="18"/>
  <c r="O41" i="18"/>
  <c r="N41" i="18"/>
  <c r="M41" i="18"/>
  <c r="J41" i="18"/>
  <c r="I41" i="18"/>
  <c r="H41" i="18"/>
  <c r="G41" i="18"/>
  <c r="F41" i="18"/>
  <c r="E41" i="18"/>
  <c r="D41" i="18"/>
  <c r="C41" i="18"/>
  <c r="AB40" i="18"/>
  <c r="AA40" i="18"/>
  <c r="Z40" i="18"/>
  <c r="Y40" i="18"/>
  <c r="T40" i="18"/>
  <c r="S40" i="18"/>
  <c r="R40" i="18"/>
  <c r="Q40" i="18"/>
  <c r="P40" i="18"/>
  <c r="O40" i="18"/>
  <c r="N40" i="18"/>
  <c r="M40" i="18"/>
  <c r="J40" i="18"/>
  <c r="I40" i="18"/>
  <c r="H40" i="18"/>
  <c r="G40" i="18"/>
  <c r="F40" i="18"/>
  <c r="E40" i="18"/>
  <c r="D40" i="18"/>
  <c r="C40" i="18"/>
  <c r="AB39" i="18"/>
  <c r="AA39" i="18"/>
  <c r="Z39" i="18"/>
  <c r="Y39" i="18"/>
  <c r="T39" i="18"/>
  <c r="S39" i="18"/>
  <c r="R39" i="18"/>
  <c r="Q39" i="18"/>
  <c r="P39" i="18"/>
  <c r="O39" i="18"/>
  <c r="N39" i="18"/>
  <c r="M39" i="18"/>
  <c r="J39" i="18"/>
  <c r="I39" i="18"/>
  <c r="H39" i="18"/>
  <c r="G39" i="18"/>
  <c r="F39" i="18"/>
  <c r="E39" i="18"/>
  <c r="D39" i="18"/>
  <c r="C39" i="18"/>
  <c r="AG38" i="18"/>
  <c r="AF38" i="18"/>
  <c r="AE38" i="18"/>
  <c r="AB38" i="18"/>
  <c r="AA38" i="18"/>
  <c r="Z38" i="18"/>
  <c r="T38" i="18"/>
  <c r="S38" i="18"/>
  <c r="R38" i="18"/>
  <c r="Q38" i="18"/>
  <c r="P38" i="18"/>
  <c r="O38" i="18"/>
  <c r="N38" i="18"/>
  <c r="M38" i="18"/>
  <c r="J38" i="18"/>
  <c r="I38" i="18"/>
  <c r="H38" i="18"/>
  <c r="G38" i="18"/>
  <c r="F38" i="18"/>
  <c r="E38" i="18"/>
  <c r="D38" i="18"/>
  <c r="C38" i="18"/>
  <c r="S36" i="18"/>
  <c r="Q36" i="18"/>
  <c r="O36" i="18"/>
  <c r="M36" i="18"/>
  <c r="I36" i="18"/>
  <c r="G36" i="18"/>
  <c r="E36" i="18"/>
  <c r="C36" i="18"/>
  <c r="R33" i="18"/>
  <c r="N31" i="18"/>
  <c r="M31" i="18"/>
  <c r="J31" i="18"/>
  <c r="I31" i="18"/>
  <c r="N30" i="18"/>
  <c r="M30" i="18"/>
  <c r="J30" i="18"/>
  <c r="I30" i="18"/>
  <c r="N29" i="18"/>
  <c r="M29" i="18"/>
  <c r="J29" i="18"/>
  <c r="I29" i="18"/>
  <c r="F29" i="18"/>
  <c r="E29" i="18"/>
  <c r="D29" i="18"/>
  <c r="N28" i="18"/>
  <c r="M28" i="18"/>
  <c r="J28" i="18"/>
  <c r="I28" i="18"/>
  <c r="F28" i="18"/>
  <c r="E28" i="18"/>
  <c r="D28" i="18"/>
  <c r="N27" i="18"/>
  <c r="M27" i="18"/>
  <c r="J27" i="18"/>
  <c r="I27" i="18"/>
  <c r="D27" i="18"/>
  <c r="C27" i="18"/>
  <c r="N26" i="18"/>
  <c r="M26" i="18"/>
  <c r="J26" i="18"/>
  <c r="I26" i="18"/>
  <c r="N25" i="18"/>
  <c r="M25" i="18"/>
  <c r="J25" i="18"/>
  <c r="I25" i="18"/>
  <c r="N24" i="18"/>
  <c r="M24" i="18"/>
  <c r="J24" i="18"/>
  <c r="I24" i="18"/>
  <c r="N23" i="18"/>
  <c r="M23" i="18"/>
  <c r="J23" i="18"/>
  <c r="I23" i="18"/>
  <c r="F23" i="18"/>
  <c r="E23" i="18"/>
  <c r="D23" i="18"/>
  <c r="N22" i="18"/>
  <c r="M22" i="18"/>
  <c r="J22" i="18"/>
  <c r="I22" i="18"/>
  <c r="F22" i="18"/>
  <c r="E22" i="18"/>
  <c r="D22" i="18"/>
  <c r="D21" i="18"/>
  <c r="V12" i="18"/>
  <c r="U12" i="18"/>
  <c r="T12" i="18"/>
  <c r="S12" i="18"/>
  <c r="R12" i="18"/>
  <c r="P12" i="18"/>
  <c r="K12" i="18"/>
  <c r="J12" i="18"/>
  <c r="I12" i="18"/>
  <c r="H12" i="18"/>
  <c r="G12" i="18"/>
  <c r="E12" i="18"/>
  <c r="V11" i="18"/>
  <c r="U11" i="18"/>
  <c r="T11" i="18"/>
  <c r="S11" i="18"/>
  <c r="R11" i="18"/>
  <c r="P11" i="18"/>
  <c r="K11" i="18"/>
  <c r="J11" i="18"/>
  <c r="I11" i="18"/>
  <c r="H11" i="18"/>
  <c r="G11" i="18"/>
  <c r="E11" i="18"/>
  <c r="Z10" i="18"/>
  <c r="Y10" i="18"/>
  <c r="V10" i="18"/>
  <c r="U10" i="18"/>
  <c r="T10" i="18"/>
  <c r="S10" i="18"/>
  <c r="R10" i="18"/>
  <c r="P10" i="18"/>
  <c r="K10" i="18"/>
  <c r="J10" i="18"/>
  <c r="I10" i="18"/>
  <c r="H10" i="18"/>
  <c r="G10" i="18"/>
  <c r="E10" i="18"/>
  <c r="Z9" i="18"/>
  <c r="Y9" i="18"/>
  <c r="V9" i="18"/>
  <c r="U9" i="18"/>
  <c r="T9" i="18"/>
  <c r="S9" i="18"/>
  <c r="R9" i="18"/>
  <c r="P9" i="18"/>
  <c r="K9" i="18"/>
  <c r="J9" i="18"/>
  <c r="I9" i="18"/>
  <c r="H9" i="18"/>
  <c r="G9" i="18"/>
  <c r="E9" i="18"/>
  <c r="Y8" i="18"/>
  <c r="V8" i="18"/>
  <c r="U8" i="18"/>
  <c r="T8" i="18"/>
  <c r="S8" i="18"/>
  <c r="R8" i="18"/>
  <c r="P8" i="18"/>
  <c r="K8" i="18"/>
  <c r="J8" i="18"/>
  <c r="I8" i="18"/>
  <c r="H8" i="18"/>
  <c r="G8" i="18"/>
  <c r="E8" i="18"/>
  <c r="V7" i="18"/>
  <c r="U7" i="18"/>
  <c r="T7" i="18"/>
  <c r="S7" i="18"/>
  <c r="R7" i="18"/>
  <c r="P7" i="18"/>
  <c r="K7" i="18"/>
  <c r="J7" i="18"/>
  <c r="I7" i="18"/>
  <c r="H7" i="18"/>
  <c r="G7" i="18"/>
  <c r="E7" i="18"/>
  <c r="R4" i="18"/>
  <c r="Q4" i="18"/>
  <c r="P4" i="18"/>
  <c r="G4" i="18"/>
  <c r="F4" i="18"/>
  <c r="E4" i="18"/>
  <c r="O58" i="19"/>
  <c r="N58" i="19"/>
  <c r="K58" i="19"/>
  <c r="J58" i="19"/>
  <c r="G58" i="19"/>
  <c r="F58" i="19"/>
  <c r="O57" i="19"/>
  <c r="N57" i="19"/>
  <c r="K57" i="19"/>
  <c r="J57" i="19"/>
  <c r="G57" i="19"/>
  <c r="F57" i="19"/>
  <c r="N56" i="19"/>
  <c r="J56" i="19"/>
  <c r="F56" i="19"/>
  <c r="N55" i="19"/>
  <c r="J55" i="19"/>
  <c r="F55" i="19"/>
  <c r="O54" i="19"/>
  <c r="N54" i="19"/>
  <c r="K54" i="19"/>
  <c r="J54" i="19"/>
  <c r="G54" i="19"/>
  <c r="F54" i="19"/>
  <c r="O53" i="19"/>
  <c r="N53" i="19"/>
  <c r="K53" i="19"/>
  <c r="J53" i="19"/>
  <c r="G53" i="19"/>
  <c r="F53" i="19"/>
  <c r="N52" i="19"/>
  <c r="J52" i="19"/>
  <c r="F52" i="19"/>
  <c r="N51" i="19"/>
  <c r="J51" i="19"/>
  <c r="F51" i="19"/>
  <c r="T48" i="19"/>
  <c r="S48" i="19"/>
  <c r="R48" i="19"/>
  <c r="Q48" i="19"/>
  <c r="P48" i="19"/>
  <c r="O48" i="19"/>
  <c r="N48" i="19"/>
  <c r="M48" i="19"/>
  <c r="L48" i="19"/>
  <c r="K48" i="19"/>
  <c r="J48" i="19"/>
  <c r="I48" i="19"/>
  <c r="H48" i="19"/>
  <c r="G48" i="19"/>
  <c r="F48" i="19"/>
  <c r="T47" i="19"/>
  <c r="S47" i="19"/>
  <c r="R47" i="19"/>
  <c r="Q47" i="19"/>
  <c r="P47" i="19"/>
  <c r="O47" i="19"/>
  <c r="N47" i="19"/>
  <c r="M47" i="19"/>
  <c r="L47" i="19"/>
  <c r="K47" i="19"/>
  <c r="J47" i="19"/>
  <c r="I47" i="19"/>
  <c r="H47" i="19"/>
  <c r="G47" i="19"/>
  <c r="F47" i="19"/>
  <c r="T46" i="19"/>
  <c r="S46" i="19"/>
  <c r="R46" i="19"/>
  <c r="Q46" i="19"/>
  <c r="P46" i="19"/>
  <c r="O46" i="19"/>
  <c r="N46" i="19"/>
  <c r="M46" i="19"/>
  <c r="L46" i="19"/>
  <c r="K46" i="19"/>
  <c r="J46" i="19"/>
  <c r="I46" i="19"/>
  <c r="H46" i="19"/>
  <c r="F46" i="19"/>
  <c r="T45" i="19"/>
  <c r="S45" i="19"/>
  <c r="R45" i="19"/>
  <c r="Q45" i="19"/>
  <c r="P45" i="19"/>
  <c r="O45" i="19"/>
  <c r="N45" i="19"/>
  <c r="M45" i="19"/>
  <c r="L45" i="19"/>
  <c r="K45" i="19"/>
  <c r="J45" i="19"/>
  <c r="I45" i="19"/>
  <c r="H45" i="19"/>
  <c r="F45" i="19"/>
  <c r="T44" i="19"/>
  <c r="S44" i="19"/>
  <c r="R44" i="19"/>
  <c r="Q44" i="19"/>
  <c r="P44" i="19"/>
  <c r="O44" i="19"/>
  <c r="N44" i="19"/>
  <c r="M44" i="19"/>
  <c r="L44" i="19"/>
  <c r="K44" i="19"/>
  <c r="J44" i="19"/>
  <c r="I44" i="19"/>
  <c r="H44" i="19"/>
  <c r="G44" i="19"/>
  <c r="F44" i="19"/>
  <c r="T43" i="19"/>
  <c r="S43" i="19"/>
  <c r="R43" i="19"/>
  <c r="Q43" i="19"/>
  <c r="P43" i="19"/>
  <c r="O43" i="19"/>
  <c r="N43" i="19"/>
  <c r="M43" i="19"/>
  <c r="L43" i="19"/>
  <c r="K43" i="19"/>
  <c r="J43" i="19"/>
  <c r="I43" i="19"/>
  <c r="H43" i="19"/>
  <c r="G43" i="19"/>
  <c r="F43" i="19"/>
  <c r="T42" i="19"/>
  <c r="S42" i="19"/>
  <c r="R42" i="19"/>
  <c r="Q42" i="19"/>
  <c r="P42" i="19"/>
  <c r="O42" i="19"/>
  <c r="N42" i="19"/>
  <c r="M42" i="19"/>
  <c r="L42" i="19"/>
  <c r="K42" i="19"/>
  <c r="J42" i="19"/>
  <c r="I42" i="19"/>
  <c r="H42" i="19"/>
  <c r="F42" i="19"/>
  <c r="T41" i="19"/>
  <c r="S41" i="19"/>
  <c r="R41" i="19"/>
  <c r="Q41" i="19"/>
  <c r="P41" i="19"/>
  <c r="O41" i="19"/>
  <c r="N41" i="19"/>
  <c r="M41" i="19"/>
  <c r="L41" i="19"/>
  <c r="K41" i="19"/>
  <c r="J41" i="19"/>
  <c r="I41" i="19"/>
  <c r="H41" i="19"/>
  <c r="F41" i="19"/>
  <c r="T38" i="19"/>
  <c r="S38" i="19"/>
  <c r="R38" i="19"/>
  <c r="Q38" i="19"/>
  <c r="P38" i="19"/>
  <c r="O38" i="19"/>
  <c r="N38" i="19"/>
  <c r="M38" i="19"/>
  <c r="L38" i="19"/>
  <c r="K38" i="19"/>
  <c r="J38" i="19"/>
  <c r="I38" i="19"/>
  <c r="H38" i="19"/>
  <c r="G38" i="19"/>
  <c r="F38" i="19"/>
  <c r="T37" i="19"/>
  <c r="S37" i="19"/>
  <c r="R37" i="19"/>
  <c r="Q37" i="19"/>
  <c r="P37" i="19"/>
  <c r="O37" i="19"/>
  <c r="N37" i="19"/>
  <c r="M37" i="19"/>
  <c r="L37" i="19"/>
  <c r="K37" i="19"/>
  <c r="J37" i="19"/>
  <c r="I37" i="19"/>
  <c r="H37" i="19"/>
  <c r="G37" i="19"/>
  <c r="F37" i="19"/>
  <c r="T36" i="19"/>
  <c r="F36" i="19"/>
  <c r="T35" i="19"/>
  <c r="AN30" i="19"/>
  <c r="AM30" i="19"/>
  <c r="AF30" i="19"/>
  <c r="AE30" i="19"/>
  <c r="U29" i="19"/>
  <c r="T29" i="19"/>
  <c r="S29" i="19"/>
  <c r="R29" i="19"/>
  <c r="Q29" i="19"/>
  <c r="P29" i="19"/>
  <c r="K29" i="19"/>
  <c r="J29" i="19"/>
  <c r="I29" i="19"/>
  <c r="H29" i="19"/>
  <c r="G29" i="19"/>
  <c r="F29" i="19"/>
  <c r="U28" i="19"/>
  <c r="T28" i="19"/>
  <c r="S28" i="19"/>
  <c r="R28" i="19"/>
  <c r="Q28" i="19"/>
  <c r="P28" i="19"/>
  <c r="K28" i="19"/>
  <c r="J28" i="19"/>
  <c r="I28" i="19"/>
  <c r="H28" i="19"/>
  <c r="G28" i="19"/>
  <c r="F28" i="19"/>
  <c r="AJ27" i="19"/>
  <c r="AB27" i="19"/>
  <c r="Q27" i="19"/>
  <c r="P27" i="19"/>
  <c r="G27" i="19"/>
  <c r="F27" i="19"/>
  <c r="X23" i="19"/>
  <c r="W23" i="19"/>
  <c r="X22" i="19"/>
  <c r="W22" i="19"/>
  <c r="F22" i="19"/>
  <c r="AC21" i="19"/>
  <c r="AB21" i="19"/>
  <c r="AC20" i="19"/>
  <c r="AB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AC19" i="19"/>
  <c r="AB19" i="19"/>
  <c r="X19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AC18" i="19"/>
  <c r="AB18" i="19"/>
  <c r="D18" i="19"/>
  <c r="C18" i="19"/>
  <c r="AC17" i="19"/>
  <c r="D17" i="19"/>
  <c r="C17" i="19"/>
  <c r="AC16" i="19"/>
  <c r="AB16" i="19"/>
  <c r="D16" i="19"/>
  <c r="C16" i="19"/>
  <c r="D15" i="19"/>
  <c r="C15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G14" i="19"/>
  <c r="D14" i="19"/>
  <c r="C14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D13" i="19"/>
  <c r="C13" i="19"/>
  <c r="D12" i="19"/>
  <c r="C12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D11" i="19"/>
  <c r="C11" i="19"/>
  <c r="U10" i="19"/>
  <c r="T10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G10" i="19"/>
  <c r="D10" i="19"/>
  <c r="C10" i="19"/>
  <c r="D9" i="19"/>
  <c r="C9" i="19"/>
  <c r="D8" i="19"/>
  <c r="C8" i="19"/>
  <c r="D7" i="19"/>
  <c r="C7" i="19"/>
  <c r="T6" i="19"/>
  <c r="S6" i="19"/>
  <c r="R6" i="19"/>
  <c r="Q6" i="19"/>
  <c r="P6" i="19"/>
  <c r="O6" i="19"/>
  <c r="N6" i="19"/>
  <c r="M6" i="19"/>
  <c r="L6" i="19"/>
  <c r="K6" i="19"/>
  <c r="J6" i="19"/>
  <c r="I6" i="19"/>
  <c r="H6" i="19"/>
  <c r="G6" i="19"/>
  <c r="D6" i="19"/>
  <c r="C6" i="19"/>
  <c r="D5" i="19"/>
  <c r="C5" i="19"/>
  <c r="D4" i="19"/>
  <c r="C4" i="19"/>
  <c r="N153" i="5"/>
  <c r="M153" i="5"/>
  <c r="L153" i="5"/>
  <c r="K153" i="5"/>
  <c r="I153" i="5"/>
  <c r="H153" i="5"/>
  <c r="G153" i="5"/>
  <c r="F153" i="5"/>
  <c r="D153" i="5"/>
  <c r="O142" i="5"/>
  <c r="M142" i="5"/>
  <c r="L142" i="5"/>
  <c r="K142" i="5"/>
  <c r="D142" i="5"/>
  <c r="O140" i="5"/>
  <c r="N140" i="5"/>
  <c r="M140" i="5"/>
  <c r="L140" i="5"/>
  <c r="K140" i="5"/>
  <c r="O139" i="5"/>
  <c r="N139" i="5"/>
  <c r="M139" i="5"/>
  <c r="L139" i="5"/>
  <c r="K139" i="5"/>
  <c r="O138" i="5"/>
  <c r="N138" i="5"/>
  <c r="M138" i="5"/>
  <c r="L138" i="5"/>
  <c r="K138" i="5"/>
  <c r="O137" i="5"/>
  <c r="N137" i="5"/>
  <c r="M137" i="5"/>
  <c r="L137" i="5"/>
  <c r="K137" i="5"/>
  <c r="O136" i="5"/>
  <c r="N136" i="5"/>
  <c r="M136" i="5"/>
  <c r="L136" i="5"/>
  <c r="K136" i="5"/>
  <c r="O135" i="5"/>
  <c r="N135" i="5"/>
  <c r="M135" i="5"/>
  <c r="L135" i="5"/>
  <c r="K135" i="5"/>
  <c r="O134" i="5"/>
  <c r="N134" i="5"/>
  <c r="M134" i="5"/>
  <c r="L134" i="5"/>
  <c r="K134" i="5"/>
  <c r="O133" i="5"/>
  <c r="N133" i="5"/>
  <c r="M133" i="5"/>
  <c r="L133" i="5"/>
  <c r="K133" i="5"/>
  <c r="O132" i="5"/>
  <c r="N132" i="5"/>
  <c r="M132" i="5"/>
  <c r="L132" i="5"/>
  <c r="K132" i="5"/>
  <c r="O131" i="5"/>
  <c r="N131" i="5"/>
  <c r="M131" i="5"/>
  <c r="L131" i="5"/>
  <c r="K131" i="5"/>
  <c r="O130" i="5"/>
  <c r="N130" i="5"/>
  <c r="M130" i="5"/>
  <c r="L130" i="5"/>
  <c r="K130" i="5"/>
  <c r="U129" i="5"/>
  <c r="T129" i="5"/>
  <c r="S129" i="5"/>
  <c r="R129" i="5"/>
  <c r="O129" i="5"/>
  <c r="N129" i="5"/>
  <c r="M129" i="5"/>
  <c r="L129" i="5"/>
  <c r="K129" i="5"/>
  <c r="U128" i="5"/>
  <c r="T128" i="5"/>
  <c r="S128" i="5"/>
  <c r="R128" i="5"/>
  <c r="O128" i="5"/>
  <c r="N128" i="5"/>
  <c r="M128" i="5"/>
  <c r="L128" i="5"/>
  <c r="K128" i="5"/>
  <c r="U127" i="5"/>
  <c r="T127" i="5"/>
  <c r="S127" i="5"/>
  <c r="R127" i="5"/>
  <c r="O127" i="5"/>
  <c r="N127" i="5"/>
  <c r="M127" i="5"/>
  <c r="L127" i="5"/>
  <c r="K127" i="5"/>
  <c r="U126" i="5"/>
  <c r="T126" i="5"/>
  <c r="S126" i="5"/>
  <c r="R126" i="5"/>
  <c r="O126" i="5"/>
  <c r="N126" i="5"/>
  <c r="M126" i="5"/>
  <c r="L126" i="5"/>
  <c r="K126" i="5"/>
  <c r="U125" i="5"/>
  <c r="T125" i="5"/>
  <c r="S125" i="5"/>
  <c r="R125" i="5"/>
  <c r="O125" i="5"/>
  <c r="N125" i="5"/>
  <c r="M125" i="5"/>
  <c r="L125" i="5"/>
  <c r="K125" i="5"/>
  <c r="D125" i="5"/>
  <c r="U124" i="5"/>
  <c r="T124" i="5"/>
  <c r="S124" i="5"/>
  <c r="R124" i="5"/>
  <c r="O124" i="5"/>
  <c r="N124" i="5"/>
  <c r="M124" i="5"/>
  <c r="L124" i="5"/>
  <c r="K124" i="5"/>
  <c r="D124" i="5"/>
  <c r="U123" i="5"/>
  <c r="T123" i="5"/>
  <c r="S123" i="5"/>
  <c r="R123" i="5"/>
  <c r="O123" i="5"/>
  <c r="N123" i="5"/>
  <c r="M123" i="5"/>
  <c r="L123" i="5"/>
  <c r="K123" i="5"/>
  <c r="D123" i="5"/>
  <c r="U122" i="5"/>
  <c r="T122" i="5"/>
  <c r="S122" i="5"/>
  <c r="R122" i="5"/>
  <c r="O122" i="5"/>
  <c r="N122" i="5"/>
  <c r="M122" i="5"/>
  <c r="L122" i="5"/>
  <c r="K122" i="5"/>
  <c r="D122" i="5"/>
  <c r="U121" i="5"/>
  <c r="T121" i="5"/>
  <c r="S121" i="5"/>
  <c r="R121" i="5"/>
  <c r="O121" i="5"/>
  <c r="N121" i="5"/>
  <c r="M121" i="5"/>
  <c r="L121" i="5"/>
  <c r="K121" i="5"/>
  <c r="F121" i="5"/>
  <c r="D121" i="5"/>
  <c r="U120" i="5"/>
  <c r="T120" i="5"/>
  <c r="S120" i="5"/>
  <c r="R120" i="5"/>
  <c r="O120" i="5"/>
  <c r="N120" i="5"/>
  <c r="M120" i="5"/>
  <c r="L120" i="5"/>
  <c r="K120" i="5"/>
  <c r="D120" i="5"/>
  <c r="U119" i="5"/>
  <c r="T119" i="5"/>
  <c r="S119" i="5"/>
  <c r="R119" i="5"/>
  <c r="O119" i="5"/>
  <c r="N119" i="5"/>
  <c r="M119" i="5"/>
  <c r="L119" i="5"/>
  <c r="K119" i="5"/>
  <c r="D119" i="5"/>
  <c r="U118" i="5"/>
  <c r="T118" i="5"/>
  <c r="S118" i="5"/>
  <c r="R118" i="5"/>
  <c r="O118" i="5"/>
  <c r="N118" i="5"/>
  <c r="M118" i="5"/>
  <c r="L118" i="5"/>
  <c r="K118" i="5"/>
  <c r="H118" i="5"/>
  <c r="D118" i="5"/>
  <c r="U117" i="5"/>
  <c r="T117" i="5"/>
  <c r="S117" i="5"/>
  <c r="R117" i="5"/>
  <c r="O117" i="5"/>
  <c r="N117" i="5"/>
  <c r="M117" i="5"/>
  <c r="L117" i="5"/>
  <c r="K117" i="5"/>
  <c r="F117" i="5"/>
  <c r="D117" i="5"/>
  <c r="U116" i="5"/>
  <c r="T116" i="5"/>
  <c r="S116" i="5"/>
  <c r="R116" i="5"/>
  <c r="O116" i="5"/>
  <c r="N116" i="5"/>
  <c r="M116" i="5"/>
  <c r="L116" i="5"/>
  <c r="K116" i="5"/>
  <c r="F116" i="5"/>
  <c r="D116" i="5"/>
  <c r="U115" i="5"/>
  <c r="T115" i="5"/>
  <c r="S115" i="5"/>
  <c r="R115" i="5"/>
  <c r="N115" i="5"/>
  <c r="M115" i="5"/>
  <c r="L115" i="5"/>
  <c r="K115" i="5"/>
  <c r="I115" i="5"/>
  <c r="H115" i="5"/>
  <c r="G115" i="5"/>
  <c r="F115" i="5"/>
  <c r="U114" i="5"/>
  <c r="T114" i="5"/>
  <c r="S114" i="5"/>
  <c r="R114" i="5"/>
  <c r="D111" i="5"/>
  <c r="I110" i="5"/>
  <c r="H110" i="5"/>
  <c r="G110" i="5"/>
  <c r="F110" i="5"/>
  <c r="D110" i="5"/>
  <c r="F108" i="5"/>
  <c r="D108" i="5"/>
  <c r="I107" i="5"/>
  <c r="H107" i="5"/>
  <c r="G107" i="5"/>
  <c r="F107" i="5"/>
  <c r="D107" i="5"/>
  <c r="C107" i="5"/>
  <c r="I106" i="5"/>
  <c r="H106" i="5"/>
  <c r="G106" i="5"/>
  <c r="F106" i="5"/>
  <c r="D106" i="5"/>
  <c r="C106" i="5"/>
  <c r="F103" i="5"/>
  <c r="D103" i="5"/>
  <c r="F102" i="5"/>
  <c r="D102" i="5"/>
  <c r="F101" i="5"/>
  <c r="D101" i="5"/>
  <c r="F100" i="5"/>
  <c r="D100" i="5"/>
  <c r="F99" i="5"/>
  <c r="D99" i="5"/>
  <c r="F98" i="5"/>
  <c r="D98" i="5"/>
  <c r="F97" i="5"/>
  <c r="D97" i="5"/>
  <c r="F96" i="5"/>
  <c r="D96" i="5"/>
  <c r="F95" i="5"/>
  <c r="D95" i="5"/>
  <c r="H89" i="5"/>
  <c r="G89" i="5"/>
  <c r="D89" i="5"/>
  <c r="H87" i="5"/>
  <c r="G87" i="5"/>
  <c r="F87" i="5"/>
  <c r="D87" i="5"/>
  <c r="I86" i="5"/>
  <c r="H86" i="5"/>
  <c r="G86" i="5"/>
  <c r="F86" i="5"/>
  <c r="D86" i="5"/>
  <c r="I85" i="5"/>
  <c r="H85" i="5"/>
  <c r="G85" i="5"/>
  <c r="F85" i="5"/>
  <c r="D85" i="5"/>
  <c r="G84" i="5"/>
  <c r="F84" i="5"/>
  <c r="D84" i="5"/>
  <c r="C84" i="5"/>
  <c r="F83" i="5"/>
  <c r="D83" i="5"/>
  <c r="C83" i="5"/>
  <c r="I82" i="5"/>
  <c r="F82" i="5"/>
  <c r="D82" i="5"/>
  <c r="C82" i="5"/>
  <c r="I81" i="5"/>
  <c r="D81" i="5"/>
  <c r="C81" i="5"/>
  <c r="I80" i="5"/>
  <c r="I79" i="5"/>
  <c r="I78" i="5"/>
  <c r="I77" i="5"/>
  <c r="F76" i="5"/>
  <c r="D76" i="5"/>
  <c r="C76" i="5"/>
  <c r="I75" i="5"/>
  <c r="I74" i="5"/>
  <c r="H74" i="5"/>
  <c r="G74" i="5"/>
  <c r="F74" i="5"/>
  <c r="D74" i="5"/>
  <c r="I73" i="5"/>
  <c r="F73" i="5"/>
  <c r="D73" i="5"/>
  <c r="C73" i="5"/>
  <c r="I72" i="5"/>
  <c r="H72" i="5"/>
  <c r="G72" i="5"/>
  <c r="F72" i="5"/>
  <c r="D72" i="5"/>
  <c r="C72" i="5"/>
  <c r="I71" i="5"/>
  <c r="H71" i="5"/>
  <c r="G71" i="5"/>
  <c r="F71" i="5"/>
  <c r="D71" i="5"/>
  <c r="I70" i="5"/>
  <c r="F70" i="5"/>
  <c r="D70" i="5"/>
  <c r="C70" i="5"/>
  <c r="I69" i="5"/>
  <c r="H69" i="5"/>
  <c r="G69" i="5"/>
  <c r="F69" i="5"/>
  <c r="D69" i="5"/>
  <c r="I68" i="5"/>
  <c r="H68" i="5"/>
  <c r="G68" i="5"/>
  <c r="F68" i="5"/>
  <c r="D68" i="5"/>
  <c r="D59" i="5"/>
  <c r="D58" i="5"/>
  <c r="F57" i="5"/>
  <c r="F56" i="5"/>
  <c r="D56" i="5"/>
  <c r="F55" i="5"/>
  <c r="E55" i="5"/>
  <c r="D55" i="5"/>
  <c r="E54" i="5"/>
  <c r="D54" i="5"/>
  <c r="E53" i="5"/>
  <c r="D53" i="5"/>
  <c r="F52" i="5"/>
  <c r="D52" i="5"/>
  <c r="F51" i="5"/>
  <c r="F50" i="5"/>
  <c r="D50" i="5"/>
  <c r="G49" i="5"/>
  <c r="F48" i="5"/>
  <c r="D48" i="5"/>
  <c r="C48" i="5"/>
  <c r="H47" i="5"/>
  <c r="F47" i="5"/>
  <c r="D47" i="5"/>
  <c r="C47" i="5"/>
  <c r="H46" i="5"/>
  <c r="G46" i="5"/>
  <c r="F46" i="5"/>
  <c r="D46" i="5"/>
  <c r="C46" i="5"/>
  <c r="F45" i="5"/>
  <c r="D45" i="5"/>
  <c r="C45" i="5"/>
  <c r="I44" i="5"/>
  <c r="H44" i="5"/>
  <c r="G44" i="5"/>
  <c r="D44" i="5"/>
  <c r="I43" i="5"/>
  <c r="H43" i="5"/>
  <c r="G43" i="5"/>
  <c r="F43" i="5"/>
  <c r="D43" i="5"/>
  <c r="C43" i="5"/>
  <c r="I42" i="5"/>
  <c r="H42" i="5"/>
  <c r="G42" i="5"/>
  <c r="F42" i="5"/>
  <c r="D42" i="5"/>
  <c r="C42" i="5"/>
  <c r="I41" i="5"/>
  <c r="H41" i="5"/>
  <c r="G41" i="5"/>
  <c r="F41" i="5"/>
  <c r="D41" i="5"/>
  <c r="C41" i="5"/>
  <c r="I40" i="5"/>
  <c r="H40" i="5"/>
  <c r="G40" i="5"/>
  <c r="F40" i="5"/>
  <c r="D40" i="5"/>
  <c r="C40" i="5"/>
  <c r="D39" i="5"/>
  <c r="C39" i="5"/>
  <c r="D38" i="5"/>
  <c r="C38" i="5"/>
  <c r="D36" i="5"/>
  <c r="C36" i="5"/>
  <c r="D35" i="5"/>
  <c r="D34" i="5"/>
  <c r="I33" i="5"/>
  <c r="H33" i="5"/>
  <c r="G33" i="5"/>
  <c r="F33" i="5"/>
  <c r="D33" i="5"/>
  <c r="C33" i="5"/>
  <c r="I32" i="5"/>
  <c r="H32" i="5"/>
  <c r="G32" i="5"/>
  <c r="F32" i="5"/>
  <c r="D32" i="5"/>
  <c r="I31" i="5"/>
  <c r="H31" i="5"/>
  <c r="G31" i="5"/>
  <c r="F31" i="5"/>
  <c r="D31" i="5"/>
  <c r="I30" i="5"/>
  <c r="H30" i="5"/>
  <c r="G30" i="5"/>
  <c r="F30" i="5"/>
  <c r="D30" i="5"/>
  <c r="I29" i="5"/>
  <c r="H29" i="5"/>
  <c r="G29" i="5"/>
  <c r="F29" i="5"/>
  <c r="D29" i="5"/>
  <c r="I28" i="5"/>
  <c r="H28" i="5"/>
  <c r="G28" i="5"/>
  <c r="F28" i="5"/>
  <c r="D28" i="5"/>
  <c r="G27" i="5"/>
  <c r="F27" i="5"/>
  <c r="D27" i="5"/>
  <c r="C27" i="5"/>
  <c r="G26" i="5"/>
  <c r="F26" i="5"/>
  <c r="D26" i="5"/>
  <c r="C26" i="5"/>
  <c r="U25" i="5"/>
  <c r="T25" i="5"/>
  <c r="S25" i="5"/>
  <c r="R25" i="5"/>
  <c r="D25" i="5"/>
  <c r="U24" i="5"/>
  <c r="T24" i="5"/>
  <c r="S24" i="5"/>
  <c r="R24" i="5"/>
  <c r="I24" i="5"/>
  <c r="H24" i="5"/>
  <c r="G24" i="5"/>
  <c r="F24" i="5"/>
  <c r="D24" i="5"/>
  <c r="U23" i="5"/>
  <c r="T23" i="5"/>
  <c r="S23" i="5"/>
  <c r="R23" i="5"/>
  <c r="I23" i="5"/>
  <c r="H23" i="5"/>
  <c r="G23" i="5"/>
  <c r="F23" i="5"/>
  <c r="D23" i="5"/>
  <c r="U22" i="5"/>
  <c r="T22" i="5"/>
  <c r="S22" i="5"/>
  <c r="R22" i="5"/>
  <c r="I22" i="5"/>
  <c r="H22" i="5"/>
  <c r="G22" i="5"/>
  <c r="F22" i="5"/>
  <c r="D22" i="5"/>
  <c r="U21" i="5"/>
  <c r="T21" i="5"/>
  <c r="S21" i="5"/>
  <c r="R21" i="5"/>
  <c r="I21" i="5"/>
  <c r="H21" i="5"/>
  <c r="G21" i="5"/>
  <c r="F21" i="5"/>
  <c r="D21" i="5"/>
  <c r="U20" i="5"/>
  <c r="T20" i="5"/>
  <c r="S20" i="5"/>
  <c r="R20" i="5"/>
  <c r="I20" i="5"/>
  <c r="H20" i="5"/>
  <c r="G20" i="5"/>
  <c r="F20" i="5"/>
  <c r="D20" i="5"/>
  <c r="U19" i="5"/>
  <c r="T19" i="5"/>
  <c r="S19" i="5"/>
  <c r="R19" i="5"/>
  <c r="F19" i="5"/>
  <c r="D19" i="5"/>
  <c r="U18" i="5"/>
  <c r="T18" i="5"/>
  <c r="S18" i="5"/>
  <c r="R18" i="5"/>
  <c r="I18" i="5"/>
  <c r="H18" i="5"/>
  <c r="G18" i="5"/>
  <c r="D18" i="5"/>
  <c r="U17" i="5"/>
  <c r="T17" i="5"/>
  <c r="S17" i="5"/>
  <c r="R17" i="5"/>
  <c r="I17" i="5"/>
  <c r="H17" i="5"/>
  <c r="G17" i="5"/>
  <c r="D17" i="5"/>
  <c r="I16" i="5"/>
  <c r="H16" i="5"/>
  <c r="U15" i="5"/>
  <c r="T15" i="5"/>
  <c r="S15" i="5"/>
  <c r="R15" i="5"/>
  <c r="F15" i="5"/>
  <c r="D15" i="5"/>
  <c r="C15" i="5"/>
  <c r="U14" i="5"/>
  <c r="T14" i="5"/>
  <c r="S14" i="5"/>
  <c r="R14" i="5"/>
  <c r="G14" i="5"/>
  <c r="F14" i="5"/>
  <c r="D14" i="5"/>
  <c r="U13" i="5"/>
  <c r="T13" i="5"/>
  <c r="S13" i="5"/>
  <c r="R13" i="5"/>
  <c r="G13" i="5"/>
  <c r="F13" i="5"/>
  <c r="D13" i="5"/>
  <c r="U12" i="5"/>
  <c r="T12" i="5"/>
  <c r="S12" i="5"/>
  <c r="R12" i="5"/>
  <c r="I12" i="5"/>
  <c r="F12" i="5"/>
  <c r="D12" i="5"/>
  <c r="U11" i="5"/>
  <c r="T11" i="5"/>
  <c r="S11" i="5"/>
  <c r="R11" i="5"/>
  <c r="I11" i="5"/>
  <c r="H11" i="5"/>
  <c r="G11" i="5"/>
  <c r="F11" i="5"/>
  <c r="D11" i="5"/>
  <c r="U10" i="5"/>
  <c r="T10" i="5"/>
  <c r="S10" i="5"/>
  <c r="R10" i="5"/>
  <c r="I10" i="5"/>
  <c r="F10" i="5"/>
  <c r="D10" i="5"/>
  <c r="U9" i="5"/>
  <c r="T9" i="5"/>
  <c r="S9" i="5"/>
  <c r="R9" i="5"/>
  <c r="I9" i="5"/>
  <c r="H9" i="5"/>
  <c r="G9" i="5"/>
  <c r="B6" i="5"/>
  <c r="B5" i="5"/>
  <c r="A3" i="5"/>
  <c r="A2" i="5"/>
  <c r="U135" i="2"/>
  <c r="T135" i="2"/>
  <c r="S135" i="2"/>
  <c r="R135" i="2"/>
  <c r="Q135" i="2"/>
  <c r="P135" i="2"/>
  <c r="O135" i="2"/>
  <c r="N135" i="2"/>
  <c r="M135" i="2"/>
  <c r="L135" i="2"/>
  <c r="U133" i="2"/>
  <c r="T133" i="2"/>
  <c r="S133" i="2"/>
  <c r="R133" i="2"/>
  <c r="Q133" i="2"/>
  <c r="P133" i="2"/>
  <c r="O133" i="2"/>
  <c r="N133" i="2"/>
  <c r="M133" i="2"/>
  <c r="L133" i="2"/>
  <c r="U131" i="2"/>
  <c r="T131" i="2"/>
  <c r="S131" i="2"/>
  <c r="R131" i="2"/>
  <c r="Q131" i="2"/>
  <c r="P131" i="2"/>
  <c r="O131" i="2"/>
  <c r="N131" i="2"/>
  <c r="M131" i="2"/>
  <c r="L131" i="2"/>
  <c r="W130" i="2"/>
  <c r="U130" i="2"/>
  <c r="S130" i="2"/>
  <c r="R130" i="2"/>
  <c r="P130" i="2"/>
  <c r="O130" i="2"/>
  <c r="N130" i="2"/>
  <c r="M130" i="2"/>
  <c r="K130" i="2"/>
  <c r="J130" i="2"/>
  <c r="I130" i="2"/>
  <c r="H130" i="2"/>
  <c r="F130" i="2"/>
  <c r="E130" i="2"/>
  <c r="D130" i="2"/>
  <c r="C130" i="2"/>
  <c r="W129" i="2"/>
  <c r="U129" i="2"/>
  <c r="S129" i="2"/>
  <c r="R129" i="2"/>
  <c r="P129" i="2"/>
  <c r="O129" i="2"/>
  <c r="N129" i="2"/>
  <c r="M129" i="2"/>
  <c r="K129" i="2"/>
  <c r="J129" i="2"/>
  <c r="I129" i="2"/>
  <c r="H129" i="2"/>
  <c r="F129" i="2"/>
  <c r="E129" i="2"/>
  <c r="D129" i="2"/>
  <c r="C129" i="2"/>
  <c r="W128" i="2"/>
  <c r="U128" i="2"/>
  <c r="S128" i="2"/>
  <c r="R128" i="2"/>
  <c r="P128" i="2"/>
  <c r="O128" i="2"/>
  <c r="N128" i="2"/>
  <c r="M128" i="2"/>
  <c r="K128" i="2"/>
  <c r="J128" i="2"/>
  <c r="I128" i="2"/>
  <c r="H128" i="2"/>
  <c r="F128" i="2"/>
  <c r="E128" i="2"/>
  <c r="D128" i="2"/>
  <c r="C128" i="2"/>
  <c r="W127" i="2"/>
  <c r="U127" i="2"/>
  <c r="S127" i="2"/>
  <c r="P127" i="2"/>
  <c r="O127" i="2"/>
  <c r="N127" i="2"/>
  <c r="K127" i="2"/>
  <c r="J127" i="2"/>
  <c r="I127" i="2"/>
  <c r="F127" i="2"/>
  <c r="E127" i="2"/>
  <c r="D127" i="2"/>
  <c r="C127" i="2"/>
  <c r="W126" i="2"/>
  <c r="U126" i="2"/>
  <c r="S126" i="2"/>
  <c r="P126" i="2"/>
  <c r="O126" i="2"/>
  <c r="N126" i="2"/>
  <c r="M126" i="2"/>
  <c r="K126" i="2"/>
  <c r="J126" i="2"/>
  <c r="I126" i="2"/>
  <c r="F126" i="2"/>
  <c r="E126" i="2"/>
  <c r="D126" i="2"/>
  <c r="C126" i="2"/>
  <c r="U123" i="2"/>
  <c r="T123" i="2"/>
  <c r="S123" i="2"/>
  <c r="R123" i="2"/>
  <c r="Q123" i="2"/>
  <c r="P123" i="2"/>
  <c r="O123" i="2"/>
  <c r="N123" i="2"/>
  <c r="M123" i="2"/>
  <c r="L123" i="2"/>
  <c r="U122" i="2"/>
  <c r="W121" i="2"/>
  <c r="U121" i="2"/>
  <c r="T121" i="2"/>
  <c r="S121" i="2"/>
  <c r="R121" i="2"/>
  <c r="P121" i="2"/>
  <c r="M121" i="2"/>
  <c r="J121" i="2"/>
  <c r="I121" i="2"/>
  <c r="H121" i="2"/>
  <c r="F121" i="2"/>
  <c r="C121" i="2"/>
  <c r="W120" i="2"/>
  <c r="U120" i="2"/>
  <c r="T120" i="2"/>
  <c r="S120" i="2"/>
  <c r="R120" i="2"/>
  <c r="K120" i="2"/>
  <c r="J120" i="2"/>
  <c r="I120" i="2"/>
  <c r="H120" i="2"/>
  <c r="F120" i="2"/>
  <c r="E120" i="2"/>
  <c r="D120" i="2"/>
  <c r="C120" i="2"/>
  <c r="W119" i="2"/>
  <c r="U119" i="2"/>
  <c r="T119" i="2"/>
  <c r="S119" i="2"/>
  <c r="R119" i="2"/>
  <c r="P119" i="2"/>
  <c r="O119" i="2"/>
  <c r="N119" i="2"/>
  <c r="M119" i="2"/>
  <c r="K119" i="2"/>
  <c r="J119" i="2"/>
  <c r="I119" i="2"/>
  <c r="H119" i="2"/>
  <c r="F119" i="2"/>
  <c r="E119" i="2"/>
  <c r="D119" i="2"/>
  <c r="C119" i="2"/>
  <c r="W118" i="2"/>
  <c r="U118" i="2"/>
  <c r="T118" i="2"/>
  <c r="S118" i="2"/>
  <c r="R118" i="2"/>
  <c r="P118" i="2"/>
  <c r="O118" i="2"/>
  <c r="N118" i="2"/>
  <c r="M118" i="2"/>
  <c r="K118" i="2"/>
  <c r="J118" i="2"/>
  <c r="I118" i="2"/>
  <c r="H118" i="2"/>
  <c r="F118" i="2"/>
  <c r="E118" i="2"/>
  <c r="D118" i="2"/>
  <c r="C118" i="2"/>
  <c r="W117" i="2"/>
  <c r="U117" i="2"/>
  <c r="T117" i="2"/>
  <c r="S117" i="2"/>
  <c r="R117" i="2"/>
  <c r="P117" i="2"/>
  <c r="O117" i="2"/>
  <c r="N117" i="2"/>
  <c r="M117" i="2"/>
  <c r="K117" i="2"/>
  <c r="J117" i="2"/>
  <c r="I117" i="2"/>
  <c r="H117" i="2"/>
  <c r="F117" i="2"/>
  <c r="E117" i="2"/>
  <c r="D117" i="2"/>
  <c r="C117" i="2"/>
  <c r="W116" i="2"/>
  <c r="U116" i="2"/>
  <c r="T116" i="2"/>
  <c r="S116" i="2"/>
  <c r="R116" i="2"/>
  <c r="P116" i="2"/>
  <c r="O116" i="2"/>
  <c r="N116" i="2"/>
  <c r="M116" i="2"/>
  <c r="K116" i="2"/>
  <c r="J116" i="2"/>
  <c r="I116" i="2"/>
  <c r="H116" i="2"/>
  <c r="F116" i="2"/>
  <c r="E116" i="2"/>
  <c r="D116" i="2"/>
  <c r="C116" i="2"/>
  <c r="W115" i="2"/>
  <c r="U115" i="2"/>
  <c r="T115" i="2"/>
  <c r="S115" i="2"/>
  <c r="R115" i="2"/>
  <c r="P115" i="2"/>
  <c r="O115" i="2"/>
  <c r="N115" i="2"/>
  <c r="M115" i="2"/>
  <c r="K115" i="2"/>
  <c r="J115" i="2"/>
  <c r="I115" i="2"/>
  <c r="H115" i="2"/>
  <c r="F115" i="2"/>
  <c r="E115" i="2"/>
  <c r="D115" i="2"/>
  <c r="C115" i="2"/>
  <c r="W114" i="2"/>
  <c r="U114" i="2"/>
  <c r="T114" i="2"/>
  <c r="S114" i="2"/>
  <c r="R114" i="2"/>
  <c r="P114" i="2"/>
  <c r="O114" i="2"/>
  <c r="N114" i="2"/>
  <c r="M114" i="2"/>
  <c r="K114" i="2"/>
  <c r="J114" i="2"/>
  <c r="I114" i="2"/>
  <c r="H114" i="2"/>
  <c r="F114" i="2"/>
  <c r="E114" i="2"/>
  <c r="D114" i="2"/>
  <c r="C114" i="2"/>
  <c r="W113" i="2"/>
  <c r="U113" i="2"/>
  <c r="T113" i="2"/>
  <c r="S113" i="2"/>
  <c r="R113" i="2"/>
  <c r="P113" i="2"/>
  <c r="O113" i="2"/>
  <c r="N113" i="2"/>
  <c r="M113" i="2"/>
  <c r="K113" i="2"/>
  <c r="J113" i="2"/>
  <c r="I113" i="2"/>
  <c r="H113" i="2"/>
  <c r="F113" i="2"/>
  <c r="E113" i="2"/>
  <c r="D113" i="2"/>
  <c r="C113" i="2"/>
  <c r="W112" i="2"/>
  <c r="U112" i="2"/>
  <c r="T112" i="2"/>
  <c r="S112" i="2"/>
  <c r="R112" i="2"/>
  <c r="K112" i="2"/>
  <c r="J112" i="2"/>
  <c r="I112" i="2"/>
  <c r="H112" i="2"/>
  <c r="W111" i="2"/>
  <c r="U111" i="2"/>
  <c r="T111" i="2"/>
  <c r="S111" i="2"/>
  <c r="R111" i="2"/>
  <c r="K111" i="2"/>
  <c r="J111" i="2"/>
  <c r="I111" i="2"/>
  <c r="H111" i="2"/>
  <c r="W110" i="2"/>
  <c r="U110" i="2"/>
  <c r="T110" i="2"/>
  <c r="S110" i="2"/>
  <c r="R110" i="2"/>
  <c r="P110" i="2"/>
  <c r="O110" i="2"/>
  <c r="N110" i="2"/>
  <c r="M110" i="2"/>
  <c r="K110" i="2"/>
  <c r="J110" i="2"/>
  <c r="I110" i="2"/>
  <c r="H110" i="2"/>
  <c r="F110" i="2"/>
  <c r="E110" i="2"/>
  <c r="D110" i="2"/>
  <c r="C110" i="2"/>
  <c r="W109" i="2"/>
  <c r="U109" i="2"/>
  <c r="T109" i="2"/>
  <c r="S109" i="2"/>
  <c r="R109" i="2"/>
  <c r="P109" i="2"/>
  <c r="O109" i="2"/>
  <c r="N109" i="2"/>
  <c r="M109" i="2"/>
  <c r="K109" i="2"/>
  <c r="J109" i="2"/>
  <c r="I109" i="2"/>
  <c r="H109" i="2"/>
  <c r="F109" i="2"/>
  <c r="E109" i="2"/>
  <c r="D109" i="2"/>
  <c r="C109" i="2"/>
  <c r="W108" i="2"/>
  <c r="U108" i="2"/>
  <c r="T108" i="2"/>
  <c r="S108" i="2"/>
  <c r="R108" i="2"/>
  <c r="P108" i="2"/>
  <c r="O108" i="2"/>
  <c r="N108" i="2"/>
  <c r="M108" i="2"/>
  <c r="K108" i="2"/>
  <c r="J108" i="2"/>
  <c r="I108" i="2"/>
  <c r="H108" i="2"/>
  <c r="F108" i="2"/>
  <c r="E108" i="2"/>
  <c r="D108" i="2"/>
  <c r="C108" i="2"/>
  <c r="W107" i="2"/>
  <c r="U107" i="2"/>
  <c r="T107" i="2"/>
  <c r="S107" i="2"/>
  <c r="R107" i="2"/>
  <c r="P107" i="2"/>
  <c r="O107" i="2"/>
  <c r="N107" i="2"/>
  <c r="M107" i="2"/>
  <c r="K107" i="2"/>
  <c r="J107" i="2"/>
  <c r="I107" i="2"/>
  <c r="H107" i="2"/>
  <c r="F107" i="2"/>
  <c r="E107" i="2"/>
  <c r="D107" i="2"/>
  <c r="C107" i="2"/>
  <c r="W106" i="2"/>
  <c r="U106" i="2"/>
  <c r="S106" i="2"/>
  <c r="R106" i="2"/>
  <c r="P106" i="2"/>
  <c r="O106" i="2"/>
  <c r="N106" i="2"/>
  <c r="K106" i="2"/>
  <c r="J106" i="2"/>
  <c r="I106" i="2"/>
  <c r="H106" i="2"/>
  <c r="F106" i="2"/>
  <c r="E106" i="2"/>
  <c r="D106" i="2"/>
  <c r="W105" i="2"/>
  <c r="U105" i="2"/>
  <c r="T105" i="2"/>
  <c r="R105" i="2"/>
  <c r="P105" i="2"/>
  <c r="O105" i="2"/>
  <c r="N105" i="2"/>
  <c r="M105" i="2"/>
  <c r="K105" i="2"/>
  <c r="J105" i="2"/>
  <c r="H105" i="2"/>
  <c r="F105" i="2"/>
  <c r="E105" i="2"/>
  <c r="D105" i="2"/>
  <c r="C105" i="2"/>
  <c r="W104" i="2"/>
  <c r="U104" i="2"/>
  <c r="T104" i="2"/>
  <c r="S104" i="2"/>
  <c r="R104" i="2"/>
  <c r="P104" i="2"/>
  <c r="O104" i="2"/>
  <c r="N104" i="2"/>
  <c r="M104" i="2"/>
  <c r="K104" i="2"/>
  <c r="J104" i="2"/>
  <c r="I104" i="2"/>
  <c r="H104" i="2"/>
  <c r="F104" i="2"/>
  <c r="E104" i="2"/>
  <c r="D104" i="2"/>
  <c r="C104" i="2"/>
  <c r="W103" i="2"/>
  <c r="U103" i="2"/>
  <c r="T103" i="2"/>
  <c r="R103" i="2"/>
  <c r="P103" i="2"/>
  <c r="O103" i="2"/>
  <c r="N103" i="2"/>
  <c r="M103" i="2"/>
  <c r="K103" i="2"/>
  <c r="J103" i="2"/>
  <c r="H103" i="2"/>
  <c r="F103" i="2"/>
  <c r="E103" i="2"/>
  <c r="D103" i="2"/>
  <c r="C103" i="2"/>
  <c r="W102" i="2"/>
  <c r="U102" i="2"/>
  <c r="T102" i="2"/>
  <c r="S102" i="2"/>
  <c r="R102" i="2"/>
  <c r="P102" i="2"/>
  <c r="O102" i="2"/>
  <c r="N102" i="2"/>
  <c r="M102" i="2"/>
  <c r="K102" i="2"/>
  <c r="J102" i="2"/>
  <c r="I102" i="2"/>
  <c r="H102" i="2"/>
  <c r="F102" i="2"/>
  <c r="E102" i="2"/>
  <c r="D102" i="2"/>
  <c r="C102" i="2"/>
  <c r="W101" i="2"/>
  <c r="U101" i="2"/>
  <c r="T101" i="2"/>
  <c r="S101" i="2"/>
  <c r="R101" i="2"/>
  <c r="K101" i="2"/>
  <c r="J101" i="2"/>
  <c r="I101" i="2"/>
  <c r="H101" i="2"/>
  <c r="W100" i="2"/>
  <c r="U100" i="2"/>
  <c r="T100" i="2"/>
  <c r="S100" i="2"/>
  <c r="R100" i="2"/>
  <c r="P100" i="2"/>
  <c r="O100" i="2"/>
  <c r="N100" i="2"/>
  <c r="M100" i="2"/>
  <c r="K100" i="2"/>
  <c r="J100" i="2"/>
  <c r="I100" i="2"/>
  <c r="H100" i="2"/>
  <c r="F100" i="2"/>
  <c r="E100" i="2"/>
  <c r="D100" i="2"/>
  <c r="C100" i="2"/>
  <c r="W99" i="2"/>
  <c r="U99" i="2"/>
  <c r="T99" i="2"/>
  <c r="S99" i="2"/>
  <c r="R99" i="2"/>
  <c r="P99" i="2"/>
  <c r="O99" i="2"/>
  <c r="N99" i="2"/>
  <c r="M99" i="2"/>
  <c r="K99" i="2"/>
  <c r="J99" i="2"/>
  <c r="I99" i="2"/>
  <c r="H99" i="2"/>
  <c r="F99" i="2"/>
  <c r="E99" i="2"/>
  <c r="D99" i="2"/>
  <c r="C99" i="2"/>
  <c r="W98" i="2"/>
  <c r="U98" i="2"/>
  <c r="T98" i="2"/>
  <c r="S98" i="2"/>
  <c r="R98" i="2"/>
  <c r="P98" i="2"/>
  <c r="O98" i="2"/>
  <c r="N98" i="2"/>
  <c r="M98" i="2"/>
  <c r="K98" i="2"/>
  <c r="J98" i="2"/>
  <c r="I98" i="2"/>
  <c r="H98" i="2"/>
  <c r="F98" i="2"/>
  <c r="E98" i="2"/>
  <c r="D98" i="2"/>
  <c r="C98" i="2"/>
  <c r="W97" i="2"/>
  <c r="U97" i="2"/>
  <c r="T97" i="2"/>
  <c r="S97" i="2"/>
  <c r="R97" i="2"/>
  <c r="P97" i="2"/>
  <c r="O97" i="2"/>
  <c r="N97" i="2"/>
  <c r="M97" i="2"/>
  <c r="K97" i="2"/>
  <c r="J97" i="2"/>
  <c r="I97" i="2"/>
  <c r="H97" i="2"/>
  <c r="F97" i="2"/>
  <c r="E97" i="2"/>
  <c r="D97" i="2"/>
  <c r="C97" i="2"/>
  <c r="W96" i="2"/>
  <c r="U96" i="2"/>
  <c r="T96" i="2"/>
  <c r="S96" i="2"/>
  <c r="R96" i="2"/>
  <c r="P96" i="2"/>
  <c r="O96" i="2"/>
  <c r="N96" i="2"/>
  <c r="M96" i="2"/>
  <c r="K96" i="2"/>
  <c r="J96" i="2"/>
  <c r="I96" i="2"/>
  <c r="H96" i="2"/>
  <c r="F96" i="2"/>
  <c r="E96" i="2"/>
  <c r="D96" i="2"/>
  <c r="C96" i="2"/>
  <c r="W95" i="2"/>
  <c r="U95" i="2"/>
  <c r="T95" i="2"/>
  <c r="S95" i="2"/>
  <c r="R95" i="2"/>
  <c r="P95" i="2"/>
  <c r="O95" i="2"/>
  <c r="N95" i="2"/>
  <c r="M95" i="2"/>
  <c r="K95" i="2"/>
  <c r="J95" i="2"/>
  <c r="I95" i="2"/>
  <c r="H95" i="2"/>
  <c r="F95" i="2"/>
  <c r="E95" i="2"/>
  <c r="D95" i="2"/>
  <c r="C95" i="2"/>
  <c r="W94" i="2"/>
  <c r="U94" i="2"/>
  <c r="T94" i="2"/>
  <c r="S94" i="2"/>
  <c r="R94" i="2"/>
  <c r="P94" i="2"/>
  <c r="O94" i="2"/>
  <c r="N94" i="2"/>
  <c r="M94" i="2"/>
  <c r="K94" i="2"/>
  <c r="J94" i="2"/>
  <c r="I94" i="2"/>
  <c r="H94" i="2"/>
  <c r="F94" i="2"/>
  <c r="E94" i="2"/>
  <c r="D94" i="2"/>
  <c r="C94" i="2"/>
  <c r="W93" i="2"/>
  <c r="U93" i="2"/>
  <c r="T93" i="2"/>
  <c r="S93" i="2"/>
  <c r="R93" i="2"/>
  <c r="P93" i="2"/>
  <c r="O93" i="2"/>
  <c r="N93" i="2"/>
  <c r="M93" i="2"/>
  <c r="K93" i="2"/>
  <c r="J93" i="2"/>
  <c r="I93" i="2"/>
  <c r="H93" i="2"/>
  <c r="F93" i="2"/>
  <c r="E93" i="2"/>
  <c r="D93" i="2"/>
  <c r="C93" i="2"/>
  <c r="W92" i="2"/>
  <c r="U92" i="2"/>
  <c r="T92" i="2"/>
  <c r="S92" i="2"/>
  <c r="R92" i="2"/>
  <c r="P92" i="2"/>
  <c r="O92" i="2"/>
  <c r="N92" i="2"/>
  <c r="M92" i="2"/>
  <c r="K92" i="2"/>
  <c r="J92" i="2"/>
  <c r="I92" i="2"/>
  <c r="H92" i="2"/>
  <c r="F92" i="2"/>
  <c r="E92" i="2"/>
  <c r="D92" i="2"/>
  <c r="C92" i="2"/>
  <c r="W91" i="2"/>
  <c r="U91" i="2"/>
  <c r="T91" i="2"/>
  <c r="S91" i="2"/>
  <c r="R91" i="2"/>
  <c r="P91" i="2"/>
  <c r="O91" i="2"/>
  <c r="N91" i="2"/>
  <c r="M91" i="2"/>
  <c r="K91" i="2"/>
  <c r="J91" i="2"/>
  <c r="I91" i="2"/>
  <c r="H91" i="2"/>
  <c r="F91" i="2"/>
  <c r="E91" i="2"/>
  <c r="D91" i="2"/>
  <c r="C91" i="2"/>
  <c r="W90" i="2"/>
  <c r="U90" i="2"/>
  <c r="T90" i="2"/>
  <c r="S90" i="2"/>
  <c r="R90" i="2"/>
  <c r="P90" i="2"/>
  <c r="O90" i="2"/>
  <c r="N90" i="2"/>
  <c r="M90" i="2"/>
  <c r="K90" i="2"/>
  <c r="J90" i="2"/>
  <c r="I90" i="2"/>
  <c r="H90" i="2"/>
  <c r="F90" i="2"/>
  <c r="E90" i="2"/>
  <c r="D90" i="2"/>
  <c r="C90" i="2"/>
  <c r="W89" i="2"/>
  <c r="U89" i="2"/>
  <c r="T89" i="2"/>
  <c r="S89" i="2"/>
  <c r="R89" i="2"/>
  <c r="P89" i="2"/>
  <c r="O89" i="2"/>
  <c r="N89" i="2"/>
  <c r="M89" i="2"/>
  <c r="K89" i="2"/>
  <c r="J89" i="2"/>
  <c r="I89" i="2"/>
  <c r="H89" i="2"/>
  <c r="F89" i="2"/>
  <c r="E89" i="2"/>
  <c r="D89" i="2"/>
  <c r="C89" i="2"/>
  <c r="W88" i="2"/>
  <c r="U88" i="2"/>
  <c r="T88" i="2"/>
  <c r="S88" i="2"/>
  <c r="R88" i="2"/>
  <c r="P88" i="2"/>
  <c r="O88" i="2"/>
  <c r="N88" i="2"/>
  <c r="M88" i="2"/>
  <c r="K88" i="2"/>
  <c r="J88" i="2"/>
  <c r="I88" i="2"/>
  <c r="H88" i="2"/>
  <c r="F88" i="2"/>
  <c r="E88" i="2"/>
  <c r="D88" i="2"/>
  <c r="C88" i="2"/>
  <c r="W87" i="2"/>
  <c r="U87" i="2"/>
  <c r="T87" i="2"/>
  <c r="S87" i="2"/>
  <c r="R87" i="2"/>
  <c r="P87" i="2"/>
  <c r="O87" i="2"/>
  <c r="N87" i="2"/>
  <c r="M87" i="2"/>
  <c r="K87" i="2"/>
  <c r="J87" i="2"/>
  <c r="I87" i="2"/>
  <c r="H87" i="2"/>
  <c r="F87" i="2"/>
  <c r="E87" i="2"/>
  <c r="D87" i="2"/>
  <c r="C87" i="2"/>
  <c r="W86" i="2"/>
  <c r="U86" i="2"/>
  <c r="T86" i="2"/>
  <c r="S86" i="2"/>
  <c r="R86" i="2"/>
  <c r="P86" i="2"/>
  <c r="O86" i="2"/>
  <c r="N86" i="2"/>
  <c r="M86" i="2"/>
  <c r="K86" i="2"/>
  <c r="J86" i="2"/>
  <c r="I86" i="2"/>
  <c r="H86" i="2"/>
  <c r="F86" i="2"/>
  <c r="E86" i="2"/>
  <c r="D86" i="2"/>
  <c r="C86" i="2"/>
  <c r="W85" i="2"/>
  <c r="U85" i="2"/>
  <c r="T85" i="2"/>
  <c r="S85" i="2"/>
  <c r="R85" i="2"/>
  <c r="P85" i="2"/>
  <c r="O85" i="2"/>
  <c r="N85" i="2"/>
  <c r="M85" i="2"/>
  <c r="K85" i="2"/>
  <c r="J85" i="2"/>
  <c r="I85" i="2"/>
  <c r="H85" i="2"/>
  <c r="F85" i="2"/>
  <c r="E85" i="2"/>
  <c r="D85" i="2"/>
  <c r="C85" i="2"/>
  <c r="W84" i="2"/>
  <c r="U84" i="2"/>
  <c r="S84" i="2"/>
  <c r="R84" i="2"/>
  <c r="P84" i="2"/>
  <c r="O84" i="2"/>
  <c r="N84" i="2"/>
  <c r="M84" i="2"/>
  <c r="K84" i="2"/>
  <c r="J84" i="2"/>
  <c r="I84" i="2"/>
  <c r="H84" i="2"/>
  <c r="F84" i="2"/>
  <c r="E84" i="2"/>
  <c r="D84" i="2"/>
  <c r="C84" i="2"/>
  <c r="W83" i="2"/>
  <c r="U83" i="2"/>
  <c r="S83" i="2"/>
  <c r="R83" i="2"/>
  <c r="P83" i="2"/>
  <c r="O83" i="2"/>
  <c r="N83" i="2"/>
  <c r="M83" i="2"/>
  <c r="K83" i="2"/>
  <c r="J83" i="2"/>
  <c r="I83" i="2"/>
  <c r="H83" i="2"/>
  <c r="F83" i="2"/>
  <c r="E83" i="2"/>
  <c r="D83" i="2"/>
  <c r="C83" i="2"/>
  <c r="W82" i="2"/>
  <c r="U82" i="2"/>
  <c r="T82" i="2"/>
  <c r="S82" i="2"/>
  <c r="R82" i="2"/>
  <c r="P82" i="2"/>
  <c r="O82" i="2"/>
  <c r="N82" i="2"/>
  <c r="M82" i="2"/>
  <c r="K82" i="2"/>
  <c r="J82" i="2"/>
  <c r="I82" i="2"/>
  <c r="H82" i="2"/>
  <c r="F82" i="2"/>
  <c r="E82" i="2"/>
  <c r="D82" i="2"/>
  <c r="C82" i="2"/>
  <c r="W81" i="2"/>
  <c r="U81" i="2"/>
  <c r="T81" i="2"/>
  <c r="S81" i="2"/>
  <c r="R81" i="2"/>
  <c r="P81" i="2"/>
  <c r="O81" i="2"/>
  <c r="N81" i="2"/>
  <c r="M81" i="2"/>
  <c r="K81" i="2"/>
  <c r="J81" i="2"/>
  <c r="I81" i="2"/>
  <c r="H81" i="2"/>
  <c r="F81" i="2"/>
  <c r="E81" i="2"/>
  <c r="D81" i="2"/>
  <c r="C81" i="2"/>
  <c r="W80" i="2"/>
  <c r="U80" i="2"/>
  <c r="T80" i="2"/>
  <c r="S80" i="2"/>
  <c r="R80" i="2"/>
  <c r="P80" i="2"/>
  <c r="O80" i="2"/>
  <c r="N80" i="2"/>
  <c r="M80" i="2"/>
  <c r="K80" i="2"/>
  <c r="J80" i="2"/>
  <c r="I80" i="2"/>
  <c r="H80" i="2"/>
  <c r="F80" i="2"/>
  <c r="E80" i="2"/>
  <c r="D80" i="2"/>
  <c r="C80" i="2"/>
  <c r="U79" i="2"/>
  <c r="T79" i="2"/>
  <c r="S79" i="2"/>
  <c r="R79" i="2"/>
  <c r="P79" i="2"/>
  <c r="O79" i="2"/>
  <c r="M79" i="2"/>
  <c r="K79" i="2"/>
  <c r="J79" i="2"/>
  <c r="I79" i="2"/>
  <c r="H79" i="2"/>
  <c r="F79" i="2"/>
  <c r="E79" i="2"/>
  <c r="D79" i="2"/>
  <c r="C79" i="2"/>
  <c r="U76" i="2"/>
  <c r="T76" i="2"/>
  <c r="S76" i="2"/>
  <c r="R76" i="2"/>
  <c r="Q76" i="2"/>
  <c r="P76" i="2"/>
  <c r="O76" i="2"/>
  <c r="N76" i="2"/>
  <c r="M76" i="2"/>
  <c r="L76" i="2"/>
  <c r="W73" i="2"/>
  <c r="U73" i="2"/>
  <c r="T73" i="2"/>
  <c r="S73" i="2"/>
  <c r="R73" i="2"/>
  <c r="K73" i="2"/>
  <c r="J73" i="2"/>
  <c r="I73" i="2"/>
  <c r="H73" i="2"/>
  <c r="W72" i="2"/>
  <c r="U72" i="2"/>
  <c r="T72" i="2"/>
  <c r="S72" i="2"/>
  <c r="R72" i="2"/>
  <c r="K72" i="2"/>
  <c r="J72" i="2"/>
  <c r="I72" i="2"/>
  <c r="H72" i="2"/>
  <c r="W71" i="2"/>
  <c r="U71" i="2"/>
  <c r="S71" i="2"/>
  <c r="R71" i="2"/>
  <c r="K71" i="2"/>
  <c r="J71" i="2"/>
  <c r="I71" i="2"/>
  <c r="H71" i="2"/>
  <c r="W70" i="2"/>
  <c r="U70" i="2"/>
  <c r="S70" i="2"/>
  <c r="R70" i="2"/>
  <c r="P70" i="2"/>
  <c r="K70" i="2"/>
  <c r="J70" i="2"/>
  <c r="I70" i="2"/>
  <c r="H70" i="2"/>
  <c r="F70" i="2"/>
  <c r="W69" i="2"/>
  <c r="U69" i="2"/>
  <c r="T69" i="2"/>
  <c r="S69" i="2"/>
  <c r="R69" i="2"/>
  <c r="M69" i="2"/>
  <c r="K69" i="2"/>
  <c r="J69" i="2"/>
  <c r="I69" i="2"/>
  <c r="H69" i="2"/>
  <c r="C69" i="2"/>
  <c r="W68" i="2"/>
  <c r="U68" i="2"/>
  <c r="T68" i="2"/>
  <c r="S68" i="2"/>
  <c r="R68" i="2"/>
  <c r="M68" i="2"/>
  <c r="K68" i="2"/>
  <c r="J68" i="2"/>
  <c r="I68" i="2"/>
  <c r="H68" i="2"/>
  <c r="F68" i="2"/>
  <c r="E68" i="2"/>
  <c r="D68" i="2"/>
  <c r="C68" i="2"/>
  <c r="W67" i="2"/>
  <c r="U67" i="2"/>
  <c r="T67" i="2"/>
  <c r="S67" i="2"/>
  <c r="R67" i="2"/>
  <c r="P67" i="2"/>
  <c r="O67" i="2"/>
  <c r="N67" i="2"/>
  <c r="M67" i="2"/>
  <c r="K67" i="2"/>
  <c r="J67" i="2"/>
  <c r="I67" i="2"/>
  <c r="H67" i="2"/>
  <c r="F67" i="2"/>
  <c r="E67" i="2"/>
  <c r="D67" i="2"/>
  <c r="C67" i="2"/>
  <c r="W66" i="2"/>
  <c r="U66" i="2"/>
  <c r="T66" i="2"/>
  <c r="S66" i="2"/>
  <c r="R66" i="2"/>
  <c r="P66" i="2"/>
  <c r="O66" i="2"/>
  <c r="N66" i="2"/>
  <c r="M66" i="2"/>
  <c r="K66" i="2"/>
  <c r="J66" i="2"/>
  <c r="I66" i="2"/>
  <c r="H66" i="2"/>
  <c r="F66" i="2"/>
  <c r="E66" i="2"/>
  <c r="D66" i="2"/>
  <c r="C66" i="2"/>
  <c r="W65" i="2"/>
  <c r="U65" i="2"/>
  <c r="T65" i="2"/>
  <c r="S65" i="2"/>
  <c r="R65" i="2"/>
  <c r="P65" i="2"/>
  <c r="O65" i="2"/>
  <c r="N65" i="2"/>
  <c r="M65" i="2"/>
  <c r="K65" i="2"/>
  <c r="J65" i="2"/>
  <c r="I65" i="2"/>
  <c r="H65" i="2"/>
  <c r="F65" i="2"/>
  <c r="E65" i="2"/>
  <c r="D65" i="2"/>
  <c r="C65" i="2"/>
  <c r="W64" i="2"/>
  <c r="U64" i="2"/>
  <c r="T64" i="2"/>
  <c r="S64" i="2"/>
  <c r="R64" i="2"/>
  <c r="P64" i="2"/>
  <c r="O64" i="2"/>
  <c r="N64" i="2"/>
  <c r="M64" i="2"/>
  <c r="K64" i="2"/>
  <c r="J64" i="2"/>
  <c r="I64" i="2"/>
  <c r="H64" i="2"/>
  <c r="F64" i="2"/>
  <c r="E64" i="2"/>
  <c r="D64" i="2"/>
  <c r="C64" i="2"/>
  <c r="W63" i="2"/>
  <c r="U63" i="2"/>
  <c r="T63" i="2"/>
  <c r="S63" i="2"/>
  <c r="R63" i="2"/>
  <c r="P63" i="2"/>
  <c r="O63" i="2"/>
  <c r="N63" i="2"/>
  <c r="M63" i="2"/>
  <c r="K63" i="2"/>
  <c r="J63" i="2"/>
  <c r="I63" i="2"/>
  <c r="H63" i="2"/>
  <c r="F63" i="2"/>
  <c r="E63" i="2"/>
  <c r="D63" i="2"/>
  <c r="C63" i="2"/>
  <c r="T62" i="2"/>
  <c r="R62" i="2"/>
  <c r="W61" i="2"/>
  <c r="U61" i="2"/>
  <c r="T61" i="2"/>
  <c r="S61" i="2"/>
  <c r="R61" i="2"/>
  <c r="P61" i="2"/>
  <c r="O61" i="2"/>
  <c r="N61" i="2"/>
  <c r="M61" i="2"/>
  <c r="K61" i="2"/>
  <c r="J61" i="2"/>
  <c r="I61" i="2"/>
  <c r="H61" i="2"/>
  <c r="F61" i="2"/>
  <c r="E61" i="2"/>
  <c r="D61" i="2"/>
  <c r="W60" i="2"/>
  <c r="U60" i="2"/>
  <c r="T60" i="2"/>
  <c r="S60" i="2"/>
  <c r="P60" i="2"/>
  <c r="O60" i="2"/>
  <c r="N60" i="2"/>
  <c r="M60" i="2"/>
  <c r="K60" i="2"/>
  <c r="J60" i="2"/>
  <c r="I60" i="2"/>
  <c r="F60" i="2"/>
  <c r="E60" i="2"/>
  <c r="D60" i="2"/>
  <c r="W59" i="2"/>
  <c r="U59" i="2"/>
  <c r="T59" i="2"/>
  <c r="S59" i="2"/>
  <c r="R59" i="2"/>
  <c r="P59" i="2"/>
  <c r="O59" i="2"/>
  <c r="N59" i="2"/>
  <c r="M59" i="2"/>
  <c r="K59" i="2"/>
  <c r="J59" i="2"/>
  <c r="I59" i="2"/>
  <c r="H59" i="2"/>
  <c r="F59" i="2"/>
  <c r="E59" i="2"/>
  <c r="D59" i="2"/>
  <c r="W58" i="2"/>
  <c r="U58" i="2"/>
  <c r="T58" i="2"/>
  <c r="S58" i="2"/>
  <c r="P58" i="2"/>
  <c r="O58" i="2"/>
  <c r="N58" i="2"/>
  <c r="K58" i="2"/>
  <c r="J58" i="2"/>
  <c r="I58" i="2"/>
  <c r="F58" i="2"/>
  <c r="E58" i="2"/>
  <c r="D58" i="2"/>
  <c r="U57" i="2"/>
  <c r="T57" i="2"/>
  <c r="S57" i="2"/>
  <c r="K57" i="2"/>
  <c r="U56" i="2"/>
  <c r="T56" i="2"/>
  <c r="S56" i="2"/>
  <c r="K56" i="2"/>
  <c r="W55" i="2"/>
  <c r="U55" i="2"/>
  <c r="T55" i="2"/>
  <c r="S55" i="2"/>
  <c r="R55" i="2"/>
  <c r="P55" i="2"/>
  <c r="O55" i="2"/>
  <c r="N55" i="2"/>
  <c r="M55" i="2"/>
  <c r="K55" i="2"/>
  <c r="J55" i="2"/>
  <c r="I55" i="2"/>
  <c r="H55" i="2"/>
  <c r="F55" i="2"/>
  <c r="E55" i="2"/>
  <c r="D55" i="2"/>
  <c r="C55" i="2"/>
  <c r="W54" i="2"/>
  <c r="U54" i="2"/>
  <c r="T54" i="2"/>
  <c r="S54" i="2"/>
  <c r="R54" i="2"/>
  <c r="P54" i="2"/>
  <c r="O54" i="2"/>
  <c r="N54" i="2"/>
  <c r="M54" i="2"/>
  <c r="K54" i="2"/>
  <c r="J54" i="2"/>
  <c r="I54" i="2"/>
  <c r="H54" i="2"/>
  <c r="F54" i="2"/>
  <c r="E54" i="2"/>
  <c r="D54" i="2"/>
  <c r="C54" i="2"/>
  <c r="W53" i="2"/>
  <c r="U53" i="2"/>
  <c r="T53" i="2"/>
  <c r="S53" i="2"/>
  <c r="R53" i="2"/>
  <c r="P53" i="2"/>
  <c r="O53" i="2"/>
  <c r="N53" i="2"/>
  <c r="M53" i="2"/>
  <c r="K53" i="2"/>
  <c r="J53" i="2"/>
  <c r="I53" i="2"/>
  <c r="H53" i="2"/>
  <c r="F53" i="2"/>
  <c r="E53" i="2"/>
  <c r="D53" i="2"/>
  <c r="C53" i="2"/>
  <c r="U52" i="2"/>
  <c r="T52" i="2"/>
  <c r="K52" i="2"/>
  <c r="U51" i="2"/>
  <c r="T51" i="2"/>
  <c r="R51" i="2"/>
  <c r="P51" i="2"/>
  <c r="O51" i="2"/>
  <c r="N51" i="2"/>
  <c r="K51" i="2"/>
  <c r="H51" i="2"/>
  <c r="U50" i="2"/>
  <c r="T50" i="2"/>
  <c r="K50" i="2"/>
  <c r="U49" i="2"/>
  <c r="T49" i="2"/>
  <c r="K49" i="2"/>
  <c r="U48" i="2"/>
  <c r="T48" i="2"/>
  <c r="K48" i="2"/>
  <c r="W47" i="2"/>
  <c r="U47" i="2"/>
  <c r="T47" i="2"/>
  <c r="S47" i="2"/>
  <c r="R47" i="2"/>
  <c r="P47" i="2"/>
  <c r="O47" i="2"/>
  <c r="N47" i="2"/>
  <c r="M47" i="2"/>
  <c r="K47" i="2"/>
  <c r="J47" i="2"/>
  <c r="I47" i="2"/>
  <c r="H47" i="2"/>
  <c r="F47" i="2"/>
  <c r="E47" i="2"/>
  <c r="D47" i="2"/>
  <c r="C47" i="2"/>
  <c r="W46" i="2"/>
  <c r="U46" i="2"/>
  <c r="T46" i="2"/>
  <c r="S46" i="2"/>
  <c r="R46" i="2"/>
  <c r="P46" i="2"/>
  <c r="O46" i="2"/>
  <c r="N46" i="2"/>
  <c r="M46" i="2"/>
  <c r="K46" i="2"/>
  <c r="J46" i="2"/>
  <c r="I46" i="2"/>
  <c r="H46" i="2"/>
  <c r="F46" i="2"/>
  <c r="E46" i="2"/>
  <c r="D46" i="2"/>
  <c r="C46" i="2"/>
  <c r="W45" i="2"/>
  <c r="U45" i="2"/>
  <c r="T45" i="2"/>
  <c r="S45" i="2"/>
  <c r="R45" i="2"/>
  <c r="P45" i="2"/>
  <c r="O45" i="2"/>
  <c r="N45" i="2"/>
  <c r="M45" i="2"/>
  <c r="K45" i="2"/>
  <c r="J45" i="2"/>
  <c r="I45" i="2"/>
  <c r="H45" i="2"/>
  <c r="F45" i="2"/>
  <c r="E45" i="2"/>
  <c r="D45" i="2"/>
  <c r="C45" i="2"/>
  <c r="W44" i="2"/>
  <c r="U44" i="2"/>
  <c r="T44" i="2"/>
  <c r="S44" i="2"/>
  <c r="R44" i="2"/>
  <c r="P44" i="2"/>
  <c r="O44" i="2"/>
  <c r="N44" i="2"/>
  <c r="M44" i="2"/>
  <c r="K44" i="2"/>
  <c r="J44" i="2"/>
  <c r="I44" i="2"/>
  <c r="H44" i="2"/>
  <c r="F44" i="2"/>
  <c r="E44" i="2"/>
  <c r="D44" i="2"/>
  <c r="C44" i="2"/>
  <c r="W43" i="2"/>
  <c r="U43" i="2"/>
  <c r="T43" i="2"/>
  <c r="S43" i="2"/>
  <c r="R43" i="2"/>
  <c r="P43" i="2"/>
  <c r="O43" i="2"/>
  <c r="N43" i="2"/>
  <c r="M43" i="2"/>
  <c r="K43" i="2"/>
  <c r="J43" i="2"/>
  <c r="I43" i="2"/>
  <c r="H43" i="2"/>
  <c r="F43" i="2"/>
  <c r="E43" i="2"/>
  <c r="D43" i="2"/>
  <c r="C43" i="2"/>
  <c r="W42" i="2"/>
  <c r="U42" i="2"/>
  <c r="T42" i="2"/>
  <c r="S42" i="2"/>
  <c r="R42" i="2"/>
  <c r="P42" i="2"/>
  <c r="O42" i="2"/>
  <c r="N42" i="2"/>
  <c r="M42" i="2"/>
  <c r="K42" i="2"/>
  <c r="J42" i="2"/>
  <c r="I42" i="2"/>
  <c r="H42" i="2"/>
  <c r="F42" i="2"/>
  <c r="E42" i="2"/>
  <c r="D42" i="2"/>
  <c r="C42" i="2"/>
  <c r="W41" i="2"/>
  <c r="U41" i="2"/>
  <c r="T41" i="2"/>
  <c r="S41" i="2"/>
  <c r="R41" i="2"/>
  <c r="P41" i="2"/>
  <c r="O41" i="2"/>
  <c r="N41" i="2"/>
  <c r="M41" i="2"/>
  <c r="K41" i="2"/>
  <c r="J41" i="2"/>
  <c r="I41" i="2"/>
  <c r="H41" i="2"/>
  <c r="F41" i="2"/>
  <c r="E41" i="2"/>
  <c r="D41" i="2"/>
  <c r="C41" i="2"/>
  <c r="W40" i="2"/>
  <c r="U40" i="2"/>
  <c r="T40" i="2"/>
  <c r="S40" i="2"/>
  <c r="R40" i="2"/>
  <c r="P40" i="2"/>
  <c r="O40" i="2"/>
  <c r="N40" i="2"/>
  <c r="M40" i="2"/>
  <c r="K40" i="2"/>
  <c r="J40" i="2"/>
  <c r="I40" i="2"/>
  <c r="H40" i="2"/>
  <c r="F40" i="2"/>
  <c r="E40" i="2"/>
  <c r="D40" i="2"/>
  <c r="C40" i="2"/>
  <c r="W39" i="2"/>
  <c r="U39" i="2"/>
  <c r="T39" i="2"/>
  <c r="S39" i="2"/>
  <c r="R39" i="2"/>
  <c r="P39" i="2"/>
  <c r="O39" i="2"/>
  <c r="N39" i="2"/>
  <c r="M39" i="2"/>
  <c r="K39" i="2"/>
  <c r="J39" i="2"/>
  <c r="I39" i="2"/>
  <c r="H39" i="2"/>
  <c r="F39" i="2"/>
  <c r="E39" i="2"/>
  <c r="D39" i="2"/>
  <c r="C39" i="2"/>
  <c r="W38" i="2"/>
  <c r="U38" i="2"/>
  <c r="T38" i="2"/>
  <c r="S38" i="2"/>
  <c r="R38" i="2"/>
  <c r="P38" i="2"/>
  <c r="M38" i="2"/>
  <c r="K38" i="2"/>
  <c r="J38" i="2"/>
  <c r="I38" i="2"/>
  <c r="H38" i="2"/>
  <c r="F38" i="2"/>
  <c r="C38" i="2"/>
  <c r="W37" i="2"/>
  <c r="U37" i="2"/>
  <c r="T37" i="2"/>
  <c r="S37" i="2"/>
  <c r="P37" i="2"/>
  <c r="O37" i="2"/>
  <c r="N37" i="2"/>
  <c r="K37" i="2"/>
  <c r="J37" i="2"/>
  <c r="I37" i="2"/>
  <c r="W36" i="2"/>
  <c r="U36" i="2"/>
  <c r="T36" i="2"/>
  <c r="S36" i="2"/>
  <c r="P36" i="2"/>
  <c r="O36" i="2"/>
  <c r="N36" i="2"/>
  <c r="M36" i="2"/>
  <c r="K36" i="2"/>
  <c r="J36" i="2"/>
  <c r="I36" i="2"/>
  <c r="F36" i="2"/>
  <c r="E36" i="2"/>
  <c r="D36" i="2"/>
  <c r="C36" i="2"/>
  <c r="W35" i="2"/>
  <c r="U35" i="2"/>
  <c r="T35" i="2"/>
  <c r="S35" i="2"/>
  <c r="P35" i="2"/>
  <c r="O35" i="2"/>
  <c r="N35" i="2"/>
  <c r="M35" i="2"/>
  <c r="K35" i="2"/>
  <c r="J35" i="2"/>
  <c r="I35" i="2"/>
  <c r="F35" i="2"/>
  <c r="E35" i="2"/>
  <c r="D35" i="2"/>
  <c r="C35" i="2"/>
  <c r="W34" i="2"/>
  <c r="U34" i="2"/>
  <c r="T34" i="2"/>
  <c r="S34" i="2"/>
  <c r="P34" i="2"/>
  <c r="O34" i="2"/>
  <c r="N34" i="2"/>
  <c r="M34" i="2"/>
  <c r="K34" i="2"/>
  <c r="J34" i="2"/>
  <c r="I34" i="2"/>
  <c r="F34" i="2"/>
  <c r="E34" i="2"/>
  <c r="D34" i="2"/>
  <c r="C34" i="2"/>
  <c r="W33" i="2"/>
  <c r="U33" i="2"/>
  <c r="T33" i="2"/>
  <c r="S33" i="2"/>
  <c r="R33" i="2"/>
  <c r="P33" i="2"/>
  <c r="O33" i="2"/>
  <c r="N33" i="2"/>
  <c r="K33" i="2"/>
  <c r="J33" i="2"/>
  <c r="I33" i="2"/>
  <c r="H33" i="2"/>
  <c r="F33" i="2"/>
  <c r="E33" i="2"/>
  <c r="D33" i="2"/>
  <c r="W32" i="2"/>
  <c r="U32" i="2"/>
  <c r="T32" i="2"/>
  <c r="S32" i="2"/>
  <c r="R32" i="2"/>
  <c r="P32" i="2"/>
  <c r="O32" i="2"/>
  <c r="N32" i="2"/>
  <c r="M32" i="2"/>
  <c r="K32" i="2"/>
  <c r="J32" i="2"/>
  <c r="I32" i="2"/>
  <c r="H32" i="2"/>
  <c r="F32" i="2"/>
  <c r="E32" i="2"/>
  <c r="D32" i="2"/>
  <c r="C32" i="2"/>
  <c r="W31" i="2"/>
  <c r="U31" i="2"/>
  <c r="T31" i="2"/>
  <c r="S31" i="2"/>
  <c r="R31" i="2"/>
  <c r="P31" i="2"/>
  <c r="O31" i="2"/>
  <c r="N31" i="2"/>
  <c r="M31" i="2"/>
  <c r="K31" i="2"/>
  <c r="J31" i="2"/>
  <c r="I31" i="2"/>
  <c r="H31" i="2"/>
  <c r="F31" i="2"/>
  <c r="E31" i="2"/>
  <c r="D31" i="2"/>
  <c r="C31" i="2"/>
  <c r="W30" i="2"/>
  <c r="U30" i="2"/>
  <c r="T30" i="2"/>
  <c r="S30" i="2"/>
  <c r="R30" i="2"/>
  <c r="P30" i="2"/>
  <c r="O30" i="2"/>
  <c r="N30" i="2"/>
  <c r="M30" i="2"/>
  <c r="K30" i="2"/>
  <c r="J30" i="2"/>
  <c r="I30" i="2"/>
  <c r="H30" i="2"/>
  <c r="F30" i="2"/>
  <c r="E30" i="2"/>
  <c r="D30" i="2"/>
  <c r="C30" i="2"/>
  <c r="W29" i="2"/>
  <c r="U29" i="2"/>
  <c r="T29" i="2"/>
  <c r="S29" i="2"/>
  <c r="R29" i="2"/>
  <c r="P29" i="2"/>
  <c r="O29" i="2"/>
  <c r="N29" i="2"/>
  <c r="M29" i="2"/>
  <c r="K29" i="2"/>
  <c r="J29" i="2"/>
  <c r="I29" i="2"/>
  <c r="H29" i="2"/>
  <c r="F29" i="2"/>
  <c r="E29" i="2"/>
  <c r="D29" i="2"/>
  <c r="C29" i="2"/>
  <c r="W28" i="2"/>
  <c r="U28" i="2"/>
  <c r="T28" i="2"/>
  <c r="S28" i="2"/>
  <c r="R28" i="2"/>
  <c r="P28" i="2"/>
  <c r="O28" i="2"/>
  <c r="N28" i="2"/>
  <c r="M28" i="2"/>
  <c r="K28" i="2"/>
  <c r="J28" i="2"/>
  <c r="I28" i="2"/>
  <c r="H28" i="2"/>
  <c r="F28" i="2"/>
  <c r="E28" i="2"/>
  <c r="D28" i="2"/>
  <c r="C28" i="2"/>
  <c r="W27" i="2"/>
  <c r="U27" i="2"/>
  <c r="T27" i="2"/>
  <c r="S27" i="2"/>
  <c r="R27" i="2"/>
  <c r="P27" i="2"/>
  <c r="O27" i="2"/>
  <c r="N27" i="2"/>
  <c r="M27" i="2"/>
  <c r="K27" i="2"/>
  <c r="J27" i="2"/>
  <c r="I27" i="2"/>
  <c r="H27" i="2"/>
  <c r="W26" i="2"/>
  <c r="U26" i="2"/>
  <c r="T26" i="2"/>
  <c r="S26" i="2"/>
  <c r="R26" i="2"/>
  <c r="P26" i="2"/>
  <c r="O26" i="2"/>
  <c r="N26" i="2"/>
  <c r="M26" i="2"/>
  <c r="K26" i="2"/>
  <c r="J26" i="2"/>
  <c r="I26" i="2"/>
  <c r="H26" i="2"/>
  <c r="F26" i="2"/>
  <c r="E26" i="2"/>
  <c r="D26" i="2"/>
  <c r="C26" i="2"/>
  <c r="W25" i="2"/>
  <c r="U25" i="2"/>
  <c r="S25" i="2"/>
  <c r="R25" i="2"/>
  <c r="K25" i="2"/>
  <c r="J25" i="2"/>
  <c r="I25" i="2"/>
  <c r="H25" i="2"/>
  <c r="W24" i="2"/>
  <c r="U24" i="2"/>
  <c r="T24" i="2"/>
  <c r="S24" i="2"/>
  <c r="R24" i="2"/>
  <c r="P24" i="2"/>
  <c r="O24" i="2"/>
  <c r="N24" i="2"/>
  <c r="M24" i="2"/>
  <c r="K24" i="2"/>
  <c r="J24" i="2"/>
  <c r="I24" i="2"/>
  <c r="H24" i="2"/>
  <c r="F24" i="2"/>
  <c r="E24" i="2"/>
  <c r="D24" i="2"/>
  <c r="C24" i="2"/>
  <c r="W23" i="2"/>
  <c r="U23" i="2"/>
  <c r="T23" i="2"/>
  <c r="S23" i="2"/>
  <c r="R23" i="2"/>
  <c r="P23" i="2"/>
  <c r="O23" i="2"/>
  <c r="N23" i="2"/>
  <c r="M23" i="2"/>
  <c r="K23" i="2"/>
  <c r="J23" i="2"/>
  <c r="I23" i="2"/>
  <c r="H23" i="2"/>
  <c r="F23" i="2"/>
  <c r="E23" i="2"/>
  <c r="D23" i="2"/>
  <c r="C23" i="2"/>
  <c r="W22" i="2"/>
  <c r="U22" i="2"/>
  <c r="T22" i="2"/>
  <c r="S22" i="2"/>
  <c r="R22" i="2"/>
  <c r="P22" i="2"/>
  <c r="O22" i="2"/>
  <c r="N22" i="2"/>
  <c r="M22" i="2"/>
  <c r="K22" i="2"/>
  <c r="J22" i="2"/>
  <c r="I22" i="2"/>
  <c r="H22" i="2"/>
  <c r="F22" i="2"/>
  <c r="E22" i="2"/>
  <c r="D22" i="2"/>
  <c r="C22" i="2"/>
  <c r="W21" i="2"/>
  <c r="U21" i="2"/>
  <c r="T21" i="2"/>
  <c r="S21" i="2"/>
  <c r="R21" i="2"/>
  <c r="P21" i="2"/>
  <c r="O21" i="2"/>
  <c r="N21" i="2"/>
  <c r="M21" i="2"/>
  <c r="K21" i="2"/>
  <c r="J21" i="2"/>
  <c r="I21" i="2"/>
  <c r="H21" i="2"/>
  <c r="F21" i="2"/>
  <c r="E21" i="2"/>
  <c r="D21" i="2"/>
  <c r="C21" i="2"/>
  <c r="W20" i="2"/>
  <c r="U20" i="2"/>
  <c r="T20" i="2"/>
  <c r="S20" i="2"/>
  <c r="R20" i="2"/>
  <c r="P20" i="2"/>
  <c r="O20" i="2"/>
  <c r="N20" i="2"/>
  <c r="M20" i="2"/>
  <c r="K20" i="2"/>
  <c r="J20" i="2"/>
  <c r="I20" i="2"/>
  <c r="H20" i="2"/>
  <c r="F20" i="2"/>
  <c r="E20" i="2"/>
  <c r="D20" i="2"/>
  <c r="C20" i="2"/>
  <c r="W19" i="2"/>
  <c r="U19" i="2"/>
  <c r="T19" i="2"/>
  <c r="S19" i="2"/>
  <c r="R19" i="2"/>
  <c r="P19" i="2"/>
  <c r="O19" i="2"/>
  <c r="N19" i="2"/>
  <c r="M19" i="2"/>
  <c r="K19" i="2"/>
  <c r="J19" i="2"/>
  <c r="I19" i="2"/>
  <c r="H19" i="2"/>
  <c r="F19" i="2"/>
  <c r="E19" i="2"/>
  <c r="D19" i="2"/>
  <c r="C19" i="2"/>
  <c r="W18" i="2"/>
  <c r="U18" i="2"/>
  <c r="T18" i="2"/>
  <c r="S18" i="2"/>
  <c r="R18" i="2"/>
  <c r="P18" i="2"/>
  <c r="O18" i="2"/>
  <c r="N18" i="2"/>
  <c r="M18" i="2"/>
  <c r="K18" i="2"/>
  <c r="J18" i="2"/>
  <c r="I18" i="2"/>
  <c r="H18" i="2"/>
  <c r="W17" i="2"/>
  <c r="U17" i="2"/>
  <c r="S17" i="2"/>
  <c r="R17" i="2"/>
  <c r="P17" i="2"/>
  <c r="O17" i="2"/>
  <c r="N17" i="2"/>
  <c r="M17" i="2"/>
  <c r="K17" i="2"/>
  <c r="J17" i="2"/>
  <c r="I17" i="2"/>
  <c r="H17" i="2"/>
  <c r="F17" i="2"/>
  <c r="E17" i="2"/>
  <c r="D17" i="2"/>
  <c r="C17" i="2"/>
  <c r="W16" i="2"/>
  <c r="U16" i="2"/>
  <c r="T16" i="2"/>
  <c r="S16" i="2"/>
  <c r="R16" i="2"/>
  <c r="K16" i="2"/>
  <c r="J16" i="2"/>
  <c r="I16" i="2"/>
  <c r="H16" i="2"/>
  <c r="F16" i="2"/>
  <c r="E16" i="2"/>
  <c r="D16" i="2"/>
  <c r="C16" i="2"/>
  <c r="W15" i="2"/>
  <c r="U15" i="2"/>
  <c r="T15" i="2"/>
  <c r="S15" i="2"/>
  <c r="R15" i="2"/>
  <c r="P15" i="2"/>
  <c r="O15" i="2"/>
  <c r="N15" i="2"/>
  <c r="M15" i="2"/>
  <c r="K15" i="2"/>
  <c r="J15" i="2"/>
  <c r="I15" i="2"/>
  <c r="H15" i="2"/>
  <c r="F15" i="2"/>
  <c r="E15" i="2"/>
  <c r="D15" i="2"/>
  <c r="C15" i="2"/>
  <c r="W14" i="2"/>
  <c r="U14" i="2"/>
  <c r="T14" i="2"/>
  <c r="S14" i="2"/>
  <c r="R14" i="2"/>
  <c r="P14" i="2"/>
  <c r="O14" i="2"/>
  <c r="N14" i="2"/>
  <c r="K14" i="2"/>
  <c r="J14" i="2"/>
  <c r="I14" i="2"/>
  <c r="H14" i="2"/>
  <c r="F14" i="2"/>
  <c r="E14" i="2"/>
  <c r="D14" i="2"/>
  <c r="W13" i="2"/>
  <c r="U13" i="2"/>
  <c r="T13" i="2"/>
  <c r="S13" i="2"/>
  <c r="R13" i="2"/>
  <c r="K13" i="2"/>
  <c r="J13" i="2"/>
  <c r="I13" i="2"/>
  <c r="H13" i="2"/>
  <c r="W12" i="2"/>
  <c r="U12" i="2"/>
  <c r="T12" i="2"/>
  <c r="S12" i="2"/>
  <c r="R12" i="2"/>
  <c r="K12" i="2"/>
  <c r="J12" i="2"/>
  <c r="I12" i="2"/>
  <c r="H12" i="2"/>
  <c r="W11" i="2"/>
  <c r="U11" i="2"/>
  <c r="T11" i="2"/>
  <c r="S11" i="2"/>
  <c r="R11" i="2"/>
  <c r="P11" i="2"/>
  <c r="O11" i="2"/>
  <c r="N11" i="2"/>
  <c r="M11" i="2"/>
  <c r="K11" i="2"/>
  <c r="J11" i="2"/>
  <c r="I11" i="2"/>
  <c r="H11" i="2"/>
  <c r="G11" i="2"/>
  <c r="F11" i="2"/>
  <c r="E11" i="2"/>
  <c r="D11" i="2"/>
  <c r="C11" i="2"/>
  <c r="W10" i="2"/>
  <c r="U10" i="2"/>
  <c r="T10" i="2"/>
  <c r="S10" i="2"/>
  <c r="R10" i="2"/>
  <c r="P10" i="2"/>
  <c r="O10" i="2"/>
  <c r="N10" i="2"/>
  <c r="M10" i="2"/>
  <c r="K10" i="2"/>
  <c r="J10" i="2"/>
  <c r="I10" i="2"/>
  <c r="H10" i="2"/>
  <c r="F10" i="2"/>
  <c r="E10" i="2"/>
  <c r="D10" i="2"/>
  <c r="C10" i="2"/>
  <c r="W9" i="2"/>
  <c r="U9" i="2"/>
  <c r="T9" i="2"/>
  <c r="S9" i="2"/>
  <c r="R9" i="2"/>
  <c r="P9" i="2"/>
  <c r="O9" i="2"/>
  <c r="N9" i="2"/>
  <c r="M9" i="2"/>
  <c r="L9" i="2"/>
  <c r="K9" i="2"/>
  <c r="J9" i="2"/>
  <c r="I9" i="2"/>
  <c r="H9" i="2"/>
  <c r="F9" i="2"/>
  <c r="E9" i="2"/>
  <c r="D9" i="2"/>
  <c r="C9" i="2"/>
  <c r="R6" i="2"/>
  <c r="Q6" i="2"/>
  <c r="P6" i="2"/>
  <c r="O6" i="2"/>
  <c r="N6" i="2"/>
  <c r="M6" i="2"/>
  <c r="L6" i="2"/>
  <c r="J116" i="20"/>
  <c r="I116" i="20"/>
  <c r="H116" i="20"/>
  <c r="G116" i="20"/>
  <c r="F116" i="20"/>
  <c r="E116" i="20"/>
  <c r="D116" i="20"/>
  <c r="J115" i="20"/>
  <c r="I115" i="20"/>
  <c r="H115" i="20"/>
  <c r="G115" i="20"/>
  <c r="F115" i="20"/>
  <c r="E115" i="20"/>
  <c r="D115" i="20"/>
  <c r="J114" i="20"/>
  <c r="I114" i="20"/>
  <c r="H114" i="20"/>
  <c r="G114" i="20"/>
  <c r="F114" i="20"/>
  <c r="E114" i="20"/>
  <c r="D114" i="20"/>
  <c r="G113" i="20"/>
  <c r="F113" i="20"/>
  <c r="J110" i="20"/>
  <c r="I110" i="20"/>
  <c r="H110" i="20"/>
  <c r="G110" i="20"/>
  <c r="F110" i="20"/>
  <c r="E110" i="20"/>
  <c r="D110" i="20"/>
  <c r="J109" i="20"/>
  <c r="I109" i="20"/>
  <c r="H109" i="20"/>
  <c r="G109" i="20"/>
  <c r="F109" i="20"/>
  <c r="E109" i="20"/>
  <c r="D109" i="20"/>
  <c r="J108" i="20"/>
  <c r="I108" i="20"/>
  <c r="H108" i="20"/>
  <c r="G108" i="20"/>
  <c r="F108" i="20"/>
  <c r="E108" i="20"/>
  <c r="D108" i="20"/>
  <c r="G107" i="20"/>
  <c r="F107" i="20"/>
  <c r="J104" i="20"/>
  <c r="I104" i="20"/>
  <c r="H104" i="20"/>
  <c r="G104" i="20"/>
  <c r="F104" i="20"/>
  <c r="E104" i="20"/>
  <c r="D104" i="20"/>
  <c r="J103" i="20"/>
  <c r="I103" i="20"/>
  <c r="H103" i="20"/>
  <c r="G103" i="20"/>
  <c r="F103" i="20"/>
  <c r="E103" i="20"/>
  <c r="D103" i="20"/>
  <c r="J102" i="20"/>
  <c r="I102" i="20"/>
  <c r="H102" i="20"/>
  <c r="G102" i="20"/>
  <c r="F102" i="20"/>
  <c r="E102" i="20"/>
  <c r="D102" i="20"/>
  <c r="G101" i="20"/>
  <c r="F101" i="20"/>
  <c r="T98" i="20"/>
  <c r="S98" i="20"/>
  <c r="R98" i="20"/>
  <c r="Q98" i="20"/>
  <c r="P98" i="20"/>
  <c r="O98" i="20"/>
  <c r="N98" i="20"/>
  <c r="J98" i="20"/>
  <c r="I98" i="20"/>
  <c r="H98" i="20"/>
  <c r="G98" i="20"/>
  <c r="F98" i="20"/>
  <c r="E98" i="20"/>
  <c r="D98" i="20"/>
  <c r="T97" i="20"/>
  <c r="S97" i="20"/>
  <c r="R97" i="20"/>
  <c r="Q97" i="20"/>
  <c r="P97" i="20"/>
  <c r="O97" i="20"/>
  <c r="N97" i="20"/>
  <c r="L97" i="20"/>
  <c r="J97" i="20"/>
  <c r="I97" i="20"/>
  <c r="H97" i="20"/>
  <c r="G97" i="20"/>
  <c r="F97" i="20"/>
  <c r="E97" i="20"/>
  <c r="D97" i="20"/>
  <c r="B97" i="20"/>
  <c r="T96" i="20"/>
  <c r="S96" i="20"/>
  <c r="R96" i="20"/>
  <c r="Q96" i="20"/>
  <c r="P96" i="20"/>
  <c r="O96" i="20"/>
  <c r="N96" i="20"/>
  <c r="L96" i="20"/>
  <c r="J96" i="20"/>
  <c r="I96" i="20"/>
  <c r="H96" i="20"/>
  <c r="G96" i="20"/>
  <c r="F96" i="20"/>
  <c r="E96" i="20"/>
  <c r="D96" i="20"/>
  <c r="B96" i="20"/>
  <c r="S95" i="20"/>
  <c r="R95" i="20"/>
  <c r="Q95" i="20"/>
  <c r="P95" i="20"/>
  <c r="O95" i="20"/>
  <c r="N95" i="20"/>
  <c r="I95" i="20"/>
  <c r="H95" i="20"/>
  <c r="G95" i="20"/>
  <c r="F95" i="20"/>
  <c r="E95" i="20"/>
  <c r="D95" i="20"/>
  <c r="T91" i="20"/>
  <c r="S91" i="20"/>
  <c r="R91" i="20"/>
  <c r="Q91" i="20"/>
  <c r="P91" i="20"/>
  <c r="O91" i="20"/>
  <c r="N91" i="20"/>
  <c r="J91" i="20"/>
  <c r="I91" i="20"/>
  <c r="H91" i="20"/>
  <c r="G91" i="20"/>
  <c r="F91" i="20"/>
  <c r="E91" i="20"/>
  <c r="D91" i="20"/>
  <c r="T90" i="20"/>
  <c r="S90" i="20"/>
  <c r="R90" i="20"/>
  <c r="Q90" i="20"/>
  <c r="P90" i="20"/>
  <c r="O90" i="20"/>
  <c r="N90" i="20"/>
  <c r="L90" i="20"/>
  <c r="J90" i="20"/>
  <c r="I90" i="20"/>
  <c r="H90" i="20"/>
  <c r="G90" i="20"/>
  <c r="F90" i="20"/>
  <c r="E90" i="20"/>
  <c r="D90" i="20"/>
  <c r="B90" i="20"/>
  <c r="T89" i="20"/>
  <c r="S89" i="20"/>
  <c r="R89" i="20"/>
  <c r="Q89" i="20"/>
  <c r="P89" i="20"/>
  <c r="O89" i="20"/>
  <c r="N89" i="20"/>
  <c r="L89" i="20"/>
  <c r="J89" i="20"/>
  <c r="I89" i="20"/>
  <c r="H89" i="20"/>
  <c r="G89" i="20"/>
  <c r="F89" i="20"/>
  <c r="E89" i="20"/>
  <c r="D89" i="20"/>
  <c r="B89" i="20"/>
  <c r="S88" i="20"/>
  <c r="R88" i="20"/>
  <c r="Q88" i="20"/>
  <c r="P88" i="20"/>
  <c r="O88" i="20"/>
  <c r="N88" i="20"/>
  <c r="I88" i="20"/>
  <c r="H88" i="20"/>
  <c r="G88" i="20"/>
  <c r="F88" i="20"/>
  <c r="E88" i="20"/>
  <c r="D88" i="20"/>
  <c r="T84" i="20"/>
  <c r="S84" i="20"/>
  <c r="R84" i="20"/>
  <c r="Q84" i="20"/>
  <c r="P84" i="20"/>
  <c r="O84" i="20"/>
  <c r="N84" i="20"/>
  <c r="J84" i="20"/>
  <c r="I84" i="20"/>
  <c r="H84" i="20"/>
  <c r="G84" i="20"/>
  <c r="F84" i="20"/>
  <c r="E84" i="20"/>
  <c r="D84" i="20"/>
  <c r="T83" i="20"/>
  <c r="S83" i="20"/>
  <c r="R83" i="20"/>
  <c r="Q83" i="20"/>
  <c r="P83" i="20"/>
  <c r="O83" i="20"/>
  <c r="N83" i="20"/>
  <c r="L83" i="20"/>
  <c r="J83" i="20"/>
  <c r="I83" i="20"/>
  <c r="H83" i="20"/>
  <c r="G83" i="20"/>
  <c r="F83" i="20"/>
  <c r="E83" i="20"/>
  <c r="D83" i="20"/>
  <c r="B83" i="20"/>
  <c r="T82" i="20"/>
  <c r="S82" i="20"/>
  <c r="R82" i="20"/>
  <c r="Q82" i="20"/>
  <c r="P82" i="20"/>
  <c r="O82" i="20"/>
  <c r="N82" i="20"/>
  <c r="L82" i="20"/>
  <c r="J82" i="20"/>
  <c r="I82" i="20"/>
  <c r="H82" i="20"/>
  <c r="G82" i="20"/>
  <c r="F82" i="20"/>
  <c r="E82" i="20"/>
  <c r="D82" i="20"/>
  <c r="B82" i="20"/>
  <c r="S81" i="20"/>
  <c r="R81" i="20"/>
  <c r="Q81" i="20"/>
  <c r="P81" i="20"/>
  <c r="O81" i="20"/>
  <c r="N81" i="20"/>
  <c r="I81" i="20"/>
  <c r="H81" i="20"/>
  <c r="G81" i="20"/>
  <c r="F81" i="20"/>
  <c r="E81" i="20"/>
  <c r="D81" i="20"/>
  <c r="T77" i="20"/>
  <c r="S77" i="20"/>
  <c r="R77" i="20"/>
  <c r="Q77" i="20"/>
  <c r="P77" i="20"/>
  <c r="O77" i="20"/>
  <c r="N77" i="20"/>
  <c r="J77" i="20"/>
  <c r="I77" i="20"/>
  <c r="H77" i="20"/>
  <c r="G77" i="20"/>
  <c r="F77" i="20"/>
  <c r="E77" i="20"/>
  <c r="D77" i="20"/>
  <c r="T76" i="20"/>
  <c r="S76" i="20"/>
  <c r="R76" i="20"/>
  <c r="Q76" i="20"/>
  <c r="P76" i="20"/>
  <c r="O76" i="20"/>
  <c r="N76" i="20"/>
  <c r="J76" i="20"/>
  <c r="I76" i="20"/>
  <c r="H76" i="20"/>
  <c r="G76" i="20"/>
  <c r="F76" i="20"/>
  <c r="E76" i="20"/>
  <c r="D76" i="20"/>
  <c r="T75" i="20"/>
  <c r="S75" i="20"/>
  <c r="R75" i="20"/>
  <c r="Q75" i="20"/>
  <c r="P75" i="20"/>
  <c r="O75" i="20"/>
  <c r="N75" i="20"/>
  <c r="J75" i="20"/>
  <c r="I75" i="20"/>
  <c r="H75" i="20"/>
  <c r="G75" i="20"/>
  <c r="F75" i="20"/>
  <c r="E75" i="20"/>
  <c r="D75" i="20"/>
  <c r="S74" i="20"/>
  <c r="R74" i="20"/>
  <c r="Q74" i="20"/>
  <c r="P74" i="20"/>
  <c r="O74" i="20"/>
  <c r="N74" i="20"/>
  <c r="I74" i="20"/>
  <c r="H74" i="20"/>
  <c r="G74" i="20"/>
  <c r="F74" i="20"/>
  <c r="E74" i="20"/>
  <c r="D74" i="20"/>
  <c r="T70" i="20"/>
  <c r="S70" i="20"/>
  <c r="R70" i="20"/>
  <c r="Q70" i="20"/>
  <c r="P70" i="20"/>
  <c r="O70" i="20"/>
  <c r="N70" i="20"/>
  <c r="J70" i="20"/>
  <c r="I70" i="20"/>
  <c r="H70" i="20"/>
  <c r="G70" i="20"/>
  <c r="F70" i="20"/>
  <c r="E70" i="20"/>
  <c r="D70" i="20"/>
  <c r="T69" i="20"/>
  <c r="S69" i="20"/>
  <c r="R69" i="20"/>
  <c r="Q69" i="20"/>
  <c r="P69" i="20"/>
  <c r="O69" i="20"/>
  <c r="N69" i="20"/>
  <c r="J69" i="20"/>
  <c r="I69" i="20"/>
  <c r="H69" i="20"/>
  <c r="G69" i="20"/>
  <c r="F69" i="20"/>
  <c r="E69" i="20"/>
  <c r="D69" i="20"/>
  <c r="T68" i="20"/>
  <c r="S68" i="20"/>
  <c r="R68" i="20"/>
  <c r="Q68" i="20"/>
  <c r="P68" i="20"/>
  <c r="O68" i="20"/>
  <c r="N68" i="20"/>
  <c r="J68" i="20"/>
  <c r="I68" i="20"/>
  <c r="H68" i="20"/>
  <c r="G68" i="20"/>
  <c r="F68" i="20"/>
  <c r="E68" i="20"/>
  <c r="D68" i="20"/>
  <c r="S67" i="20"/>
  <c r="R67" i="20"/>
  <c r="Q67" i="20"/>
  <c r="P67" i="20"/>
  <c r="O67" i="20"/>
  <c r="N67" i="20"/>
  <c r="I67" i="20"/>
  <c r="H67" i="20"/>
  <c r="G67" i="20"/>
  <c r="F67" i="20"/>
  <c r="E67" i="20"/>
  <c r="D67" i="20"/>
  <c r="T63" i="20"/>
  <c r="S63" i="20"/>
  <c r="R63" i="20"/>
  <c r="Q63" i="20"/>
  <c r="P63" i="20"/>
  <c r="O63" i="20"/>
  <c r="N63" i="20"/>
  <c r="J63" i="20"/>
  <c r="I63" i="20"/>
  <c r="H63" i="20"/>
  <c r="G63" i="20"/>
  <c r="F63" i="20"/>
  <c r="E63" i="20"/>
  <c r="D63" i="20"/>
  <c r="T62" i="20"/>
  <c r="S62" i="20"/>
  <c r="R62" i="20"/>
  <c r="Q62" i="20"/>
  <c r="P62" i="20"/>
  <c r="O62" i="20"/>
  <c r="N62" i="20"/>
  <c r="J62" i="20"/>
  <c r="I62" i="20"/>
  <c r="H62" i="20"/>
  <c r="G62" i="20"/>
  <c r="F62" i="20"/>
  <c r="E62" i="20"/>
  <c r="D62" i="20"/>
  <c r="T61" i="20"/>
  <c r="S61" i="20"/>
  <c r="R61" i="20"/>
  <c r="Q61" i="20"/>
  <c r="P61" i="20"/>
  <c r="O61" i="20"/>
  <c r="N61" i="20"/>
  <c r="J61" i="20"/>
  <c r="I61" i="20"/>
  <c r="H61" i="20"/>
  <c r="G61" i="20"/>
  <c r="F61" i="20"/>
  <c r="E61" i="20"/>
  <c r="D61" i="20"/>
  <c r="S60" i="20"/>
  <c r="R60" i="20"/>
  <c r="Q60" i="20"/>
  <c r="P60" i="20"/>
  <c r="O60" i="20"/>
  <c r="N60" i="20"/>
  <c r="I60" i="20"/>
  <c r="H60" i="20"/>
  <c r="G60" i="20"/>
  <c r="F60" i="20"/>
  <c r="E60" i="20"/>
  <c r="D60" i="20"/>
  <c r="T56" i="20"/>
  <c r="S56" i="20"/>
  <c r="R56" i="20"/>
  <c r="Q56" i="20"/>
  <c r="P56" i="20"/>
  <c r="O56" i="20"/>
  <c r="N56" i="20"/>
  <c r="J56" i="20"/>
  <c r="I56" i="20"/>
  <c r="H56" i="20"/>
  <c r="G56" i="20"/>
  <c r="F56" i="20"/>
  <c r="E56" i="20"/>
  <c r="D56" i="20"/>
  <c r="T55" i="20"/>
  <c r="S55" i="20"/>
  <c r="R55" i="20"/>
  <c r="Q55" i="20"/>
  <c r="P55" i="20"/>
  <c r="O55" i="20"/>
  <c r="N55" i="20"/>
  <c r="J55" i="20"/>
  <c r="I55" i="20"/>
  <c r="H55" i="20"/>
  <c r="G55" i="20"/>
  <c r="F55" i="20"/>
  <c r="E55" i="20"/>
  <c r="D55" i="20"/>
  <c r="T54" i="20"/>
  <c r="S54" i="20"/>
  <c r="R54" i="20"/>
  <c r="Q54" i="20"/>
  <c r="P54" i="20"/>
  <c r="O54" i="20"/>
  <c r="N54" i="20"/>
  <c r="J54" i="20"/>
  <c r="I54" i="20"/>
  <c r="H54" i="20"/>
  <c r="G54" i="20"/>
  <c r="F54" i="20"/>
  <c r="E54" i="20"/>
  <c r="D54" i="20"/>
  <c r="S53" i="20"/>
  <c r="R53" i="20"/>
  <c r="Q53" i="20"/>
  <c r="P53" i="20"/>
  <c r="O53" i="20"/>
  <c r="N53" i="20"/>
  <c r="I53" i="20"/>
  <c r="H53" i="20"/>
  <c r="G53" i="20"/>
  <c r="F53" i="20"/>
  <c r="E53" i="20"/>
  <c r="D53" i="20"/>
  <c r="T49" i="20"/>
  <c r="S49" i="20"/>
  <c r="R49" i="20"/>
  <c r="Q49" i="20"/>
  <c r="P49" i="20"/>
  <c r="O49" i="20"/>
  <c r="N49" i="20"/>
  <c r="J49" i="20"/>
  <c r="I49" i="20"/>
  <c r="H49" i="20"/>
  <c r="G49" i="20"/>
  <c r="F49" i="20"/>
  <c r="E49" i="20"/>
  <c r="D49" i="20"/>
  <c r="T48" i="20"/>
  <c r="S48" i="20"/>
  <c r="R48" i="20"/>
  <c r="Q48" i="20"/>
  <c r="P48" i="20"/>
  <c r="O48" i="20"/>
  <c r="N48" i="20"/>
  <c r="J48" i="20"/>
  <c r="I48" i="20"/>
  <c r="H48" i="20"/>
  <c r="G48" i="20"/>
  <c r="F48" i="20"/>
  <c r="E48" i="20"/>
  <c r="D48" i="20"/>
  <c r="T47" i="20"/>
  <c r="S47" i="20"/>
  <c r="R47" i="20"/>
  <c r="Q47" i="20"/>
  <c r="P47" i="20"/>
  <c r="O47" i="20"/>
  <c r="N47" i="20"/>
  <c r="J47" i="20"/>
  <c r="I47" i="20"/>
  <c r="H47" i="20"/>
  <c r="G47" i="20"/>
  <c r="F47" i="20"/>
  <c r="E47" i="20"/>
  <c r="D47" i="20"/>
  <c r="S46" i="20"/>
  <c r="R46" i="20"/>
  <c r="Q46" i="20"/>
  <c r="P46" i="20"/>
  <c r="O46" i="20"/>
  <c r="N46" i="20"/>
  <c r="I46" i="20"/>
  <c r="H46" i="20"/>
  <c r="G46" i="20"/>
  <c r="F46" i="20"/>
  <c r="E46" i="20"/>
  <c r="D46" i="20"/>
  <c r="T42" i="20"/>
  <c r="S42" i="20"/>
  <c r="R42" i="20"/>
  <c r="Q42" i="20"/>
  <c r="P42" i="20"/>
  <c r="O42" i="20"/>
  <c r="N42" i="20"/>
  <c r="J42" i="20"/>
  <c r="I42" i="20"/>
  <c r="H42" i="20"/>
  <c r="G42" i="20"/>
  <c r="F42" i="20"/>
  <c r="E42" i="20"/>
  <c r="D42" i="20"/>
  <c r="T41" i="20"/>
  <c r="S41" i="20"/>
  <c r="R41" i="20"/>
  <c r="Q41" i="20"/>
  <c r="P41" i="20"/>
  <c r="O41" i="20"/>
  <c r="N41" i="20"/>
  <c r="J41" i="20"/>
  <c r="I41" i="20"/>
  <c r="H41" i="20"/>
  <c r="G41" i="20"/>
  <c r="F41" i="20"/>
  <c r="E41" i="20"/>
  <c r="D41" i="20"/>
  <c r="T40" i="20"/>
  <c r="S40" i="20"/>
  <c r="R40" i="20"/>
  <c r="Q40" i="20"/>
  <c r="P40" i="20"/>
  <c r="O40" i="20"/>
  <c r="N40" i="20"/>
  <c r="J40" i="20"/>
  <c r="I40" i="20"/>
  <c r="H40" i="20"/>
  <c r="G40" i="20"/>
  <c r="F40" i="20"/>
  <c r="E40" i="20"/>
  <c r="D40" i="20"/>
  <c r="S39" i="20"/>
  <c r="R39" i="20"/>
  <c r="Q39" i="20"/>
  <c r="P39" i="20"/>
  <c r="O39" i="20"/>
  <c r="N39" i="20"/>
  <c r="I39" i="20"/>
  <c r="H39" i="20"/>
  <c r="G39" i="20"/>
  <c r="F39" i="20"/>
  <c r="E39" i="20"/>
  <c r="D39" i="20"/>
  <c r="T35" i="20"/>
  <c r="S35" i="20"/>
  <c r="R35" i="20"/>
  <c r="Q35" i="20"/>
  <c r="P35" i="20"/>
  <c r="O35" i="20"/>
  <c r="N35" i="20"/>
  <c r="J35" i="20"/>
  <c r="I35" i="20"/>
  <c r="H35" i="20"/>
  <c r="G35" i="20"/>
  <c r="F35" i="20"/>
  <c r="E35" i="20"/>
  <c r="D35" i="20"/>
  <c r="T34" i="20"/>
  <c r="S34" i="20"/>
  <c r="R34" i="20"/>
  <c r="Q34" i="20"/>
  <c r="P34" i="20"/>
  <c r="O34" i="20"/>
  <c r="N34" i="20"/>
  <c r="J34" i="20"/>
  <c r="I34" i="20"/>
  <c r="H34" i="20"/>
  <c r="G34" i="20"/>
  <c r="F34" i="20"/>
  <c r="E34" i="20"/>
  <c r="D34" i="20"/>
  <c r="T33" i="20"/>
  <c r="S33" i="20"/>
  <c r="R33" i="20"/>
  <c r="Q33" i="20"/>
  <c r="P33" i="20"/>
  <c r="O33" i="20"/>
  <c r="N33" i="20"/>
  <c r="J33" i="20"/>
  <c r="I33" i="20"/>
  <c r="H33" i="20"/>
  <c r="G33" i="20"/>
  <c r="F33" i="20"/>
  <c r="E33" i="20"/>
  <c r="D33" i="20"/>
  <c r="S32" i="20"/>
  <c r="R32" i="20"/>
  <c r="Q32" i="20"/>
  <c r="P32" i="20"/>
  <c r="O32" i="20"/>
  <c r="N32" i="20"/>
  <c r="I32" i="20"/>
  <c r="H32" i="20"/>
  <c r="G32" i="20"/>
  <c r="F32" i="20"/>
  <c r="E32" i="20"/>
  <c r="P16" i="20"/>
  <c r="Q15" i="20"/>
  <c r="P15" i="20"/>
  <c r="O15" i="20"/>
  <c r="N15" i="20"/>
  <c r="Q14" i="20"/>
  <c r="P14" i="20"/>
  <c r="O14" i="20"/>
  <c r="N14" i="20"/>
  <c r="Q13" i="20"/>
  <c r="P13" i="20"/>
  <c r="O13" i="20"/>
  <c r="N13" i="20"/>
  <c r="Q12" i="20"/>
  <c r="P12" i="20"/>
  <c r="O12" i="20"/>
  <c r="N12" i="20"/>
  <c r="Q11" i="20"/>
  <c r="P11" i="20"/>
  <c r="O11" i="20"/>
  <c r="N11" i="20"/>
  <c r="Q10" i="20"/>
  <c r="P10" i="20"/>
  <c r="O10" i="20"/>
  <c r="N10" i="20"/>
  <c r="L4" i="20"/>
  <c r="C3" i="20"/>
  <c r="C59" i="24"/>
  <c r="C58" i="24"/>
  <c r="C57" i="24"/>
  <c r="C56" i="24"/>
  <c r="C53" i="24"/>
  <c r="C52" i="24"/>
  <c r="C51" i="24"/>
  <c r="C50" i="24"/>
  <c r="C47" i="24"/>
  <c r="C46" i="24"/>
  <c r="C45" i="24"/>
  <c r="C44" i="24"/>
  <c r="C41" i="24"/>
  <c r="C40" i="24"/>
  <c r="C39" i="24"/>
  <c r="C38" i="24"/>
  <c r="Q35" i="24"/>
  <c r="Q34" i="24"/>
  <c r="Q33" i="24"/>
  <c r="Q32" i="24"/>
  <c r="Q27" i="24"/>
  <c r="D27" i="24"/>
  <c r="C27" i="24"/>
  <c r="Q26" i="24"/>
  <c r="D26" i="24"/>
  <c r="C26" i="24"/>
  <c r="Q25" i="24"/>
  <c r="D25" i="24"/>
  <c r="C25" i="24"/>
  <c r="Q22" i="24"/>
  <c r="D22" i="24"/>
  <c r="C22" i="24"/>
  <c r="Q21" i="24"/>
  <c r="D21" i="24"/>
  <c r="C21" i="24"/>
  <c r="Q20" i="24"/>
  <c r="D20" i="24"/>
  <c r="C20" i="24"/>
  <c r="Q19" i="24"/>
  <c r="D19" i="24"/>
  <c r="C19" i="24"/>
  <c r="Q18" i="24"/>
  <c r="D18" i="24"/>
  <c r="C18" i="24"/>
  <c r="Q17" i="24"/>
  <c r="D17" i="24"/>
  <c r="C17" i="24"/>
  <c r="Q14" i="24"/>
  <c r="D14" i="24"/>
  <c r="C14" i="24"/>
  <c r="Q13" i="24"/>
  <c r="D13" i="24"/>
  <c r="C13" i="24"/>
  <c r="Q12" i="24"/>
  <c r="D12" i="24"/>
  <c r="C12" i="24"/>
  <c r="Q11" i="24"/>
  <c r="D11" i="24"/>
  <c r="C11" i="24"/>
  <c r="Q10" i="24"/>
  <c r="D10" i="24"/>
  <c r="C10" i="24"/>
  <c r="Q9" i="24"/>
  <c r="D9" i="24"/>
  <c r="C9" i="24"/>
  <c r="Q6" i="24"/>
  <c r="Q5" i="24"/>
  <c r="K8" i="25"/>
  <c r="J8" i="25"/>
  <c r="I8" i="25"/>
  <c r="H8" i="25"/>
  <c r="E8" i="25"/>
  <c r="D8" i="25"/>
  <c r="K7" i="25"/>
  <c r="J7" i="25"/>
  <c r="I7" i="25"/>
  <c r="H7" i="25"/>
  <c r="E7" i="25"/>
  <c r="D7" i="25"/>
  <c r="K6" i="25"/>
  <c r="J6" i="25"/>
  <c r="I6" i="25"/>
  <c r="H6" i="25"/>
  <c r="E6" i="25"/>
  <c r="D6" i="25"/>
  <c r="K5" i="25"/>
  <c r="J5" i="25"/>
  <c r="I5" i="25"/>
  <c r="H5" i="25"/>
  <c r="E5" i="25"/>
  <c r="D5" i="25"/>
  <c r="J4" i="25"/>
  <c r="H4" i="25"/>
  <c r="D4" i="25"/>
</calcChain>
</file>

<file path=xl/sharedStrings.xml><?xml version="1.0" encoding="utf-8"?>
<sst xmlns="http://schemas.openxmlformats.org/spreadsheetml/2006/main" count="2921" uniqueCount="624">
  <si>
    <t>Proceeding</t>
  </si>
  <si>
    <t>Filing Description</t>
  </si>
  <si>
    <t>Revenue Recovery Mechanism</t>
  </si>
  <si>
    <t>Safety Affordability Reliability Proceedings</t>
  </si>
  <si>
    <t>Generation</t>
  </si>
  <si>
    <t>Authority for Revenue Requirement</t>
  </si>
  <si>
    <t>Distribution</t>
  </si>
  <si>
    <t xml:space="preserve">   Subtotal Safety Affordability Reliability</t>
  </si>
  <si>
    <t>Public Policy Proceedings</t>
  </si>
  <si>
    <t xml:space="preserve">   Subtotal Public Policy </t>
  </si>
  <si>
    <t>Non-CPUC Jurisdictional Proceedings</t>
  </si>
  <si>
    <t>Transmission</t>
  </si>
  <si>
    <t xml:space="preserve">   Subtotal Non-CPUC Jurisidictional</t>
  </si>
  <si>
    <t>Pending Application(s), Not Yet Approved</t>
  </si>
  <si>
    <t>Revenue Change ($000)</t>
  </si>
  <si>
    <t>NSGC</t>
  </si>
  <si>
    <t>Public Purpose Program</t>
  </si>
  <si>
    <t>NDC</t>
  </si>
  <si>
    <t>DWR BC</t>
  </si>
  <si>
    <t>Customer Group</t>
  </si>
  <si>
    <t>Residential</t>
  </si>
  <si>
    <t>Current</t>
  </si>
  <si>
    <t>Proposed</t>
  </si>
  <si>
    <t>Assumptions:</t>
  </si>
  <si>
    <t>Total System</t>
  </si>
  <si>
    <t>DWRBC</t>
  </si>
  <si>
    <t>Bundled</t>
  </si>
  <si>
    <t>Rates</t>
  </si>
  <si>
    <t>System (Bundled and Unbundled)</t>
  </si>
  <si>
    <t>Tier 1</t>
  </si>
  <si>
    <t>Tier 2</t>
  </si>
  <si>
    <t>System</t>
  </si>
  <si>
    <t>kWh per month</t>
  </si>
  <si>
    <t>Climate Zone</t>
  </si>
  <si>
    <t>Average monthly usage is for all customers (Non-CARE and CARE) based on seasonal usage in</t>
  </si>
  <si>
    <t xml:space="preserve">Residential bill calculated using </t>
  </si>
  <si>
    <t>Summer season</t>
  </si>
  <si>
    <t>months</t>
  </si>
  <si>
    <t>Winter Season</t>
  </si>
  <si>
    <t>MONTHLY BASELINE QUANTITIES -BASIC (kWh)</t>
  </si>
  <si>
    <t>Total System (SAR)</t>
  </si>
  <si>
    <t>Total Residential (RAR)</t>
  </si>
  <si>
    <t>Sales Forecast</t>
  </si>
  <si>
    <t>Revenue</t>
  </si>
  <si>
    <t>Baseline - Summer</t>
  </si>
  <si>
    <t>- Winter</t>
  </si>
  <si>
    <t>101% - 400% of Baseline - Summer</t>
  </si>
  <si>
    <t>401% of Baseline - Summer</t>
  </si>
  <si>
    <t>Daily to Monthly Conversion Factor</t>
  </si>
  <si>
    <t xml:space="preserve">Bundled Residential Rev Req </t>
  </si>
  <si>
    <t>Non-CARE</t>
  </si>
  <si>
    <t>CARE</t>
  </si>
  <si>
    <t xml:space="preserve">Non-CARE bill impact calculated with average summer usage of </t>
  </si>
  <si>
    <t xml:space="preserve">Non-CARE bill impact calculated with average winter usage of </t>
  </si>
  <si>
    <t xml:space="preserve">CARE bill impact calculated with average summer usage of </t>
  </si>
  <si>
    <t xml:space="preserve">CARE bill impact calculated with average winter usage of </t>
  </si>
  <si>
    <t>Total Authorized Revenue</t>
  </si>
  <si>
    <t>Total Pending, Filed but not Approved</t>
  </si>
  <si>
    <t>Proposed Revenue Recovery Mechanism</t>
  </si>
  <si>
    <t>Approved Application(s), Implemented Since Jan 1 or To Be Implemented</t>
  </si>
  <si>
    <t>Total Approved, Implemented Since Jan 1 or To Be Implemented</t>
  </si>
  <si>
    <t>Current Revenue Requirement ($000):</t>
  </si>
  <si>
    <t>Existing or New Item (if existing, use delta from prior for rate impact)</t>
  </si>
  <si>
    <t>Change in Projected Authorized  Revenue Requirement ($000) for Rate Impact - Breakout by Year (if cell is shaded grey, rate impact is not presently determinable)</t>
  </si>
  <si>
    <t>Notes:</t>
  </si>
  <si>
    <t>Schedule E-1</t>
  </si>
  <si>
    <t>Schedule EL-1</t>
  </si>
  <si>
    <t>HUS</t>
  </si>
  <si>
    <t>Pension Contribution</t>
  </si>
  <si>
    <t>CTC</t>
  </si>
  <si>
    <t>Cost of Capital</t>
  </si>
  <si>
    <t>Diablo Canyon Retirement</t>
  </si>
  <si>
    <t>Nuclear Decommissioning (NDCTP)</t>
  </si>
  <si>
    <t>Department of Energy Litigation Proceeds</t>
  </si>
  <si>
    <t>D. 17-05-013</t>
  </si>
  <si>
    <t>SGIP</t>
  </si>
  <si>
    <t>AB 32: Cap &amp; Trade/GHG (Electric Procurement)</t>
  </si>
  <si>
    <t>Alternative Fuel Vehicle - SB 350 Application</t>
  </si>
  <si>
    <t>CARE Administration</t>
  </si>
  <si>
    <t>CPUC Fee</t>
  </si>
  <si>
    <t>EPIC (Electric Program Investment Charge)</t>
  </si>
  <si>
    <t>EV Pilot for Schools and Parks</t>
  </si>
  <si>
    <t xml:space="preserve">ESA (Energy Savings Assistance) </t>
  </si>
  <si>
    <t>Tree Mortality</t>
  </si>
  <si>
    <t>Residential Rate Reform Memorandum Account (RRRMA)</t>
  </si>
  <si>
    <t>Demand Response</t>
  </si>
  <si>
    <t>Demand Response Auction Mechanism</t>
  </si>
  <si>
    <t>Integrated Demand Side Management (IDSM)</t>
  </si>
  <si>
    <t>DWR Franchise Fees</t>
  </si>
  <si>
    <t>TACBAA</t>
  </si>
  <si>
    <t>TRBAA</t>
  </si>
  <si>
    <t>RSBA</t>
  </si>
  <si>
    <t>EUCRA</t>
  </si>
  <si>
    <t>Preliminary Statement ET</t>
  </si>
  <si>
    <t>Preliminary Statement S</t>
  </si>
  <si>
    <t>ERRA</t>
  </si>
  <si>
    <t>2018 CEMA</t>
  </si>
  <si>
    <t xml:space="preserve">Demand Response </t>
  </si>
  <si>
    <t>ESA (Energy Savings Assistance)</t>
  </si>
  <si>
    <t>Energy Efficiency/PEERAM</t>
  </si>
  <si>
    <t>Energy Efficiency/PPPRAM</t>
  </si>
  <si>
    <t>FERABA *</t>
  </si>
  <si>
    <t>DREBA (Incentives and Operations subaccounts) *</t>
  </si>
  <si>
    <t>MHPBA *</t>
  </si>
  <si>
    <t>MEBA *</t>
  </si>
  <si>
    <t>SGMA (Compressed Air Energy Storage) *</t>
  </si>
  <si>
    <t>PEERAM *</t>
  </si>
  <si>
    <t>PPPRAM *</t>
  </si>
  <si>
    <t>EV Infrastructure Program/TEBA *</t>
  </si>
  <si>
    <t>CTC/MTCBA *</t>
  </si>
  <si>
    <t>Cost Allocation Mechanism</t>
  </si>
  <si>
    <t>Cost Allocation Mechanism/NSGBA *</t>
  </si>
  <si>
    <t>ERBBA *</t>
  </si>
  <si>
    <t>Nuclear Decommissioning (NDCTP) *</t>
  </si>
  <si>
    <t>EPIC (Electric Program Investment Charge) *</t>
  </si>
  <si>
    <t>CARE Administration *</t>
  </si>
  <si>
    <t>Hazardous Substance Materials (HSM) *</t>
  </si>
  <si>
    <t>NTBA *</t>
  </si>
  <si>
    <t>Preliminary Statement  CZ</t>
  </si>
  <si>
    <t>Preliminary Statement  CP</t>
  </si>
  <si>
    <t>Preliminary Statement  DT</t>
  </si>
  <si>
    <t>Preliminary Statement  CQ</t>
  </si>
  <si>
    <t>Preliminary Statement  FS</t>
  </si>
  <si>
    <t>Preliminary Statement  DB</t>
  </si>
  <si>
    <t>Preliminary Statement  P</t>
  </si>
  <si>
    <t>Preliminary Statement  DX</t>
  </si>
  <si>
    <t>Preliminary Statement  EC</t>
  </si>
  <si>
    <t>Preliminary Statement  GH</t>
  </si>
  <si>
    <t>Preliminary Statement  GJ</t>
  </si>
  <si>
    <t>Preliminary Statement  FD</t>
  </si>
  <si>
    <t>Preliminary Statement  DA</t>
  </si>
  <si>
    <t>Preliminary Statement  EF</t>
  </si>
  <si>
    <t>Preliminary Statement  HH</t>
  </si>
  <si>
    <t>Preliminary Statement  M</t>
  </si>
  <si>
    <t>Preliminary Statement  FY</t>
  </si>
  <si>
    <t xml:space="preserve">Balancing Account </t>
  </si>
  <si>
    <t>New</t>
  </si>
  <si>
    <t>Existing</t>
  </si>
  <si>
    <t>ECRA</t>
  </si>
  <si>
    <t>Transmission Balancing Accounts</t>
  </si>
  <si>
    <t>GHG Revenue</t>
  </si>
  <si>
    <t>System Sales</t>
  </si>
  <si>
    <t>Bundled Sales</t>
  </si>
  <si>
    <t>Total</t>
  </si>
  <si>
    <t>Authorized + Pending</t>
  </si>
  <si>
    <t>FERC BAs</t>
  </si>
  <si>
    <t>Inputs:</t>
  </si>
  <si>
    <t>Current Effective Rates</t>
  </si>
  <si>
    <t>Baseline Region - (Residential bill)</t>
  </si>
  <si>
    <t>Include in Impact (Y)</t>
  </si>
  <si>
    <t>Y</t>
  </si>
  <si>
    <t>Outputs:</t>
  </si>
  <si>
    <t>Bundled Average Rates - ¢/kWh</t>
  </si>
  <si>
    <t>Total System (Bundled and Unbundled) Average Rates - ¢/kWh</t>
  </si>
  <si>
    <t>Summer</t>
  </si>
  <si>
    <t>Winter</t>
  </si>
  <si>
    <t>SCHEDULE E-1 RATES ($/kWh)</t>
  </si>
  <si>
    <t>General Rate Case</t>
  </si>
  <si>
    <t>General Rate Case - DRAM*</t>
  </si>
  <si>
    <t>TO</t>
  </si>
  <si>
    <t>Current Revenue Requirement Effective:</t>
  </si>
  <si>
    <t>Applicable Year(s)</t>
  </si>
  <si>
    <t>TO - Formula Rate</t>
  </si>
  <si>
    <t>CPUC Code 6350-6354</t>
  </si>
  <si>
    <t>N</t>
  </si>
  <si>
    <t>(A)</t>
  </si>
  <si>
    <t>(B)</t>
  </si>
  <si>
    <t>(C)</t>
  </si>
  <si>
    <t>(C)/(A)</t>
  </si>
  <si>
    <t>(C)/(B)</t>
  </si>
  <si>
    <t>(D)</t>
  </si>
  <si>
    <t>(D)/(A)</t>
  </si>
  <si>
    <t>(D)/(B)</t>
  </si>
  <si>
    <t>(D)/(C)</t>
  </si>
  <si>
    <t>Authorized Rates</t>
  </si>
  <si>
    <t>Authorized Revenue</t>
  </si>
  <si>
    <t>w/Pending Rates</t>
  </si>
  <si>
    <t>w/Pending Revenue</t>
  </si>
  <si>
    <t>Proposed (Authorized)</t>
  </si>
  <si>
    <t>Proposed (w/Pending)</t>
  </si>
  <si>
    <t>Sample Population Weight</t>
  </si>
  <si>
    <t>Authorized</t>
  </si>
  <si>
    <t>w/Pending</t>
  </si>
  <si>
    <t>w/ Pending</t>
  </si>
  <si>
    <t>Allocation</t>
  </si>
  <si>
    <t>PPPC</t>
  </si>
  <si>
    <t>GHG Rev</t>
  </si>
  <si>
    <t>Revenue Change ($000) - System</t>
  </si>
  <si>
    <t>Revenue Split - Bundled</t>
  </si>
  <si>
    <t>Bundled Revenue Change</t>
  </si>
  <si>
    <t>CARE Adj</t>
  </si>
  <si>
    <t>Res CARE Surcharge</t>
  </si>
  <si>
    <t>Proposed Avg Rates (Authorized)</t>
  </si>
  <si>
    <t>Proposed Avg Rates (w/Pending)</t>
  </si>
  <si>
    <t>% Change (Authorized)</t>
  </si>
  <si>
    <t>% Change (w/Pending)</t>
  </si>
  <si>
    <t>Pending Proceedings</t>
  </si>
  <si>
    <t>% Change over Authorized</t>
  </si>
  <si>
    <t>SCHEDULE EL-1 ($/kWh)</t>
  </si>
  <si>
    <t>Change</t>
  </si>
  <si>
    <t xml:space="preserve"> Rates</t>
  </si>
  <si>
    <t xml:space="preserve">Proposed Avg Rates </t>
  </si>
  <si>
    <t>% Change</t>
  </si>
  <si>
    <t>Revenue Change</t>
  </si>
  <si>
    <t>CARE Discount</t>
  </si>
  <si>
    <t>Basis of Revenue Requirement Forecast: Application Amended Application, Ammended Testimony, Proposed Settlement Agreement, Proposed Decision</t>
  </si>
  <si>
    <t>ALL</t>
  </si>
  <si>
    <t>P - Hot</t>
  </si>
  <si>
    <t>Q - Warm</t>
  </si>
  <si>
    <t>R - Hot</t>
  </si>
  <si>
    <t>S - Hot</t>
  </si>
  <si>
    <t>T - Cool</t>
  </si>
  <si>
    <t>V - Cool</t>
  </si>
  <si>
    <t>W - Hot</t>
  </si>
  <si>
    <t>X - Warm</t>
  </si>
  <si>
    <t>Y - Warm</t>
  </si>
  <si>
    <t>Z - Cool</t>
  </si>
  <si>
    <t>Residential Allocator</t>
  </si>
  <si>
    <t>Proceeding/Filing</t>
  </si>
  <si>
    <t>PCIA</t>
  </si>
  <si>
    <t>Section 851 Application to Sell The SF General Office Complex</t>
  </si>
  <si>
    <t>Non-CARE Tiered Sales</t>
  </si>
  <si>
    <t>CARE Tiered Sales</t>
  </si>
  <si>
    <t>Res. M-4841</t>
  </si>
  <si>
    <t>D.20-12-005</t>
  </si>
  <si>
    <t>Balancing Accounts</t>
  </si>
  <si>
    <t xml:space="preserve"> Revenue Change (000s)</t>
  </si>
  <si>
    <t>Tree Mortality*</t>
  </si>
  <si>
    <t>March 1</t>
  </si>
  <si>
    <t>Risk Transfer Balancing Account*</t>
  </si>
  <si>
    <t>AB 841 School Energy Efficiency Stimulus Program</t>
  </si>
  <si>
    <t>MONTHLY BASELINE QUANTITIES -ALL-ELECTRIC (kWh)</t>
  </si>
  <si>
    <t>Basic Essential Usage NON-CARE</t>
  </si>
  <si>
    <t>Basic Essential Usage CARE</t>
  </si>
  <si>
    <t>All-Electric Essential Usage NON-CARE</t>
  </si>
  <si>
    <t>All-Electric Essential Usage CARE</t>
  </si>
  <si>
    <t>Basic Essential Use  - Non-CARE</t>
  </si>
  <si>
    <t>Basic Essential Use - CARE</t>
  </si>
  <si>
    <t>All-Electric Essential Use - Non-CARE</t>
  </si>
  <si>
    <t>All-Electric Essential Use - CARE</t>
  </si>
  <si>
    <t>Alternative Fuel Vehicle - SB 350 Application (aka Transportation Electrification)</t>
  </si>
  <si>
    <t>Wildfire Mitigation Balancing Account (WMBA)</t>
  </si>
  <si>
    <t>non-CARE Sales</t>
  </si>
  <si>
    <t>non-exempt Sales</t>
  </si>
  <si>
    <t>% of CARE Sales</t>
  </si>
  <si>
    <t>CARE Line Item Discount</t>
  </si>
  <si>
    <t>non-CARE Residential Sales</t>
  </si>
  <si>
    <t>Schedule E-1, Single Family</t>
  </si>
  <si>
    <t xml:space="preserve">Non-CARE bill impact calculated with average annual usage of </t>
  </si>
  <si>
    <t xml:space="preserve">CARE bill impact calculated with average annual usage of </t>
  </si>
  <si>
    <t>Basic</t>
  </si>
  <si>
    <t>All Electric</t>
  </si>
  <si>
    <t>Essential Use - Basic</t>
  </si>
  <si>
    <t>Essential Use - All Electric</t>
  </si>
  <si>
    <t>Basic NON-CARE</t>
  </si>
  <si>
    <t>Basic CARE</t>
  </si>
  <si>
    <t>Basic Typical Non-CARE</t>
  </si>
  <si>
    <t>Basic Typical CARE</t>
  </si>
  <si>
    <t>All Electric Typical Non-CARE</t>
  </si>
  <si>
    <t>All Electric Typical CARE</t>
  </si>
  <si>
    <t>All Electric NON-CARE</t>
  </si>
  <si>
    <t>All Electric CARE</t>
  </si>
  <si>
    <t>kWh per year</t>
  </si>
  <si>
    <t>All-Electric NON-CARE</t>
  </si>
  <si>
    <t>All-Electric CARE</t>
  </si>
  <si>
    <t>All-Electric Typical Non-CARE</t>
  </si>
  <si>
    <t>All-Electric Typical CARE</t>
  </si>
  <si>
    <t>Basic Bundled Residential Monthly Average Bills</t>
  </si>
  <si>
    <t>Basic Bundled Residential Monthly Average Bills - Summer</t>
  </si>
  <si>
    <t>Basic Bundled Residential Monthly Average Bills - Winter</t>
  </si>
  <si>
    <t>Essential Use Basic Bundled Residential Monthly Average Bills</t>
  </si>
  <si>
    <t>Essential Use Basic Bundled Residential Monthly Average Bills - Summer</t>
  </si>
  <si>
    <t>Essential Use Basic Bundled Residential Monthly Average Bills - Winter</t>
  </si>
  <si>
    <t>Typical Customer Basic Bundled Residential Monthly Average Bills</t>
  </si>
  <si>
    <t>Typical Customer Basic Bundled Residential Monthly Average Bills - Summer</t>
  </si>
  <si>
    <t>Typical Customer Basic Bundled Residential Monthly Average Bills - Winter</t>
  </si>
  <si>
    <t>All-Electric Bundled Residential Monthly Average Bills</t>
  </si>
  <si>
    <t>All-Electric Bundled Residential Monthly Average Bills - Summer</t>
  </si>
  <si>
    <t>All-Electric Bundled Residential Monthly Average Bills - Winter</t>
  </si>
  <si>
    <t>Essential Use All-Electric Bundled Residential Monthly Average Bills</t>
  </si>
  <si>
    <t>Essential Use All-Electric Bundled Residential Monthly Average Bills - Summer</t>
  </si>
  <si>
    <t>Essential Use All-Electric Bundled Residential Monthly Average Bills - Winter</t>
  </si>
  <si>
    <t>Typical Customer All-Electric Bundled Residential Monthly Average Bills</t>
  </si>
  <si>
    <t>Typical Customer All-Electric Bundled Residential Monthly Average Bills - Summer</t>
  </si>
  <si>
    <t>Typical Customer All-Electric Bundled Residential Monthly Average Bills - Winter</t>
  </si>
  <si>
    <t>Residential Bi-annual Climate Credit</t>
  </si>
  <si>
    <r>
      <t xml:space="preserve">AB 32: Cap &amp; Trade/GHG </t>
    </r>
    <r>
      <rPr>
        <sz val="11"/>
        <color rgb="FF0070C0"/>
        <rFont val="Calibri"/>
        <family val="2"/>
      </rPr>
      <t>(ERRA Forecast)</t>
    </r>
  </si>
  <si>
    <r>
      <t>Tree Mortality</t>
    </r>
    <r>
      <rPr>
        <sz val="11"/>
        <color rgb="FF0070C0"/>
        <rFont val="Calibri"/>
        <family val="2"/>
      </rPr>
      <t xml:space="preserve"> (ERRA Forecast)</t>
    </r>
  </si>
  <si>
    <t>Emergency Reliability OIR</t>
  </si>
  <si>
    <t>Wildfire Fund Charge (formerly known as DWR Bond)</t>
  </si>
  <si>
    <t>D.21-08-027</t>
  </si>
  <si>
    <t>D.21-12-001</t>
  </si>
  <si>
    <t>2022 RF&amp;U</t>
  </si>
  <si>
    <t>IRPCMA*</t>
  </si>
  <si>
    <t>VMBA</t>
  </si>
  <si>
    <t>WMBA</t>
  </si>
  <si>
    <t>20-06-003, AL 6001-E</t>
  </si>
  <si>
    <t>WHC</t>
  </si>
  <si>
    <t>Non-CARE Sales</t>
  </si>
  <si>
    <t>D.18-01-022</t>
  </si>
  <si>
    <t>D.21-09-003</t>
  </si>
  <si>
    <t>D.21-12-006</t>
  </si>
  <si>
    <t>Electric Preliminary Statement Part HJ</t>
  </si>
  <si>
    <t>D.20-01-021, AL 5857-E</t>
  </si>
  <si>
    <t>D.18-01-024, AL 5222-E</t>
  </si>
  <si>
    <t>D.21-06-015</t>
  </si>
  <si>
    <t>Vegetation Management Balancing Account (VMBA)</t>
  </si>
  <si>
    <t>BioMat</t>
  </si>
  <si>
    <t>BioMat*</t>
  </si>
  <si>
    <t>Non-Vintaged PCIA</t>
  </si>
  <si>
    <t>DAC-GT</t>
  </si>
  <si>
    <t>DWR Refund</t>
  </si>
  <si>
    <t>Residential Uncollectibles Balancing Account (RUBA)*</t>
  </si>
  <si>
    <t>Authorized Revenue Requirement</t>
  </si>
  <si>
    <t>Summer Reliability OIR</t>
  </si>
  <si>
    <t>D.21-03-056, D.21-12-015</t>
  </si>
  <si>
    <t>D.22-03-011</t>
  </si>
  <si>
    <t>D.21-12-011</t>
  </si>
  <si>
    <t>EPT</t>
  </si>
  <si>
    <t>Res</t>
  </si>
  <si>
    <t>A-10</t>
  </si>
  <si>
    <t>E-19</t>
  </si>
  <si>
    <t>Streetlights</t>
  </si>
  <si>
    <t>Standby</t>
  </si>
  <si>
    <t>AG</t>
  </si>
  <si>
    <t>E-20P</t>
  </si>
  <si>
    <t>E-20S</t>
  </si>
  <si>
    <t>E-20T</t>
  </si>
  <si>
    <t>Distribution (Wildfire)</t>
  </si>
  <si>
    <t>First 500M</t>
  </si>
  <si>
    <t>After 500M</t>
  </si>
  <si>
    <t>Distribution (Wildfire) Allocation</t>
  </si>
  <si>
    <t>`</t>
  </si>
  <si>
    <t>VMBA (Distribution - Wildfire)</t>
  </si>
  <si>
    <t>Vegetation Management Balancing Account (VMBA) (Distribution - Wildfire)</t>
  </si>
  <si>
    <t>General Rate Case (Distribution - Wildfire)</t>
  </si>
  <si>
    <t>AB 1054 Securitization - FO 1</t>
  </si>
  <si>
    <t>AB 1054 Securitization - FO 2</t>
  </si>
  <si>
    <t>January 1, 2023</t>
  </si>
  <si>
    <t>2022 WMCE</t>
  </si>
  <si>
    <t>6805-E</t>
  </si>
  <si>
    <t>6863-E-A</t>
  </si>
  <si>
    <t>January 1, 2023 Rate Change (AL 6805-E) trued up the balancing accounts in the AET and implemented various authorized RRQs.</t>
  </si>
  <si>
    <t>March 1, 2023 Rate Change (AL 6863-E-A) implemented the TACBAA, 2020 WMCE, 2023 GRC Wildfire Insurance, and Demand Response Auction Mechanism decisions.</t>
  </si>
  <si>
    <t>Pension Contribution *</t>
  </si>
  <si>
    <t>2020 WMCE</t>
  </si>
  <si>
    <t>Non-Vintaged PCIA *</t>
  </si>
  <si>
    <t>WNDRR *</t>
  </si>
  <si>
    <t>MGBA *</t>
  </si>
  <si>
    <t>California Hub for Energy Efficiency Financing (CHEEF)</t>
  </si>
  <si>
    <t>Market Transformation Administrator</t>
  </si>
  <si>
    <t>2023 GRC Self-Insurance</t>
  </si>
  <si>
    <t>Summer 2023</t>
  </si>
  <si>
    <t>Winter 2023</t>
  </si>
  <si>
    <t>A.22-12-009</t>
  </si>
  <si>
    <t>2022 Recorded Average Monthly Usage (kWh) - Bundled/All Electric/non-medical/non-FERA</t>
  </si>
  <si>
    <t>PABA/PUBA *</t>
  </si>
  <si>
    <t>VAMOMA *</t>
  </si>
  <si>
    <t>D.20-12-005, AL 6389-E</t>
  </si>
  <si>
    <t>AL 6492-E-B</t>
  </si>
  <si>
    <t>D.22-12-044</t>
  </si>
  <si>
    <t>D.22-12-031</t>
  </si>
  <si>
    <t>D.20-12-005, AL 6423-E</t>
  </si>
  <si>
    <t>D. 20-12-005, AL 6661-E</t>
  </si>
  <si>
    <t>D. 20-12-005, D.21-06-030, D.22-08-004</t>
  </si>
  <si>
    <t>D.20-06-003, AL 6001-E</t>
  </si>
  <si>
    <t>D.21-08-006, AL 5857-E</t>
  </si>
  <si>
    <t>D.22-12-009</t>
  </si>
  <si>
    <t>AL 6385-E-A</t>
  </si>
  <si>
    <t>Preliminary Statement  IT</t>
  </si>
  <si>
    <t>D.20-08-042</t>
  </si>
  <si>
    <t xml:space="preserve"> D.18-05-041, D.21-05-031, AL 6385-E-A</t>
  </si>
  <si>
    <t>D.19-11-017, AL 5698-E</t>
  </si>
  <si>
    <t>Preliminary Statement  JH</t>
  </si>
  <si>
    <t>AL 6505-E</t>
  </si>
  <si>
    <t>D.23-02-017</t>
  </si>
  <si>
    <t>D.23-01-005</t>
  </si>
  <si>
    <t>D.23-01-006</t>
  </si>
  <si>
    <t>ER22-2986-000</t>
  </si>
  <si>
    <t>ER23-595-000</t>
  </si>
  <si>
    <t>D.21-06-030, D.21-05-015</t>
  </si>
  <si>
    <t>D.21-06-030, D.21-05-015, AL 6819-E</t>
  </si>
  <si>
    <t>D.22-08-004, D.21-05-015</t>
  </si>
  <si>
    <t>D.22-08-004, D.21-05-015, AL 6820-E</t>
  </si>
  <si>
    <t>2021 RF&amp;U</t>
  </si>
  <si>
    <t>ERRA *</t>
  </si>
  <si>
    <t xml:space="preserve">Summary of Selected Data </t>
  </si>
  <si>
    <t xml:space="preserve"> Requirement</t>
  </si>
  <si>
    <t>$000</t>
  </si>
  <si>
    <t>Current total system-level revenue requirement that is used for defining the reporting threshold:</t>
  </si>
  <si>
    <t>A</t>
  </si>
  <si>
    <t>One-percent reporting threshold</t>
  </si>
  <si>
    <t>List of currently open proceedings that exceed the threshold for use of the affordability metrics (proceedings shaded gray filed prior to D.22-08-023):</t>
  </si>
  <si>
    <t>B</t>
  </si>
  <si>
    <t>C</t>
  </si>
  <si>
    <t>D</t>
  </si>
  <si>
    <t>List of currently open proceedings for which affordability metrics have been filed:</t>
  </si>
  <si>
    <t>List of currently open proceedings that do not exceed the threshold for use of the affordability metrics (proceedings shaded gray filed prior to D.22-08-023):</t>
  </si>
  <si>
    <t>Total system-level revenue requirement if all pending revenue were granted in full:
requests were granted in full</t>
  </si>
  <si>
    <t>YE 2024</t>
  </si>
  <si>
    <t>YE 2025</t>
  </si>
  <si>
    <t>Bundled residential average rate (RAR) if all pending revenue were granted in full (from Cost and Rate Tracker (CRT) as submitted by utility):</t>
  </si>
  <si>
    <t>cents/kWh</t>
  </si>
  <si>
    <t>Bundled residential average monthly bill corresponding to RAR above for typical customer in climate zone X using 500 kWh (from CRT as submitted by utility):</t>
  </si>
  <si>
    <t>YE 2026</t>
  </si>
  <si>
    <t>2024 - 2025</t>
  </si>
  <si>
    <t>E</t>
  </si>
  <si>
    <t>Excess Tax</t>
  </si>
  <si>
    <t>June 1</t>
  </si>
  <si>
    <t>September 1</t>
  </si>
  <si>
    <t>AL 4579-G/6513-E</t>
  </si>
  <si>
    <t>July 1</t>
  </si>
  <si>
    <t>6968-E</t>
  </si>
  <si>
    <t>6946-E</t>
  </si>
  <si>
    <t>2022 WMCE IRR</t>
  </si>
  <si>
    <t>D.23-06-004</t>
  </si>
  <si>
    <t>D.21-12-011, AL 6934-E</t>
  </si>
  <si>
    <t>D.21-12-011, AL 6762-E</t>
  </si>
  <si>
    <t>D.20-12-005, AL 6423-E, AL 6867-E</t>
  </si>
  <si>
    <t>D.20-12-005, AL 6423-E, AL 6867-E, D.23-01-005</t>
  </si>
  <si>
    <t>Wildfire Gas and Safety Costs</t>
  </si>
  <si>
    <t>July 1, 2023 Rate Change (AL 6968-E) implemented the 2022 WMCE Interim Rate Relief decision.</t>
  </si>
  <si>
    <t>June 1, 2023 Rate Change (AL 6946-E) implemented revenue requirements related to Summer Reliability and RTBA and removed 2018 CEMA and the Tax Adjustment.</t>
  </si>
  <si>
    <t>D.23-08-027</t>
  </si>
  <si>
    <t>7009-E</t>
  </si>
  <si>
    <t>2021 WMCE</t>
  </si>
  <si>
    <t>Bundled residential average rate (RAR) if all pending revenue were granted in full:</t>
  </si>
  <si>
    <t>Bundled residential average monthly bill corresponding to RAR above for typical customer in climate zone X using 500 kWh:</t>
  </si>
  <si>
    <t>% Change Over Present Rates</t>
  </si>
  <si>
    <t>% Change Over Present Bills</t>
  </si>
  <si>
    <t>Present 9/1/2023</t>
  </si>
  <si>
    <t>2021 WMCE (VMBA)</t>
  </si>
  <si>
    <t>2024-2025</t>
  </si>
  <si>
    <t>A.21-09-008</t>
  </si>
  <si>
    <t>Application, Table 13-1</t>
  </si>
  <si>
    <t>Off-Peak Winter</t>
  </si>
  <si>
    <t>Part-Peak Winter</t>
  </si>
  <si>
    <t>Off-Peak Summer</t>
  </si>
  <si>
    <t>Part-Peak Summer</t>
  </si>
  <si>
    <t>NAICS 722</t>
  </si>
  <si>
    <t>Peak Summer</t>
  </si>
  <si>
    <t>NAICS 621</t>
  </si>
  <si>
    <t>NAICS 531</t>
  </si>
  <si>
    <t>Off-Peak</t>
  </si>
  <si>
    <t>Part-Peak</t>
  </si>
  <si>
    <t>Peak</t>
  </si>
  <si>
    <t>kWh</t>
  </si>
  <si>
    <t>NAICS</t>
  </si>
  <si>
    <t xml:space="preserve">Essential Use - </t>
  </si>
  <si>
    <t>AB 1054 Securitization - FO 3</t>
  </si>
  <si>
    <t>Super Off-Peak Winter</t>
  </si>
  <si>
    <t>Super Off-Peak</t>
  </si>
  <si>
    <t>Customers (Single-phase)</t>
  </si>
  <si>
    <t>B-1 Sales</t>
  </si>
  <si>
    <t>B-1</t>
  </si>
  <si>
    <t>Schedule B-1</t>
  </si>
  <si>
    <t>SCHEDULE B-1 ($/kWh)</t>
  </si>
  <si>
    <t>Part Peak</t>
  </si>
  <si>
    <t>Off Peak</t>
  </si>
  <si>
    <t>Super Off Peak</t>
  </si>
  <si>
    <t>Super Off</t>
  </si>
  <si>
    <t>Single-Phase</t>
  </si>
  <si>
    <t>B-1 Allocator</t>
  </si>
  <si>
    <t>2023 WMCE</t>
  </si>
  <si>
    <t>2024-2026</t>
  </si>
  <si>
    <t>A.23-12-001</t>
  </si>
  <si>
    <t>ERRA Forecast</t>
  </si>
  <si>
    <t>Competition Transition Charge</t>
  </si>
  <si>
    <t>Risk Transfer Balancing Account</t>
  </si>
  <si>
    <t>Residential Uncollectibles Balancing Account</t>
  </si>
  <si>
    <t xml:space="preserve">AL 7066-E </t>
  </si>
  <si>
    <t>D.20-12-005, AL 7066-E</t>
  </si>
  <si>
    <t>2023 General Rate Case Track 2</t>
  </si>
  <si>
    <t>D.23-11-069</t>
  </si>
  <si>
    <t>2023 General Rate Case Late Implementation</t>
  </si>
  <si>
    <t>Wildfire Fund Charge</t>
  </si>
  <si>
    <t>B-1 CARE Surcharge</t>
  </si>
  <si>
    <t>B-6/A-15</t>
  </si>
  <si>
    <t>Total Revenues</t>
  </si>
  <si>
    <t>Small Commercial (B-1)</t>
  </si>
  <si>
    <t>Small Commercial Monthly Average Bills</t>
  </si>
  <si>
    <t>% Change over 01/1/2023</t>
  </si>
  <si>
    <t>% Change over 09/1/2023</t>
  </si>
  <si>
    <t>Small Commercial Monthly Average Bills - Summer</t>
  </si>
  <si>
    <t>Small Commercial Monthly Average Bills - Winter</t>
  </si>
  <si>
    <t>Total B-1</t>
  </si>
  <si>
    <t>D.21-12-006, D.23-11-090</t>
  </si>
  <si>
    <t>AL 6505-E / AL 7066-E</t>
  </si>
  <si>
    <t>Bundled small commercial average rate (B-1) if all pending revenue were granted in full (from Cost and Rate Tracker (CRT) as submitted by utility):</t>
  </si>
  <si>
    <t>Bundled small commercial average monthly bill corresponding to B-1 rate above for typical customer by NAICS (from CRT as submitted by utility):</t>
  </si>
  <si>
    <t>January 1, 2024</t>
  </si>
  <si>
    <t>7116-E</t>
  </si>
  <si>
    <t>March 1, 2024</t>
  </si>
  <si>
    <t>2023 GRC Late Implementation</t>
  </si>
  <si>
    <t>Res. M-4870</t>
  </si>
  <si>
    <t>ESA Unspent Funds</t>
  </si>
  <si>
    <t>D.23-06-055/ AL 7047-E</t>
  </si>
  <si>
    <t>D.19-12-021, AL 4674-G/6747-E /AL RI-CalMTA-2</t>
  </si>
  <si>
    <t>ERRA Trigger Adjustment</t>
  </si>
  <si>
    <t>CSIBA*</t>
  </si>
  <si>
    <t>AL 7028-E</t>
  </si>
  <si>
    <t>PIPP*</t>
  </si>
  <si>
    <t>2023 GRC Track II</t>
  </si>
  <si>
    <t>2024 Authorized Revenue Requirement ($000)</t>
  </si>
  <si>
    <t>D.24-02-011, D.21-05-015</t>
  </si>
  <si>
    <t>D.23-12-005</t>
  </si>
  <si>
    <t>D.23-12-022</t>
  </si>
  <si>
    <t>AL 4813-G/7046-E</t>
  </si>
  <si>
    <t>AL 4568-G-B/6492-E-B</t>
  </si>
  <si>
    <t>D.23-01-005 , D.23-11-069</t>
  </si>
  <si>
    <t>AL 7056-E/ D.23-09-004</t>
  </si>
  <si>
    <t>D.23-11-090</t>
  </si>
  <si>
    <t>D.21-06-030, AL 6390-E</t>
  </si>
  <si>
    <t>D.22-08-004, AL 6769-E</t>
  </si>
  <si>
    <t>January 1, 2024 Rate Change (AL 7116-E) trued up the balancing accounts in the AET and implemented various authorized RRQs.</t>
  </si>
  <si>
    <t>Electric Preliminary Statement Part IJ</t>
  </si>
  <si>
    <t>Electric Preliminary Statement Part HM</t>
  </si>
  <si>
    <t>Electric Preliminary Statement Part JM</t>
  </si>
  <si>
    <t>Electric Preliminary Statement Part IM</t>
  </si>
  <si>
    <t>n/a</t>
  </si>
  <si>
    <t>D.18-05-040, D.19-11-017, D.19-09-006, D.20-12-029, D.22-08-024</t>
  </si>
  <si>
    <t>Electric Preliminary Statement Part HH</t>
  </si>
  <si>
    <t>Electric Preliminary Statement Part P</t>
  </si>
  <si>
    <t>ER24-599-000</t>
  </si>
  <si>
    <t>ER24-96-000</t>
  </si>
  <si>
    <t>ER23-2968-000</t>
  </si>
  <si>
    <t>D.21-06-030, AL 7106-E</t>
  </si>
  <si>
    <t>D.22-08-004, AL 7126-E</t>
  </si>
  <si>
    <t>D.21-12-021, AL 6747-E</t>
  </si>
  <si>
    <t>2024 Proposed Revenue Requirement ($000)</t>
  </si>
  <si>
    <t>Annual Period 2024</t>
  </si>
  <si>
    <t>CEEIA*</t>
  </si>
  <si>
    <t>7191-E</t>
  </si>
  <si>
    <t>March 1, 2024 Rate Change (AL 7191-E) implemented the TACBAA, Securitzation True-ups, TO21 correction Cost of Capital Adjustment Mechanism.</t>
  </si>
  <si>
    <t>Residential Uncollectibles Balancing Account (RUBA)</t>
  </si>
  <si>
    <t>2024 Forecast: Adopted in D.23-12-022</t>
  </si>
  <si>
    <t>Customer</t>
  </si>
  <si>
    <t>2023 Recorded Data</t>
  </si>
  <si>
    <t>2024 RF&amp;U</t>
  </si>
  <si>
    <t>AL 7151-E</t>
  </si>
  <si>
    <t>FERC TO21 TY24 Refund</t>
  </si>
  <si>
    <t>2023 Recorded Average Monthly Usage (kWh) - Bundled/Basic/non-medical/non-FERA</t>
  </si>
  <si>
    <t>2023 Recorded Average Monthly Usage (kWh) - Bundled/All Electric/non-medical/non-FERA</t>
  </si>
  <si>
    <t>YE 2027</t>
  </si>
  <si>
    <t>E-1</t>
  </si>
  <si>
    <t>E-TOU-C</t>
  </si>
  <si>
    <t>EL-1</t>
  </si>
  <si>
    <t>EL-TOU-C</t>
  </si>
  <si>
    <t xml:space="preserve"> </t>
  </si>
  <si>
    <t>GRC Capacity Phase</t>
  </si>
  <si>
    <t>Gas AMI</t>
  </si>
  <si>
    <t>A.24-03-011</t>
  </si>
  <si>
    <t xml:space="preserve">Distribution </t>
  </si>
  <si>
    <t>Application, WP 5-1 include RF&amp;U</t>
  </si>
  <si>
    <t>April 1, 2024</t>
  </si>
  <si>
    <t>7227-E</t>
  </si>
  <si>
    <t>Wildfire Gas Safety Costs IRR</t>
  </si>
  <si>
    <t>AL 4880- G/7216-E</t>
  </si>
  <si>
    <t>2025-2026</t>
  </si>
  <si>
    <t>D.24-03-006</t>
  </si>
  <si>
    <t>Application, Table 12-5</t>
  </si>
  <si>
    <t>2023 Cost of Capital Phase 2</t>
  </si>
  <si>
    <t>A.22-04-008</t>
  </si>
  <si>
    <t>A.24-03-018</t>
  </si>
  <si>
    <t>2025 ERRA Forecast</t>
  </si>
  <si>
    <t>Application, Table 19-1</t>
  </si>
  <si>
    <t>A.24-05-009</t>
  </si>
  <si>
    <t xml:space="preserve">Phase 1 Chapter 4 </t>
  </si>
  <si>
    <t>Application, Table 19-1 NSGC</t>
  </si>
  <si>
    <t xml:space="preserve">Application, Table 19-1 VAMOMA </t>
  </si>
  <si>
    <t>Distribition</t>
  </si>
  <si>
    <t>Application, Table 19-1 CTC</t>
  </si>
  <si>
    <t>Application, Table 19-1 ERRA</t>
  </si>
  <si>
    <t>Application, Table 19-1 PPCP</t>
  </si>
  <si>
    <t>Application, Table 19-1 TMNBC</t>
  </si>
  <si>
    <t xml:space="preserve">Application, Table 19-1 BioMat </t>
  </si>
  <si>
    <t>A.23-06-008</t>
  </si>
  <si>
    <t>Application, Table 1 &amp; IRR PD for TY 2024</t>
  </si>
  <si>
    <t>Application, Table 1</t>
  </si>
  <si>
    <t>Application, Table 18-1</t>
  </si>
  <si>
    <t>PG&amp;E Prepared Testimony, Page 14-2.</t>
  </si>
  <si>
    <t>Application, Page 15</t>
  </si>
  <si>
    <t>2026 Forecast: Set equal to the 2025</t>
  </si>
  <si>
    <t>2027 Forecast: Set equal to the 2025</t>
  </si>
  <si>
    <t>DCPP Extended Operations 2025 Forecast</t>
  </si>
  <si>
    <t>2025 Forecast: Proposed in A.24-05-009</t>
  </si>
  <si>
    <t>July 1, 2024</t>
  </si>
  <si>
    <t>Vegetation Management Securitization</t>
  </si>
  <si>
    <t>A.24-06-013</t>
  </si>
  <si>
    <t>D.24-07-008</t>
  </si>
  <si>
    <t>D.24-08-009</t>
  </si>
  <si>
    <t>Chapter 4, Attachment D</t>
  </si>
  <si>
    <t>7307-E</t>
  </si>
  <si>
    <t>Include CA Climate Credit in Rates</t>
  </si>
  <si>
    <t>Typical residential average usage kWh/month</t>
  </si>
  <si>
    <t>1/1/24 Bundled
w/Credit</t>
  </si>
  <si>
    <t>1/1/24 Bundled
w/out Credit</t>
  </si>
  <si>
    <t>1/1/24 System
w/Credit</t>
  </si>
  <si>
    <t>1/1/24 System
w/out Credit</t>
  </si>
  <si>
    <t>w/ Credit</t>
  </si>
  <si>
    <t>w/out Credit</t>
  </si>
  <si>
    <t>Res GHG</t>
  </si>
  <si>
    <t>Res GHG System</t>
  </si>
  <si>
    <t>July 1, 2024 Rate Change (7307-E) implemented the End 2022 WMCE IRR, End 2023 ERRA Trigger Adjustment, 2024 Pension Advice Letter, TO21 Refund through ECRBA</t>
  </si>
  <si>
    <t>April 1,2024 Rate Change (7227-E) EE True-up AL, Energy Efficient Market Transformation RRQ, Wildfire &amp; Gas Safety Costs</t>
  </si>
  <si>
    <t>NAICS  722</t>
  </si>
  <si>
    <t>Reporting Date: September 1, 2024</t>
  </si>
  <si>
    <t>September 1, 2024</t>
  </si>
  <si>
    <r>
      <t>7366-E</t>
    </r>
    <r>
      <rPr>
        <sz val="12"/>
        <color rgb="FF000000"/>
        <rFont val="Arial"/>
        <family val="2"/>
      </rPr>
      <t> </t>
    </r>
  </si>
  <si>
    <t xml:space="preserve">September 1, 2024 Rate Change (7366-E) Implemented AB 1054 FO3, Adjusted Rate Neutral Recovery Bond Charge and Recovery Bond Credit, Correction to  AG-5B Generation Rates </t>
  </si>
  <si>
    <t>2. The forecast assumes perfect ratemaking, and does not include balancing account balances beyond the current year.</t>
  </si>
  <si>
    <t>B-1 GHG</t>
  </si>
  <si>
    <t>B-1 GHG System</t>
  </si>
  <si>
    <t>OGO PFM</t>
  </si>
  <si>
    <t>3. Different rate components use simplified allocations that may not reflect actual revenue allocation and rate design.</t>
  </si>
  <si>
    <t>1. The Quarterly Tracker performs high-level rate and bill calculation estimates, which will not produce rate or bill impacts that match PG&amp;E’s filing-quality models.</t>
  </si>
  <si>
    <t>Proposed Decision on Interim Rate Relief</t>
  </si>
  <si>
    <t>9/1/24 Bundled
w/Credit</t>
  </si>
  <si>
    <t>9/1/24 Bundled
w/out Credit</t>
  </si>
  <si>
    <t>9/1/24 System
w/Credit</t>
  </si>
  <si>
    <t>9/1/24 System
w/out Credit</t>
  </si>
  <si>
    <t>F</t>
  </si>
  <si>
    <t>Notable Cost and Rate Tracking Tool Assumptions</t>
  </si>
  <si>
    <t xml:space="preserve">4. Generation forecast for years 2026 and 2027 reflect 2024 adopted amounts and is not intended to reperesent an actual anticipated procurement outcome.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</si>
</sst>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.0%"/>
    <numFmt numFmtId="166" formatCode="0.00000"/>
    <numFmt numFmtId="167" formatCode="#.00"/>
    <numFmt numFmtId="168" formatCode="#,##0."/>
    <numFmt numFmtId="169" formatCode="&quot;$&quot;#."/>
    <numFmt numFmtId="170" formatCode="0.00_)"/>
    <numFmt numFmtId="171" formatCode="#,##0.00&quot; $&quot;;\-#,##0.00&quot; $&quot;"/>
    <numFmt numFmtId="172" formatCode="m\-d\-yy"/>
    <numFmt numFmtId="173" formatCode="_(* #,##0_);_(* \(#,##0\);_(* &quot;-&quot;??_);_(@_)"/>
    <numFmt numFmtId="174" formatCode="#,##0.0"/>
    <numFmt numFmtId="175" formatCode="_(&quot;$&quot;* #,##0_);_(&quot;$&quot;* \(#,##0\);_(&quot;$&quot;* &quot;-&quot;??_);_(@_)"/>
    <numFmt numFmtId="176" formatCode="#,##0.00000_);[Red]\(#,##0.00000\)"/>
    <numFmt numFmtId="177" formatCode="0.0"/>
    <numFmt numFmtId="178" formatCode="_(* #,##0.000000_);_(* \(#,##0.000000\);_(* &quot;-&quot;??_);_(@_)"/>
    <numFmt numFmtId="179" formatCode="0.0000000000"/>
    <numFmt numFmtId="180" formatCode="_-* #,##0.0_-;\-* #,##0.0_-;_-* &quot;-&quot;??_-;_-@_-"/>
    <numFmt numFmtId="181" formatCode="0.0000"/>
    <numFmt numFmtId="182" formatCode="0.000000"/>
    <numFmt numFmtId="183" formatCode="&quot;$&quot;#,##0.00"/>
    <numFmt numFmtId="184" formatCode="0.000%"/>
    <numFmt numFmtId="185" formatCode="0.000"/>
  </numFmts>
  <fonts count="5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sz val="8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  <family val="2"/>
    </font>
    <font>
      <sz val="8"/>
      <color indexed="12"/>
      <name val="Arial"/>
      <family val="2"/>
    </font>
    <font>
      <sz val="12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sz val="12"/>
      <name val="Garamond"/>
      <family val="1"/>
    </font>
    <font>
      <sz val="10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u/>
      <sz val="10"/>
      <name val="Garamond"/>
      <family val="1"/>
    </font>
    <font>
      <b/>
      <sz val="10"/>
      <name val="Garamond"/>
      <family val="1"/>
    </font>
    <font>
      <sz val="10"/>
      <color indexed="10"/>
      <name val="Garamond"/>
      <family val="1"/>
    </font>
    <font>
      <b/>
      <sz val="11"/>
      <color rgb="FFFF0000"/>
      <name val="Garamond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333FF"/>
      <name val="Calibri"/>
      <family val="2"/>
      <scheme val="minor"/>
    </font>
    <font>
      <sz val="11"/>
      <color rgb="FF3333FF"/>
      <name val="Garamond"/>
      <family val="1"/>
    </font>
    <font>
      <b/>
      <sz val="11"/>
      <color rgb="FF3333FF"/>
      <name val="Garamond"/>
      <family val="1"/>
    </font>
    <font>
      <sz val="12"/>
      <color rgb="FFFF0000"/>
      <name val="Garamond"/>
      <family val="1"/>
    </font>
    <font>
      <b/>
      <sz val="12"/>
      <color rgb="FFFF0000"/>
      <name val="Garamond"/>
      <family val="1"/>
    </font>
    <font>
      <b/>
      <sz val="12"/>
      <color rgb="FF3333FF"/>
      <name val="Garamond"/>
      <family val="1"/>
    </font>
    <font>
      <sz val="12"/>
      <color theme="1"/>
      <name val="Garamond"/>
      <family val="1"/>
    </font>
    <font>
      <b/>
      <u/>
      <sz val="12"/>
      <name val="Garamond"/>
      <family val="1"/>
    </font>
    <font>
      <sz val="10"/>
      <name val="Geneva"/>
      <family val="2"/>
    </font>
    <font>
      <sz val="11"/>
      <name val="??"/>
      <family val="3"/>
      <charset val="129"/>
    </font>
    <font>
      <sz val="10"/>
      <color rgb="FFFF0000"/>
      <name val="Garamond"/>
      <family val="1"/>
    </font>
    <font>
      <sz val="11"/>
      <color rgb="FF0070C0"/>
      <name val="Calibri"/>
      <family val="2"/>
    </font>
    <font>
      <sz val="11"/>
      <color rgb="FFFF0000"/>
      <name val="Calibri"/>
      <family val="2"/>
      <scheme val="minor"/>
    </font>
    <font>
      <u/>
      <sz val="8"/>
      <name val="Calibri"/>
      <family val="2"/>
      <scheme val="minor"/>
    </font>
    <font>
      <sz val="11"/>
      <color rgb="FF000000"/>
      <name val="Calibri"/>
      <family val="2"/>
    </font>
    <font>
      <sz val="9"/>
      <name val="Arial"/>
      <family val="2"/>
    </font>
    <font>
      <sz val="12"/>
      <color theme="1"/>
      <name val="Century Schoolbook"/>
      <family val="1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1"/>
      <color rgb="FF242424"/>
      <name val="Calibri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8" tint="0.39997558519241921"/>
        <bgColor indexed="64"/>
      </patternFill>
    </fill>
  </fills>
  <borders count="46">
    <border>
      <left/>
      <right/>
      <top/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rgb="FFABABAB"/>
      </left>
      <right style="medium">
        <color rgb="FFABABAB"/>
      </right>
      <top/>
      <bottom style="medium">
        <color rgb="FFABABAB"/>
      </bottom>
      <diagonal/>
    </border>
    <border>
      <left/>
      <right style="medium">
        <color rgb="FFABABAB"/>
      </right>
      <top/>
      <bottom style="medium">
        <color rgb="FFABABAB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69">
    <xf numFmtId="0" fontId="0" fillId="0" borderId="0"/>
    <xf numFmtId="9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4" fillId="0" borderId="0"/>
    <xf numFmtId="172" fontId="5" fillId="2" borderId="1">
      <alignment horizontal="center" vertical="center"/>
    </xf>
    <xf numFmtId="43" fontId="4" fillId="0" borderId="0" applyFont="0" applyFill="0" applyBorder="0" applyAlignment="0" applyProtection="0"/>
    <xf numFmtId="168" fontId="7" fillId="0" borderId="0">
      <protection locked="0"/>
    </xf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9" fontId="7" fillId="0" borderId="0">
      <protection locked="0"/>
    </xf>
    <xf numFmtId="0" fontId="7" fillId="0" borderId="0">
      <protection locked="0"/>
    </xf>
    <xf numFmtId="167" fontId="7" fillId="0" borderId="0">
      <protection locked="0"/>
    </xf>
    <xf numFmtId="0" fontId="8" fillId="3" borderId="0" applyNumberFormat="0" applyBorder="0" applyAlignment="0" applyProtection="0"/>
    <xf numFmtId="0" fontId="9" fillId="0" borderId="0" applyNumberFormat="0" applyFill="0" applyBorder="0" applyAlignment="0" applyProtection="0"/>
    <xf numFmtId="0" fontId="7" fillId="0" borderId="0">
      <protection locked="0"/>
    </xf>
    <xf numFmtId="0" fontId="7" fillId="0" borderId="0">
      <protection locked="0"/>
    </xf>
    <xf numFmtId="171" fontId="4" fillId="0" borderId="0">
      <protection locked="0"/>
    </xf>
    <xf numFmtId="171" fontId="4" fillId="0" borderId="0">
      <protection locked="0"/>
    </xf>
    <xf numFmtId="0" fontId="10" fillId="0" borderId="2" applyNumberFormat="0" applyFill="0" applyAlignment="0" applyProtection="0"/>
    <xf numFmtId="0" fontId="8" fillId="4" borderId="3" applyNumberFormat="0" applyBorder="0" applyAlignment="0" applyProtection="0"/>
    <xf numFmtId="37" fontId="11" fillId="0" borderId="0"/>
    <xf numFmtId="170" fontId="12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4">
      <protection locked="0"/>
    </xf>
    <xf numFmtId="0" fontId="8" fillId="5" borderId="0" applyNumberFormat="0" applyBorder="0" applyAlignment="0" applyProtection="0"/>
    <xf numFmtId="37" fontId="8" fillId="0" borderId="0"/>
    <xf numFmtId="0" fontId="8" fillId="5" borderId="0" applyNumberFormat="0" applyBorder="0" applyAlignment="0" applyProtection="0"/>
    <xf numFmtId="3" fontId="13" fillId="0" borderId="2" applyProtection="0"/>
    <xf numFmtId="0" fontId="4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50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179" fontId="35" fillId="2" borderId="1">
      <alignment horizontal="center" vertical="center"/>
    </xf>
    <xf numFmtId="6" fontId="36" fillId="0" borderId="0">
      <protection locked="0"/>
    </xf>
    <xf numFmtId="180" fontId="4" fillId="0" borderId="0">
      <protection locked="0"/>
    </xf>
    <xf numFmtId="0" fontId="4" fillId="0" borderId="0"/>
    <xf numFmtId="0" fontId="4" fillId="0" borderId="0"/>
    <xf numFmtId="9" fontId="1" fillId="0" borderId="0" applyFont="0" applyFill="0" applyBorder="0" applyAlignment="0" applyProtection="0"/>
    <xf numFmtId="44" fontId="50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" fillId="3" borderId="0" applyNumberFormat="0" applyBorder="0" applyAlignment="0" applyProtection="0"/>
    <xf numFmtId="0" fontId="8" fillId="4" borderId="3" applyNumberFormat="0" applyBorder="0" applyAlignment="0" applyProtection="0"/>
    <xf numFmtId="170" fontId="12" fillId="0" borderId="0"/>
    <xf numFmtId="0" fontId="8" fillId="5" borderId="0" applyNumberFormat="0" applyBorder="0" applyAlignment="0" applyProtection="0"/>
    <xf numFmtId="0" fontId="4" fillId="0" borderId="0"/>
    <xf numFmtId="179" fontId="35" fillId="2" borderId="1">
      <alignment horizontal="center" vertical="center"/>
    </xf>
    <xf numFmtId="0" fontId="4" fillId="0" borderId="0"/>
    <xf numFmtId="0" fontId="42" fillId="0" borderId="0"/>
    <xf numFmtId="0" fontId="50" fillId="0" borderId="0"/>
    <xf numFmtId="0" fontId="46" fillId="0" borderId="0" applyNumberFormat="0" applyFill="0" applyBorder="0" applyAlignment="0" applyProtection="0"/>
    <xf numFmtId="0" fontId="50" fillId="0" borderId="0"/>
    <xf numFmtId="0" fontId="45" fillId="0" borderId="0"/>
    <xf numFmtId="43" fontId="4" fillId="0" borderId="0" applyFont="0" applyFill="0" applyBorder="0" applyAlignment="0" applyProtection="0"/>
  </cellStyleXfs>
  <cellXfs count="468">
    <xf numFmtId="0" fontId="0" fillId="0" borderId="0" xfId="0"/>
    <xf numFmtId="0" fontId="20" fillId="0" borderId="38" xfId="0" applyFont="1" applyBorder="1" applyAlignment="1">
      <alignment horizontal="center"/>
    </xf>
    <xf numFmtId="0" fontId="20" fillId="0" borderId="40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16" fillId="0" borderId="23" xfId="4" applyFont="1" applyBorder="1" applyAlignment="1">
      <alignment horizontal="right"/>
    </xf>
    <xf numFmtId="0" fontId="16" fillId="0" borderId="25" xfId="4" applyFont="1" applyBorder="1" applyAlignment="1">
      <alignment horizontal="right"/>
    </xf>
    <xf numFmtId="0" fontId="16" fillId="0" borderId="20" xfId="4" applyFont="1" applyBorder="1" applyAlignment="1">
      <alignment horizontal="right"/>
    </xf>
    <xf numFmtId="0" fontId="16" fillId="0" borderId="24" xfId="4" applyFont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wrapText="1"/>
    </xf>
    <xf numFmtId="0" fontId="0" fillId="0" borderId="36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15" fillId="0" borderId="0" xfId="4" applyFont="1" applyAlignment="1">
      <alignment horizontal="right"/>
    </xf>
    <xf numFmtId="173" fontId="16" fillId="0" borderId="0" xfId="6" applyNumberFormat="1" applyFont="1" applyFill="1" applyBorder="1" applyAlignment="1">
      <alignment horizontal="center"/>
    </xf>
    <xf numFmtId="0" fontId="16" fillId="0" borderId="0" xfId="4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 wrapText="1"/>
    </xf>
    <xf numFmtId="43" fontId="14" fillId="0" borderId="0" xfId="0" applyNumberFormat="1" applyFont="1"/>
    <xf numFmtId="0" fontId="14" fillId="0" borderId="0" xfId="0" applyFont="1" applyAlignment="1">
      <alignment horizontal="right"/>
    </xf>
    <xf numFmtId="3" fontId="14" fillId="0" borderId="0" xfId="0" applyNumberFormat="1" applyFont="1" applyAlignment="1">
      <alignment horizontal="center"/>
    </xf>
    <xf numFmtId="38" fontId="14" fillId="0" borderId="0" xfId="0" applyNumberFormat="1" applyFont="1" applyAlignment="1">
      <alignment horizontal="center"/>
    </xf>
    <xf numFmtId="10" fontId="14" fillId="0" borderId="0" xfId="28" applyNumberFormat="1" applyFont="1" applyAlignment="1">
      <alignment horizontal="center"/>
    </xf>
    <xf numFmtId="176" fontId="16" fillId="0" borderId="0" xfId="37" applyNumberFormat="1" applyFont="1" applyAlignment="1" applyProtection="1">
      <alignment horizontal="left"/>
      <protection locked="0"/>
    </xf>
    <xf numFmtId="176" fontId="15" fillId="0" borderId="0" xfId="38" applyNumberFormat="1" applyFont="1" applyAlignment="1">
      <alignment horizontal="right"/>
    </xf>
    <xf numFmtId="166" fontId="14" fillId="0" borderId="0" xfId="0" applyNumberFormat="1" applyFont="1"/>
    <xf numFmtId="177" fontId="14" fillId="0" borderId="0" xfId="0" applyNumberFormat="1" applyFont="1"/>
    <xf numFmtId="177" fontId="14" fillId="0" borderId="0" xfId="0" applyNumberFormat="1" applyFont="1" applyAlignment="1">
      <alignment horizontal="center"/>
    </xf>
    <xf numFmtId="176" fontId="16" fillId="0" borderId="0" xfId="38" quotePrefix="1" applyNumberFormat="1" applyFont="1" applyAlignment="1">
      <alignment horizontal="right"/>
    </xf>
    <xf numFmtId="166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 wrapText="1"/>
    </xf>
    <xf numFmtId="166" fontId="14" fillId="0" borderId="0" xfId="0" applyNumberFormat="1" applyFont="1" applyAlignment="1">
      <alignment horizontal="right"/>
    </xf>
    <xf numFmtId="43" fontId="14" fillId="0" borderId="0" xfId="6" applyFont="1" applyFill="1"/>
    <xf numFmtId="166" fontId="14" fillId="6" borderId="0" xfId="0" applyNumberFormat="1" applyFont="1" applyFill="1"/>
    <xf numFmtId="0" fontId="18" fillId="0" borderId="0" xfId="4" applyFont="1"/>
    <xf numFmtId="177" fontId="19" fillId="0" borderId="0" xfId="0" applyNumberFormat="1" applyFont="1"/>
    <xf numFmtId="3" fontId="19" fillId="0" borderId="0" xfId="0" applyNumberFormat="1" applyFont="1"/>
    <xf numFmtId="0" fontId="18" fillId="0" borderId="0" xfId="23" applyFont="1"/>
    <xf numFmtId="0" fontId="21" fillId="0" borderId="0" xfId="23" applyFont="1"/>
    <xf numFmtId="17" fontId="22" fillId="0" borderId="0" xfId="23" applyNumberFormat="1" applyFont="1" applyAlignment="1">
      <alignment horizontal="center" wrapText="1"/>
    </xf>
    <xf numFmtId="0" fontId="18" fillId="0" borderId="5" xfId="23" applyFont="1" applyBorder="1" applyAlignment="1">
      <alignment horizontal="right"/>
    </xf>
    <xf numFmtId="0" fontId="19" fillId="0" borderId="5" xfId="0" applyFont="1" applyBorder="1"/>
    <xf numFmtId="0" fontId="18" fillId="0" borderId="0" xfId="23" applyFont="1" applyAlignment="1">
      <alignment horizontal="right"/>
    </xf>
    <xf numFmtId="166" fontId="19" fillId="0" borderId="0" xfId="9" applyNumberFormat="1" applyFont="1"/>
    <xf numFmtId="44" fontId="19" fillId="0" borderId="0" xfId="9" applyFont="1" applyBorder="1"/>
    <xf numFmtId="165" fontId="19" fillId="0" borderId="0" xfId="27" applyNumberFormat="1" applyFont="1" applyBorder="1"/>
    <xf numFmtId="0" fontId="19" fillId="0" borderId="0" xfId="0" applyFont="1" applyAlignment="1">
      <alignment horizontal="left" vertical="top"/>
    </xf>
    <xf numFmtId="0" fontId="19" fillId="0" borderId="3" xfId="0" applyFont="1" applyBorder="1" applyAlignment="1">
      <alignment wrapText="1"/>
    </xf>
    <xf numFmtId="0" fontId="24" fillId="0" borderId="0" xfId="0" applyFont="1"/>
    <xf numFmtId="175" fontId="14" fillId="0" borderId="0" xfId="2" applyNumberFormat="1" applyFont="1"/>
    <xf numFmtId="5" fontId="0" fillId="0" borderId="0" xfId="0" applyNumberFormat="1"/>
    <xf numFmtId="0" fontId="25" fillId="0" borderId="0" xfId="0" applyFont="1"/>
    <xf numFmtId="37" fontId="0" fillId="0" borderId="0" xfId="0" applyNumberFormat="1"/>
    <xf numFmtId="14" fontId="16" fillId="0" borderId="3" xfId="4" quotePrefix="1" applyNumberFormat="1" applyFont="1" applyBorder="1" applyAlignment="1">
      <alignment horizontal="center" wrapText="1"/>
    </xf>
    <xf numFmtId="0" fontId="15" fillId="0" borderId="0" xfId="4" applyFont="1"/>
    <xf numFmtId="0" fontId="16" fillId="0" borderId="0" xfId="4" applyFont="1"/>
    <xf numFmtId="0" fontId="16" fillId="0" borderId="3" xfId="4" applyFont="1" applyBorder="1" applyAlignment="1">
      <alignment horizontal="center" wrapText="1"/>
    </xf>
    <xf numFmtId="15" fontId="16" fillId="0" borderId="0" xfId="4" applyNumberFormat="1" applyFont="1"/>
    <xf numFmtId="0" fontId="16" fillId="0" borderId="0" xfId="0" applyFont="1"/>
    <xf numFmtId="0" fontId="19" fillId="0" borderId="0" xfId="0" applyFont="1"/>
    <xf numFmtId="0" fontId="19" fillId="0" borderId="3" xfId="0" applyFont="1" applyBorder="1"/>
    <xf numFmtId="0" fontId="19" fillId="0" borderId="0" xfId="0" applyFont="1" applyAlignment="1">
      <alignment horizontal="right"/>
    </xf>
    <xf numFmtId="0" fontId="16" fillId="7" borderId="3" xfId="4" applyFont="1" applyFill="1" applyBorder="1" applyAlignment="1">
      <alignment horizontal="center"/>
    </xf>
    <xf numFmtId="0" fontId="16" fillId="0" borderId="6" xfId="4" applyFont="1" applyBorder="1"/>
    <xf numFmtId="165" fontId="16" fillId="0" borderId="7" xfId="28" applyNumberFormat="1" applyFont="1" applyFill="1" applyBorder="1" applyAlignment="1">
      <alignment horizontal="center"/>
    </xf>
    <xf numFmtId="165" fontId="16" fillId="0" borderId="8" xfId="28" applyNumberFormat="1" applyFont="1" applyFill="1" applyBorder="1" applyAlignment="1">
      <alignment horizontal="center"/>
    </xf>
    <xf numFmtId="165" fontId="16" fillId="0" borderId="9" xfId="28" applyNumberFormat="1" applyFont="1" applyFill="1" applyBorder="1" applyAlignment="1">
      <alignment horizontal="center"/>
    </xf>
    <xf numFmtId="165" fontId="16" fillId="0" borderId="10" xfId="28" applyNumberFormat="1" applyFont="1" applyFill="1" applyBorder="1" applyAlignment="1">
      <alignment horizontal="center"/>
    </xf>
    <xf numFmtId="0" fontId="16" fillId="0" borderId="11" xfId="4" applyFont="1" applyBorder="1" applyAlignment="1">
      <alignment horizontal="center"/>
    </xf>
    <xf numFmtId="0" fontId="16" fillId="0" borderId="12" xfId="4" applyFont="1" applyBorder="1" applyAlignment="1">
      <alignment horizontal="center"/>
    </xf>
    <xf numFmtId="44" fontId="16" fillId="0" borderId="7" xfId="4" applyNumberFormat="1" applyFont="1" applyBorder="1" applyAlignment="1">
      <alignment horizontal="center"/>
    </xf>
    <xf numFmtId="165" fontId="16" fillId="0" borderId="7" xfId="25" applyNumberFormat="1" applyFont="1" applyFill="1" applyBorder="1" applyAlignment="1">
      <alignment horizontal="center"/>
    </xf>
    <xf numFmtId="165" fontId="16" fillId="0" borderId="8" xfId="25" applyNumberFormat="1" applyFont="1" applyFill="1" applyBorder="1" applyAlignment="1">
      <alignment horizontal="center"/>
    </xf>
    <xf numFmtId="44" fontId="16" fillId="0" borderId="9" xfId="4" applyNumberFormat="1" applyFont="1" applyBorder="1" applyAlignment="1">
      <alignment horizontal="center"/>
    </xf>
    <xf numFmtId="165" fontId="16" fillId="0" borderId="9" xfId="25" applyNumberFormat="1" applyFont="1" applyFill="1" applyBorder="1" applyAlignment="1">
      <alignment horizontal="center"/>
    </xf>
    <xf numFmtId="165" fontId="16" fillId="0" borderId="10" xfId="25" applyNumberFormat="1" applyFont="1" applyFill="1" applyBorder="1" applyAlignment="1">
      <alignment horizontal="center"/>
    </xf>
    <xf numFmtId="0" fontId="16" fillId="0" borderId="0" xfId="4" applyFont="1" applyAlignment="1">
      <alignment horizontal="right"/>
    </xf>
    <xf numFmtId="0" fontId="16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9" fontId="19" fillId="0" borderId="0" xfId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4" fillId="0" borderId="0" xfId="0" applyFont="1" applyAlignment="1">
      <alignment horizontal="center"/>
    </xf>
    <xf numFmtId="0" fontId="15" fillId="0" borderId="5" xfId="4" applyFont="1" applyBorder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165" fontId="16" fillId="0" borderId="13" xfId="28" applyNumberFormat="1" applyFont="1" applyFill="1" applyBorder="1" applyAlignment="1">
      <alignment horizontal="center"/>
    </xf>
    <xf numFmtId="165" fontId="16" fillId="0" borderId="14" xfId="28" applyNumberFormat="1" applyFont="1" applyFill="1" applyBorder="1" applyAlignment="1">
      <alignment horizontal="center"/>
    </xf>
    <xf numFmtId="165" fontId="16" fillId="0" borderId="15" xfId="25" applyNumberFormat="1" applyFont="1" applyFill="1" applyBorder="1" applyAlignment="1">
      <alignment horizontal="center"/>
    </xf>
    <xf numFmtId="165" fontId="16" fillId="0" borderId="13" xfId="25" applyNumberFormat="1" applyFont="1" applyFill="1" applyBorder="1" applyAlignment="1">
      <alignment horizontal="center"/>
    </xf>
    <xf numFmtId="165" fontId="16" fillId="0" borderId="14" xfId="25" applyNumberFormat="1" applyFont="1" applyFill="1" applyBorder="1" applyAlignment="1">
      <alignment horizontal="center"/>
    </xf>
    <xf numFmtId="0" fontId="19" fillId="0" borderId="0" xfId="0" applyFont="1" applyAlignment="1">
      <alignment horizontal="center" wrapText="1"/>
    </xf>
    <xf numFmtId="177" fontId="30" fillId="0" borderId="0" xfId="0" applyNumberFormat="1" applyFont="1"/>
    <xf numFmtId="176" fontId="16" fillId="0" borderId="0" xfId="37" applyNumberFormat="1" applyFont="1" applyAlignment="1" applyProtection="1">
      <alignment horizontal="right"/>
      <protection locked="0"/>
    </xf>
    <xf numFmtId="0" fontId="19" fillId="0" borderId="3" xfId="0" applyFont="1" applyBorder="1" applyAlignment="1">
      <alignment horizontal="center" vertical="top" wrapText="1"/>
    </xf>
    <xf numFmtId="14" fontId="22" fillId="0" borderId="5" xfId="23" quotePrefix="1" applyNumberFormat="1" applyFont="1" applyBorder="1" applyAlignment="1">
      <alignment horizontal="right"/>
    </xf>
    <xf numFmtId="17" fontId="22" fillId="0" borderId="5" xfId="23" applyNumberFormat="1" applyFont="1" applyBorder="1" applyAlignment="1">
      <alignment horizontal="center" wrapText="1"/>
    </xf>
    <xf numFmtId="166" fontId="19" fillId="0" borderId="0" xfId="9" applyNumberFormat="1" applyFont="1" applyFill="1"/>
    <xf numFmtId="0" fontId="19" fillId="0" borderId="7" xfId="0" applyFont="1" applyBorder="1"/>
    <xf numFmtId="0" fontId="19" fillId="0" borderId="16" xfId="0" applyFont="1" applyBorder="1"/>
    <xf numFmtId="44" fontId="19" fillId="0" borderId="0" xfId="9" applyFont="1" applyFill="1" applyBorder="1"/>
    <xf numFmtId="44" fontId="20" fillId="0" borderId="0" xfId="9" applyFont="1" applyBorder="1"/>
    <xf numFmtId="0" fontId="31" fillId="0" borderId="0" xfId="0" applyFont="1" applyAlignment="1">
      <alignment horizontal="center" wrapText="1"/>
    </xf>
    <xf numFmtId="0" fontId="32" fillId="0" borderId="0" xfId="0" applyFont="1"/>
    <xf numFmtId="173" fontId="14" fillId="0" borderId="0" xfId="6" applyNumberFormat="1" applyFont="1" applyFill="1"/>
    <xf numFmtId="173" fontId="16" fillId="0" borderId="5" xfId="6" applyNumberFormat="1" applyFont="1" applyFill="1" applyBorder="1" applyAlignment="1">
      <alignment horizontal="center"/>
    </xf>
    <xf numFmtId="43" fontId="19" fillId="0" borderId="0" xfId="0" applyNumberFormat="1" applyFont="1"/>
    <xf numFmtId="173" fontId="14" fillId="0" borderId="0" xfId="6" applyNumberFormat="1" applyFont="1" applyFill="1" applyBorder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/>
    <xf numFmtId="4" fontId="18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6" fillId="0" borderId="17" xfId="4" applyFont="1" applyBorder="1" applyAlignment="1">
      <alignment horizontal="center" wrapText="1"/>
    </xf>
    <xf numFmtId="165" fontId="16" fillId="0" borderId="18" xfId="25" applyNumberFormat="1" applyFont="1" applyFill="1" applyBorder="1" applyAlignment="1">
      <alignment horizontal="center"/>
    </xf>
    <xf numFmtId="0" fontId="19" fillId="0" borderId="18" xfId="0" applyFont="1" applyBorder="1"/>
    <xf numFmtId="165" fontId="0" fillId="0" borderId="0" xfId="1" applyNumberFormat="1" applyFont="1" applyFill="1"/>
    <xf numFmtId="173" fontId="19" fillId="0" borderId="0" xfId="0" applyNumberFormat="1" applyFont="1"/>
    <xf numFmtId="173" fontId="19" fillId="0" borderId="0" xfId="1" applyNumberFormat="1" applyFont="1" applyFill="1" applyBorder="1" applyAlignment="1">
      <alignment horizontal="center"/>
    </xf>
    <xf numFmtId="175" fontId="0" fillId="0" borderId="0" xfId="2" applyNumberFormat="1" applyFont="1" applyFill="1"/>
    <xf numFmtId="14" fontId="15" fillId="0" borderId="0" xfId="0" applyNumberFormat="1" applyFont="1" applyAlignment="1">
      <alignment horizontal="center" wrapText="1"/>
    </xf>
    <xf numFmtId="14" fontId="15" fillId="0" borderId="0" xfId="0" applyNumberFormat="1" applyFont="1" applyAlignment="1">
      <alignment horizontal="center" vertical="center"/>
    </xf>
    <xf numFmtId="0" fontId="34" fillId="0" borderId="0" xfId="0" applyFont="1"/>
    <xf numFmtId="10" fontId="14" fillId="0" borderId="0" xfId="27" applyNumberFormat="1" applyFont="1" applyFill="1" applyAlignment="1">
      <alignment horizontal="center"/>
    </xf>
    <xf numFmtId="173" fontId="15" fillId="0" borderId="19" xfId="6" applyNumberFormat="1" applyFont="1" applyFill="1" applyBorder="1" applyAlignment="1">
      <alignment horizontal="center"/>
    </xf>
    <xf numFmtId="1" fontId="15" fillId="0" borderId="0" xfId="0" applyNumberFormat="1" applyFont="1" applyAlignment="1">
      <alignment horizontal="center" wrapText="1"/>
    </xf>
    <xf numFmtId="43" fontId="0" fillId="0" borderId="0" xfId="3" applyFont="1" applyFill="1"/>
    <xf numFmtId="0" fontId="0" fillId="0" borderId="0" xfId="0" applyAlignment="1">
      <alignment horizontal="right"/>
    </xf>
    <xf numFmtId="41" fontId="0" fillId="0" borderId="0" xfId="3" applyNumberFormat="1" applyFont="1" applyFill="1" applyBorder="1"/>
    <xf numFmtId="173" fontId="0" fillId="0" borderId="0" xfId="3" applyNumberFormat="1" applyFont="1" applyFill="1" applyBorder="1"/>
    <xf numFmtId="173" fontId="14" fillId="0" borderId="0" xfId="3" applyNumberFormat="1" applyFont="1" applyFill="1"/>
    <xf numFmtId="1" fontId="16" fillId="0" borderId="3" xfId="4" applyNumberFormat="1" applyFont="1" applyBorder="1" applyAlignment="1">
      <alignment horizontal="center"/>
    </xf>
    <xf numFmtId="173" fontId="19" fillId="0" borderId="0" xfId="3" applyNumberFormat="1" applyFont="1" applyFill="1"/>
    <xf numFmtId="1" fontId="19" fillId="0" borderId="16" xfId="0" applyNumberFormat="1" applyFont="1" applyBorder="1"/>
    <xf numFmtId="14" fontId="16" fillId="0" borderId="3" xfId="4" applyNumberFormat="1" applyFont="1" applyBorder="1" applyAlignment="1">
      <alignment horizontal="center"/>
    </xf>
    <xf numFmtId="5" fontId="25" fillId="0" borderId="0" xfId="0" applyNumberFormat="1" applyFont="1"/>
    <xf numFmtId="173" fontId="0" fillId="0" borderId="0" xfId="0" applyNumberFormat="1"/>
    <xf numFmtId="173" fontId="0" fillId="0" borderId="0" xfId="3" applyNumberFormat="1" applyFont="1" applyFill="1"/>
    <xf numFmtId="0" fontId="31" fillId="0" borderId="0" xfId="0" applyFont="1" applyAlignment="1">
      <alignment wrapText="1"/>
    </xf>
    <xf numFmtId="181" fontId="14" fillId="0" borderId="0" xfId="0" applyNumberFormat="1" applyFont="1"/>
    <xf numFmtId="10" fontId="18" fillId="0" borderId="0" xfId="1" applyNumberFormat="1" applyFont="1" applyBorder="1"/>
    <xf numFmtId="1" fontId="19" fillId="0" borderId="7" xfId="0" applyNumberFormat="1" applyFont="1" applyBorder="1"/>
    <xf numFmtId="44" fontId="20" fillId="0" borderId="0" xfId="9" applyFont="1" applyFill="1" applyBorder="1"/>
    <xf numFmtId="165" fontId="19" fillId="0" borderId="0" xfId="27" applyNumberFormat="1" applyFont="1" applyFill="1" applyBorder="1"/>
    <xf numFmtId="165" fontId="14" fillId="0" borderId="0" xfId="27" applyNumberFormat="1" applyFont="1" applyFill="1" applyAlignment="1">
      <alignment horizontal="center"/>
    </xf>
    <xf numFmtId="10" fontId="14" fillId="0" borderId="20" xfId="27" applyNumberFormat="1" applyFont="1" applyFill="1" applyBorder="1" applyAlignment="1">
      <alignment horizontal="center"/>
    </xf>
    <xf numFmtId="9" fontId="33" fillId="0" borderId="0" xfId="1" applyFont="1" applyFill="1" applyAlignment="1">
      <alignment horizontal="right"/>
    </xf>
    <xf numFmtId="9" fontId="33" fillId="0" borderId="0" xfId="1" applyFont="1" applyFill="1"/>
    <xf numFmtId="173" fontId="14" fillId="0" borderId="21" xfId="6" applyNumberFormat="1" applyFont="1" applyFill="1" applyBorder="1"/>
    <xf numFmtId="173" fontId="14" fillId="0" borderId="20" xfId="6" applyNumberFormat="1" applyFont="1" applyFill="1" applyBorder="1"/>
    <xf numFmtId="173" fontId="33" fillId="0" borderId="0" xfId="3" applyNumberFormat="1" applyFont="1" applyFill="1"/>
    <xf numFmtId="0" fontId="16" fillId="0" borderId="0" xfId="4" applyFont="1" applyAlignment="1">
      <alignment horizontal="right" indent="1"/>
    </xf>
    <xf numFmtId="0" fontId="16" fillId="0" borderId="22" xfId="4" applyFont="1" applyBorder="1"/>
    <xf numFmtId="44" fontId="16" fillId="0" borderId="0" xfId="4" applyNumberFormat="1" applyFont="1" applyAlignment="1">
      <alignment horizontal="center"/>
    </xf>
    <xf numFmtId="165" fontId="16" fillId="0" borderId="0" xfId="25" applyNumberFormat="1" applyFont="1" applyFill="1" applyBorder="1" applyAlignment="1">
      <alignment horizontal="center"/>
    </xf>
    <xf numFmtId="175" fontId="0" fillId="0" borderId="0" xfId="2" applyNumberFormat="1" applyFont="1" applyFill="1" applyAlignment="1">
      <alignment horizontal="center"/>
    </xf>
    <xf numFmtId="10" fontId="14" fillId="0" borderId="0" xfId="1" applyNumberFormat="1" applyFont="1"/>
    <xf numFmtId="44" fontId="19" fillId="0" borderId="3" xfId="2" applyFont="1" applyFill="1" applyBorder="1"/>
    <xf numFmtId="0" fontId="19" fillId="0" borderId="0" xfId="0" applyFont="1" applyAlignment="1">
      <alignment wrapText="1"/>
    </xf>
    <xf numFmtId="1" fontId="19" fillId="0" borderId="3" xfId="0" applyNumberFormat="1" applyFont="1" applyBorder="1"/>
    <xf numFmtId="165" fontId="16" fillId="0" borderId="20" xfId="1" applyNumberFormat="1" applyFont="1" applyFill="1" applyBorder="1" applyAlignment="1">
      <alignment horizontal="center"/>
    </xf>
    <xf numFmtId="44" fontId="16" fillId="0" borderId="23" xfId="4" applyNumberFormat="1" applyFont="1" applyBorder="1" applyAlignment="1">
      <alignment horizontal="center"/>
    </xf>
    <xf numFmtId="165" fontId="16" fillId="0" borderId="23" xfId="1" applyNumberFormat="1" applyFont="1" applyFill="1" applyBorder="1" applyAlignment="1">
      <alignment horizontal="center"/>
    </xf>
    <xf numFmtId="44" fontId="16" fillId="0" borderId="20" xfId="4" applyNumberFormat="1" applyFont="1" applyBorder="1" applyAlignment="1">
      <alignment horizontal="center"/>
    </xf>
    <xf numFmtId="10" fontId="18" fillId="0" borderId="0" xfId="1" applyNumberFormat="1" applyFont="1" applyFill="1" applyBorder="1"/>
    <xf numFmtId="44" fontId="19" fillId="0" borderId="0" xfId="0" applyNumberFormat="1" applyFont="1"/>
    <xf numFmtId="17" fontId="19" fillId="0" borderId="0" xfId="9" quotePrefix="1" applyNumberFormat="1" applyFont="1" applyFill="1" applyBorder="1" applyAlignment="1"/>
    <xf numFmtId="37" fontId="0" fillId="0" borderId="0" xfId="2" applyNumberFormat="1" applyFont="1" applyFill="1"/>
    <xf numFmtId="41" fontId="0" fillId="0" borderId="0" xfId="3" applyNumberFormat="1" applyFont="1" applyFill="1"/>
    <xf numFmtId="2" fontId="19" fillId="0" borderId="0" xfId="1" applyNumberFormat="1" applyFont="1" applyFill="1" applyBorder="1" applyAlignment="1">
      <alignment horizontal="center"/>
    </xf>
    <xf numFmtId="41" fontId="25" fillId="0" borderId="0" xfId="3" applyNumberFormat="1" applyFont="1" applyFill="1"/>
    <xf numFmtId="0" fontId="39" fillId="0" borderId="0" xfId="0" applyFont="1"/>
    <xf numFmtId="173" fontId="25" fillId="0" borderId="0" xfId="3" applyNumberFormat="1" applyFont="1" applyFill="1"/>
    <xf numFmtId="175" fontId="25" fillId="0" borderId="0" xfId="2" applyNumberFormat="1" applyFont="1" applyFill="1"/>
    <xf numFmtId="166" fontId="19" fillId="0" borderId="0" xfId="0" applyNumberFormat="1" applyFont="1"/>
    <xf numFmtId="43" fontId="0" fillId="0" borderId="0" xfId="0" applyNumberFormat="1"/>
    <xf numFmtId="10" fontId="14" fillId="0" borderId="0" xfId="27" applyNumberFormat="1" applyFont="1" applyFill="1" applyBorder="1" applyAlignment="1">
      <alignment horizontal="center"/>
    </xf>
    <xf numFmtId="173" fontId="19" fillId="0" borderId="0" xfId="3" applyNumberFormat="1" applyFont="1" applyFill="1" applyBorder="1"/>
    <xf numFmtId="173" fontId="0" fillId="0" borderId="0" xfId="3" applyNumberFormat="1" applyFont="1"/>
    <xf numFmtId="1" fontId="23" fillId="0" borderId="0" xfId="23" applyNumberFormat="1" applyFont="1"/>
    <xf numFmtId="2" fontId="18" fillId="0" borderId="0" xfId="23" applyNumberFormat="1" applyFont="1"/>
    <xf numFmtId="1" fontId="18" fillId="0" borderId="0" xfId="23" applyNumberFormat="1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6" fontId="0" fillId="0" borderId="5" xfId="0" quotePrefix="1" applyNumberFormat="1" applyBorder="1" applyAlignment="1">
      <alignment horizontal="center"/>
    </xf>
    <xf numFmtId="173" fontId="0" fillId="0" borderId="0" xfId="3" quotePrefix="1" applyNumberFormat="1" applyFont="1" applyBorder="1" applyAlignment="1">
      <alignment horizontal="right"/>
    </xf>
    <xf numFmtId="0" fontId="0" fillId="0" borderId="5" xfId="0" applyBorder="1" applyAlignment="1">
      <alignment horizontal="center"/>
    </xf>
    <xf numFmtId="177" fontId="0" fillId="0" borderId="0" xfId="0" applyNumberFormat="1"/>
    <xf numFmtId="183" fontId="0" fillId="0" borderId="0" xfId="0" applyNumberFormat="1"/>
    <xf numFmtId="0" fontId="0" fillId="0" borderId="24" xfId="0" applyBorder="1"/>
    <xf numFmtId="0" fontId="0" fillId="0" borderId="24" xfId="0" applyBorder="1" applyAlignment="1">
      <alignment horizontal="right"/>
    </xf>
    <xf numFmtId="177" fontId="0" fillId="0" borderId="0" xfId="0" applyNumberFormat="1" applyAlignment="1">
      <alignment horizontal="right"/>
    </xf>
    <xf numFmtId="0" fontId="0" fillId="0" borderId="8" xfId="0" applyBorder="1"/>
    <xf numFmtId="183" fontId="0" fillId="0" borderId="0" xfId="0" applyNumberFormat="1" applyAlignment="1">
      <alignment horizontal="right"/>
    </xf>
    <xf numFmtId="183" fontId="0" fillId="0" borderId="0" xfId="0" applyNumberFormat="1" applyAlignment="1">
      <alignment horizontal="center"/>
    </xf>
    <xf numFmtId="165" fontId="0" fillId="0" borderId="8" xfId="1" applyNumberFormat="1" applyFont="1" applyFill="1" applyBorder="1"/>
    <xf numFmtId="165" fontId="0" fillId="0" borderId="0" xfId="1" applyNumberFormat="1" applyFont="1" applyFill="1" applyBorder="1"/>
    <xf numFmtId="0" fontId="0" fillId="0" borderId="25" xfId="0" applyBorder="1"/>
    <xf numFmtId="177" fontId="0" fillId="0" borderId="26" xfId="0" applyNumberFormat="1" applyBorder="1"/>
    <xf numFmtId="165" fontId="0" fillId="0" borderId="10" xfId="1" applyNumberFormat="1" applyFont="1" applyFill="1" applyBorder="1"/>
    <xf numFmtId="0" fontId="0" fillId="0" borderId="25" xfId="0" applyBorder="1" applyAlignment="1">
      <alignment horizontal="right"/>
    </xf>
    <xf numFmtId="183" fontId="0" fillId="0" borderId="26" xfId="0" applyNumberFormat="1" applyBorder="1"/>
    <xf numFmtId="165" fontId="0" fillId="0" borderId="26" xfId="1" applyNumberFormat="1" applyFont="1" applyFill="1" applyBorder="1"/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0" fontId="0" fillId="0" borderId="0" xfId="0" applyAlignment="1">
      <alignment horizontal="center" vertical="center" wrapText="1"/>
    </xf>
    <xf numFmtId="5" fontId="0" fillId="8" borderId="0" xfId="0" applyNumberFormat="1" applyFill="1"/>
    <xf numFmtId="0" fontId="0" fillId="8" borderId="0" xfId="0" applyFill="1"/>
    <xf numFmtId="173" fontId="14" fillId="0" borderId="0" xfId="3" applyNumberFormat="1" applyFont="1" applyFill="1" applyAlignment="1">
      <alignment horizontal="center"/>
    </xf>
    <xf numFmtId="165" fontId="0" fillId="0" borderId="19" xfId="1" applyNumberFormat="1" applyFont="1" applyFill="1" applyBorder="1"/>
    <xf numFmtId="1" fontId="0" fillId="0" borderId="7" xfId="1" applyNumberFormat="1" applyFont="1" applyFill="1" applyBorder="1"/>
    <xf numFmtId="0" fontId="19" fillId="0" borderId="21" xfId="0" applyFont="1" applyBorder="1"/>
    <xf numFmtId="175" fontId="14" fillId="0" borderId="0" xfId="2" applyNumberFormat="1" applyFont="1" applyFill="1" applyBorder="1"/>
    <xf numFmtId="173" fontId="14" fillId="0" borderId="0" xfId="3" applyNumberFormat="1" applyFont="1" applyFill="1" applyBorder="1"/>
    <xf numFmtId="0" fontId="29" fillId="0" borderId="0" xfId="0" applyFont="1" applyAlignment="1">
      <alignment horizontal="center"/>
    </xf>
    <xf numFmtId="1" fontId="0" fillId="0" borderId="16" xfId="1" applyNumberFormat="1" applyFont="1" applyFill="1" applyBorder="1"/>
    <xf numFmtId="14" fontId="19" fillId="0" borderId="0" xfId="9" quotePrefix="1" applyNumberFormat="1" applyFont="1" applyFill="1" applyBorder="1" applyAlignment="1"/>
    <xf numFmtId="14" fontId="19" fillId="0" borderId="0" xfId="9" applyNumberFormat="1" applyFont="1" applyFill="1" applyBorder="1" applyAlignment="1"/>
    <xf numFmtId="17" fontId="19" fillId="0" borderId="0" xfId="9" applyNumberFormat="1" applyFont="1" applyFill="1" applyBorder="1" applyAlignment="1"/>
    <xf numFmtId="173" fontId="14" fillId="0" borderId="0" xfId="3" applyNumberFormat="1" applyFont="1"/>
    <xf numFmtId="44" fontId="16" fillId="0" borderId="18" xfId="4" applyNumberFormat="1" applyFont="1" applyBorder="1" applyAlignment="1">
      <alignment horizontal="center"/>
    </xf>
    <xf numFmtId="165" fontId="14" fillId="0" borderId="0" xfId="1" applyNumberFormat="1" applyFont="1"/>
    <xf numFmtId="0" fontId="0" fillId="9" borderId="0" xfId="0" applyFill="1" applyAlignment="1">
      <alignment horizontal="right" vertical="center"/>
    </xf>
    <xf numFmtId="5" fontId="39" fillId="0" borderId="0" xfId="0" applyNumberFormat="1" applyFont="1"/>
    <xf numFmtId="0" fontId="40" fillId="0" borderId="0" xfId="4" applyFont="1" applyAlignment="1">
      <alignment horizontal="right"/>
    </xf>
    <xf numFmtId="175" fontId="0" fillId="0" borderId="0" xfId="2" applyNumberFormat="1" applyFont="1"/>
    <xf numFmtId="175" fontId="0" fillId="8" borderId="0" xfId="2" applyNumberFormat="1" applyFont="1" applyFill="1"/>
    <xf numFmtId="0" fontId="0" fillId="0" borderId="0" xfId="0" applyAlignment="1">
      <alignment wrapText="1"/>
    </xf>
    <xf numFmtId="0" fontId="15" fillId="0" borderId="0" xfId="0" applyFont="1" applyAlignment="1">
      <alignment horizontal="center"/>
    </xf>
    <xf numFmtId="165" fontId="19" fillId="0" borderId="0" xfId="1" applyNumberFormat="1" applyFont="1"/>
    <xf numFmtId="10" fontId="19" fillId="0" borderId="0" xfId="1" applyNumberFormat="1" applyFont="1"/>
    <xf numFmtId="43" fontId="14" fillId="0" borderId="0" xfId="3" applyFont="1"/>
    <xf numFmtId="2" fontId="14" fillId="0" borderId="0" xfId="0" applyNumberFormat="1" applyFont="1"/>
    <xf numFmtId="175" fontId="0" fillId="0" borderId="0" xfId="0" applyNumberFormat="1"/>
    <xf numFmtId="3" fontId="0" fillId="0" borderId="0" xfId="2" applyNumberFormat="1" applyFont="1" applyFill="1"/>
    <xf numFmtId="0" fontId="19" fillId="7" borderId="0" xfId="0" applyFont="1" applyFill="1" applyAlignment="1">
      <alignment horizontal="center"/>
    </xf>
    <xf numFmtId="5" fontId="0" fillId="0" borderId="0" xfId="0" applyNumberFormat="1" applyAlignment="1">
      <alignment wrapText="1"/>
    </xf>
    <xf numFmtId="165" fontId="19" fillId="0" borderId="0" xfId="1" applyNumberFormat="1" applyFont="1" applyFill="1" applyBorder="1"/>
    <xf numFmtId="165" fontId="19" fillId="0" borderId="8" xfId="1" applyNumberFormat="1" applyFont="1" applyFill="1" applyBorder="1"/>
    <xf numFmtId="165" fontId="19" fillId="0" borderId="26" xfId="1" applyNumberFormat="1" applyFont="1" applyFill="1" applyBorder="1"/>
    <xf numFmtId="165" fontId="19" fillId="0" borderId="10" xfId="1" applyNumberFormat="1" applyFont="1" applyFill="1" applyBorder="1"/>
    <xf numFmtId="10" fontId="14" fillId="0" borderId="0" xfId="1" applyNumberFormat="1" applyFont="1" applyFill="1" applyAlignment="1">
      <alignment horizontal="center" vertical="center"/>
    </xf>
    <xf numFmtId="165" fontId="37" fillId="0" borderId="0" xfId="1" applyNumberFormat="1" applyFont="1" applyFill="1" applyAlignment="1">
      <alignment vertical="center"/>
    </xf>
    <xf numFmtId="10" fontId="37" fillId="0" borderId="0" xfId="1" applyNumberFormat="1" applyFont="1" applyFill="1" applyAlignment="1">
      <alignment vertical="center"/>
    </xf>
    <xf numFmtId="10" fontId="14" fillId="0" borderId="0" xfId="27" applyNumberFormat="1" applyFont="1" applyFill="1"/>
    <xf numFmtId="10" fontId="14" fillId="0" borderId="0" xfId="28" applyNumberFormat="1" applyFont="1" applyFill="1" applyAlignment="1">
      <alignment horizontal="center"/>
    </xf>
    <xf numFmtId="10" fontId="14" fillId="0" borderId="0" xfId="1" applyNumberFormat="1" applyFont="1" applyFill="1"/>
    <xf numFmtId="9" fontId="14" fillId="0" borderId="0" xfId="1" applyFont="1" applyFill="1"/>
    <xf numFmtId="176" fontId="16" fillId="0" borderId="0" xfId="38" applyNumberFormat="1" applyFont="1" applyAlignment="1">
      <alignment horizontal="right"/>
    </xf>
    <xf numFmtId="175" fontId="14" fillId="0" borderId="0" xfId="2" applyNumberFormat="1" applyFont="1" applyFill="1"/>
    <xf numFmtId="181" fontId="14" fillId="0" borderId="0" xfId="0" applyNumberFormat="1" applyFont="1" applyAlignment="1">
      <alignment horizontal="center"/>
    </xf>
    <xf numFmtId="176" fontId="15" fillId="0" borderId="0" xfId="38" quotePrefix="1" applyNumberFormat="1" applyFont="1" applyAlignment="1">
      <alignment horizontal="right"/>
    </xf>
    <xf numFmtId="0" fontId="19" fillId="0" borderId="0" xfId="0" applyFont="1" applyAlignment="1">
      <alignment horizontal="center" vertical="top" wrapText="1"/>
    </xf>
    <xf numFmtId="0" fontId="19" fillId="0" borderId="22" xfId="0" applyFont="1" applyBorder="1"/>
    <xf numFmtId="0" fontId="19" fillId="0" borderId="3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1" fontId="19" fillId="0" borderId="7" xfId="9" applyNumberFormat="1" applyFont="1" applyFill="1" applyBorder="1"/>
    <xf numFmtId="1" fontId="19" fillId="0" borderId="0" xfId="0" applyNumberFormat="1" applyFont="1"/>
    <xf numFmtId="0" fontId="43" fillId="0" borderId="0" xfId="0" applyFont="1" applyAlignment="1">
      <alignment vertical="center"/>
    </xf>
    <xf numFmtId="0" fontId="19" fillId="0" borderId="27" xfId="0" applyFont="1" applyBorder="1"/>
    <xf numFmtId="0" fontId="19" fillId="0" borderId="19" xfId="0" applyFont="1" applyBorder="1"/>
    <xf numFmtId="1" fontId="19" fillId="0" borderId="19" xfId="0" applyNumberFormat="1" applyFont="1" applyBorder="1"/>
    <xf numFmtId="173" fontId="16" fillId="0" borderId="0" xfId="6" applyNumberFormat="1" applyFont="1" applyFill="1" applyBorder="1" applyAlignment="1">
      <alignment horizontal="center" wrapText="1"/>
    </xf>
    <xf numFmtId="174" fontId="16" fillId="0" borderId="0" xfId="4" applyNumberFormat="1" applyFont="1" applyAlignment="1">
      <alignment horizontal="center"/>
    </xf>
    <xf numFmtId="0" fontId="49" fillId="10" borderId="0" xfId="0" applyFont="1" applyFill="1" applyAlignment="1">
      <alignment horizontal="center"/>
    </xf>
    <xf numFmtId="0" fontId="48" fillId="0" borderId="0" xfId="0" applyFont="1" applyAlignment="1">
      <alignment horizontal="left" vertical="center" wrapText="1"/>
    </xf>
    <xf numFmtId="10" fontId="16" fillId="7" borderId="3" xfId="4" applyNumberFormat="1" applyFont="1" applyFill="1" applyBorder="1" applyAlignment="1">
      <alignment horizontal="center"/>
    </xf>
    <xf numFmtId="0" fontId="20" fillId="0" borderId="5" xfId="0" applyFont="1" applyBorder="1"/>
    <xf numFmtId="0" fontId="20" fillId="0" borderId="5" xfId="0" applyFont="1" applyBorder="1" applyAlignment="1">
      <alignment horizontal="center"/>
    </xf>
    <xf numFmtId="14" fontId="16" fillId="0" borderId="3" xfId="4" applyNumberFormat="1" applyFont="1" applyBorder="1" applyAlignment="1">
      <alignment horizontal="center" wrapText="1"/>
    </xf>
    <xf numFmtId="174" fontId="16" fillId="0" borderId="18" xfId="4" applyNumberFormat="1" applyFont="1" applyBorder="1" applyAlignment="1">
      <alignment horizontal="center"/>
    </xf>
    <xf numFmtId="0" fontId="16" fillId="0" borderId="24" xfId="4" applyFont="1" applyBorder="1" applyAlignment="1">
      <alignment horizontal="right"/>
    </xf>
    <xf numFmtId="0" fontId="16" fillId="0" borderId="20" xfId="4" applyFont="1" applyBorder="1" applyAlignment="1">
      <alignment horizontal="right"/>
    </xf>
    <xf numFmtId="174" fontId="16" fillId="0" borderId="7" xfId="4" applyNumberFormat="1" applyFont="1" applyBorder="1" applyAlignment="1">
      <alignment horizontal="center"/>
    </xf>
    <xf numFmtId="174" fontId="16" fillId="0" borderId="26" xfId="4" applyNumberFormat="1" applyFont="1" applyBorder="1" applyAlignment="1">
      <alignment horizontal="center"/>
    </xf>
    <xf numFmtId="174" fontId="16" fillId="0" borderId="9" xfId="4" applyNumberFormat="1" applyFont="1" applyBorder="1" applyAlignment="1">
      <alignment horizontal="center"/>
    </xf>
    <xf numFmtId="164" fontId="0" fillId="0" borderId="0" xfId="0" applyNumberFormat="1" applyAlignment="1">
      <alignment horizontal="left"/>
    </xf>
    <xf numFmtId="164" fontId="25" fillId="0" borderId="0" xfId="0" applyNumberFormat="1" applyFont="1"/>
    <xf numFmtId="164" fontId="0" fillId="0" borderId="0" xfId="0" applyNumberFormat="1"/>
    <xf numFmtId="0" fontId="2" fillId="0" borderId="0" xfId="0" applyFont="1"/>
    <xf numFmtId="49" fontId="0" fillId="0" borderId="0" xfId="0" applyNumberFormat="1"/>
    <xf numFmtId="49" fontId="25" fillId="0" borderId="0" xfId="0" applyNumberFormat="1" applyFont="1"/>
    <xf numFmtId="0" fontId="0" fillId="0" borderId="5" xfId="0" applyBorder="1"/>
    <xf numFmtId="0" fontId="25" fillId="0" borderId="5" xfId="0" applyFont="1" applyBorder="1"/>
    <xf numFmtId="0" fontId="0" fillId="0" borderId="3" xfId="0" applyBorder="1" applyAlignment="1">
      <alignment vertical="center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1" fontId="0" fillId="0" borderId="0" xfId="0" applyNumberFormat="1"/>
    <xf numFmtId="41" fontId="25" fillId="0" borderId="0" xfId="0" applyNumberFormat="1" applyFont="1"/>
    <xf numFmtId="41" fontId="26" fillId="0" borderId="0" xfId="0" applyNumberFormat="1" applyFont="1"/>
    <xf numFmtId="0" fontId="25" fillId="0" borderId="0" xfId="4" applyFont="1" applyAlignment="1">
      <alignment horizontal="left"/>
    </xf>
    <xf numFmtId="41" fontId="2" fillId="0" borderId="0" xfId="0" applyNumberFormat="1" applyFont="1"/>
    <xf numFmtId="41" fontId="2" fillId="0" borderId="28" xfId="0" applyNumberFormat="1" applyFont="1" applyBorder="1"/>
    <xf numFmtId="41" fontId="26" fillId="0" borderId="28" xfId="0" applyNumberFormat="1" applyFont="1" applyBorder="1"/>
    <xf numFmtId="3" fontId="25" fillId="0" borderId="0" xfId="0" applyNumberFormat="1" applyFont="1"/>
    <xf numFmtId="15" fontId="0" fillId="0" borderId="0" xfId="0" applyNumberFormat="1"/>
    <xf numFmtId="3" fontId="2" fillId="0" borderId="0" xfId="0" applyNumberFormat="1" applyFont="1" applyAlignment="1">
      <alignment horizontal="left"/>
    </xf>
    <xf numFmtId="0" fontId="0" fillId="0" borderId="12" xfId="0" applyBorder="1"/>
    <xf numFmtId="0" fontId="0" fillId="0" borderId="12" xfId="0" applyBorder="1" applyAlignment="1">
      <alignment wrapText="1"/>
    </xf>
    <xf numFmtId="0" fontId="25" fillId="0" borderId="12" xfId="0" applyFont="1" applyBorder="1" applyAlignment="1">
      <alignment wrapText="1"/>
    </xf>
    <xf numFmtId="0" fontId="27" fillId="0" borderId="0" xfId="0" applyFont="1"/>
    <xf numFmtId="173" fontId="25" fillId="0" borderId="0" xfId="0" applyNumberFormat="1" applyFont="1"/>
    <xf numFmtId="41" fontId="0" fillId="0" borderId="19" xfId="0" applyNumberFormat="1" applyBorder="1"/>
    <xf numFmtId="3" fontId="0" fillId="0" borderId="0" xfId="0" applyNumberFormat="1"/>
    <xf numFmtId="41" fontId="0" fillId="0" borderId="0" xfId="0" applyNumberFormat="1" applyAlignment="1">
      <alignment horizontal="center"/>
    </xf>
    <xf numFmtId="173" fontId="0" fillId="0" borderId="0" xfId="0" applyNumberFormat="1" applyAlignment="1">
      <alignment horizontal="left"/>
    </xf>
    <xf numFmtId="0" fontId="44" fillId="0" borderId="29" xfId="0" applyFont="1" applyBorder="1" applyAlignment="1">
      <alignment vertical="center" wrapText="1"/>
    </xf>
    <xf numFmtId="5" fontId="26" fillId="0" borderId="0" xfId="0" applyNumberFormat="1" applyFont="1"/>
    <xf numFmtId="3" fontId="26" fillId="0" borderId="28" xfId="0" applyNumberFormat="1" applyFont="1" applyBorder="1"/>
    <xf numFmtId="3" fontId="2" fillId="0" borderId="28" xfId="0" applyNumberFormat="1" applyFont="1" applyBorder="1"/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wrapText="1"/>
    </xf>
    <xf numFmtId="0" fontId="25" fillId="0" borderId="0" xfId="0" applyFont="1" applyAlignment="1">
      <alignment horizontal="left"/>
    </xf>
    <xf numFmtId="0" fontId="44" fillId="0" borderId="0" xfId="0" applyFont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41" fillId="0" borderId="30" xfId="0" applyFont="1" applyBorder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41" fillId="0" borderId="0" xfId="0" applyFont="1" applyAlignment="1">
      <alignment vertical="center" wrapText="1"/>
    </xf>
    <xf numFmtId="3" fontId="0" fillId="0" borderId="0" xfId="0" applyNumberFormat="1" applyAlignment="1">
      <alignment horizontal="center"/>
    </xf>
    <xf numFmtId="3" fontId="2" fillId="0" borderId="0" xfId="0" applyNumberFormat="1" applyFont="1"/>
    <xf numFmtId="182" fontId="4" fillId="0" borderId="0" xfId="43" applyNumberFormat="1"/>
    <xf numFmtId="0" fontId="4" fillId="0" borderId="0" xfId="50"/>
    <xf numFmtId="0" fontId="19" fillId="0" borderId="0" xfId="0" applyFont="1" applyAlignment="1">
      <alignment vertical="top" wrapText="1"/>
    </xf>
    <xf numFmtId="0" fontId="14" fillId="0" borderId="19" xfId="0" applyFont="1" applyBorder="1" applyAlignment="1">
      <alignment horizontal="center" wrapText="1"/>
    </xf>
    <xf numFmtId="0" fontId="14" fillId="0" borderId="31" xfId="0" applyFont="1" applyBorder="1" applyAlignment="1">
      <alignment horizontal="center" vertical="center" wrapText="1"/>
    </xf>
    <xf numFmtId="173" fontId="14" fillId="0" borderId="0" xfId="0" applyNumberFormat="1" applyFont="1" applyAlignment="1">
      <alignment horizontal="center"/>
    </xf>
    <xf numFmtId="173" fontId="14" fillId="0" borderId="21" xfId="0" applyNumberFormat="1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2" fillId="0" borderId="21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9" fillId="0" borderId="31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78" fontId="19" fillId="0" borderId="0" xfId="0" applyNumberFormat="1" applyFont="1"/>
    <xf numFmtId="173" fontId="14" fillId="0" borderId="0" xfId="0" applyNumberFormat="1" applyFont="1"/>
    <xf numFmtId="43" fontId="14" fillId="0" borderId="0" xfId="0" applyNumberFormat="1" applyFont="1" applyAlignment="1">
      <alignment horizontal="center"/>
    </xf>
    <xf numFmtId="44" fontId="14" fillId="0" borderId="0" xfId="0" applyNumberFormat="1" applyFont="1"/>
    <xf numFmtId="0" fontId="14" fillId="0" borderId="24" xfId="0" applyFont="1" applyBorder="1"/>
    <xf numFmtId="0" fontId="19" fillId="0" borderId="8" xfId="0" applyFont="1" applyBorder="1"/>
    <xf numFmtId="0" fontId="14" fillId="0" borderId="24" xfId="0" applyFont="1" applyBorder="1" applyAlignment="1">
      <alignment horizontal="center" vertical="center" wrapText="1"/>
    </xf>
    <xf numFmtId="0" fontId="19" fillId="0" borderId="25" xfId="0" applyFont="1" applyBorder="1"/>
    <xf numFmtId="0" fontId="19" fillId="0" borderId="26" xfId="0" applyFont="1" applyBorder="1"/>
    <xf numFmtId="0" fontId="19" fillId="0" borderId="10" xfId="0" applyFont="1" applyBorder="1"/>
    <xf numFmtId="0" fontId="19" fillId="0" borderId="34" xfId="0" applyFont="1" applyBorder="1"/>
    <xf numFmtId="0" fontId="19" fillId="0" borderId="35" xfId="0" applyFont="1" applyBorder="1"/>
    <xf numFmtId="0" fontId="19" fillId="0" borderId="36" xfId="0" applyFont="1" applyBorder="1"/>
    <xf numFmtId="4" fontId="18" fillId="0" borderId="0" xfId="0" applyNumberFormat="1" applyFont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24" xfId="0" applyFont="1" applyBorder="1"/>
    <xf numFmtId="0" fontId="17" fillId="0" borderId="0" xfId="0" applyFont="1"/>
    <xf numFmtId="173" fontId="18" fillId="0" borderId="0" xfId="1" applyNumberFormat="1" applyFont="1" applyFill="1"/>
    <xf numFmtId="44" fontId="18" fillId="0" borderId="0" xfId="2" applyFont="1" applyFill="1"/>
    <xf numFmtId="165" fontId="19" fillId="0" borderId="0" xfId="0" applyNumberFormat="1" applyFont="1"/>
    <xf numFmtId="184" fontId="19" fillId="0" borderId="0" xfId="0" applyNumberFormat="1" applyFont="1"/>
    <xf numFmtId="43" fontId="18" fillId="0" borderId="0" xfId="3" applyFont="1" applyFill="1"/>
    <xf numFmtId="0" fontId="33" fillId="0" borderId="3" xfId="0" applyFont="1" applyBorder="1"/>
    <xf numFmtId="0" fontId="33" fillId="0" borderId="3" xfId="0" applyFont="1" applyBorder="1" applyAlignment="1">
      <alignment wrapText="1"/>
    </xf>
    <xf numFmtId="0" fontId="33" fillId="0" borderId="3" xfId="0" applyFont="1" applyBorder="1" applyAlignment="1">
      <alignment horizontal="left"/>
    </xf>
    <xf numFmtId="177" fontId="33" fillId="0" borderId="3" xfId="0" applyNumberFormat="1" applyFont="1" applyBorder="1"/>
    <xf numFmtId="177" fontId="14" fillId="0" borderId="3" xfId="0" applyNumberFormat="1" applyFont="1" applyBorder="1" applyAlignment="1">
      <alignment horizontal="right"/>
    </xf>
    <xf numFmtId="185" fontId="33" fillId="0" borderId="3" xfId="0" applyNumberFormat="1" applyFont="1" applyBorder="1"/>
    <xf numFmtId="0" fontId="33" fillId="0" borderId="22" xfId="0" applyFont="1" applyBorder="1"/>
    <xf numFmtId="177" fontId="33" fillId="0" borderId="12" xfId="0" applyNumberFormat="1" applyFont="1" applyBorder="1"/>
    <xf numFmtId="177" fontId="33" fillId="0" borderId="6" xfId="0" applyNumberFormat="1" applyFont="1" applyBorder="1"/>
    <xf numFmtId="177" fontId="33" fillId="0" borderId="3" xfId="0" applyNumberFormat="1" applyFont="1" applyBorder="1" applyAlignment="1">
      <alignment wrapText="1"/>
    </xf>
    <xf numFmtId="185" fontId="33" fillId="0" borderId="3" xfId="0" applyNumberFormat="1" applyFont="1" applyBorder="1" applyAlignment="1">
      <alignment horizontal="right"/>
    </xf>
    <xf numFmtId="185" fontId="19" fillId="0" borderId="0" xfId="0" applyNumberFormat="1" applyFont="1"/>
    <xf numFmtId="0" fontId="18" fillId="0" borderId="3" xfId="23" applyFont="1" applyBorder="1" applyAlignment="1">
      <alignment horizontal="center"/>
    </xf>
    <xf numFmtId="165" fontId="18" fillId="0" borderId="0" xfId="1" applyNumberFormat="1" applyFont="1" applyFill="1" applyAlignment="1">
      <alignment horizontal="right" vertical="center"/>
    </xf>
    <xf numFmtId="10" fontId="18" fillId="0" borderId="0" xfId="1" applyNumberFormat="1" applyFont="1" applyFill="1"/>
    <xf numFmtId="43" fontId="18" fillId="0" borderId="0" xfId="0" applyNumberFormat="1" applyFont="1" applyAlignment="1">
      <alignment horizontal="center" vertical="center"/>
    </xf>
    <xf numFmtId="0" fontId="16" fillId="0" borderId="37" xfId="4" applyFont="1" applyBorder="1" applyAlignment="1">
      <alignment horizontal="center" wrapText="1"/>
    </xf>
    <xf numFmtId="0" fontId="19" fillId="0" borderId="19" xfId="0" applyFont="1" applyBorder="1" applyAlignment="1">
      <alignment horizontal="right"/>
    </xf>
    <xf numFmtId="0" fontId="19" fillId="0" borderId="31" xfId="0" applyFont="1" applyBorder="1" applyAlignment="1">
      <alignment horizontal="right"/>
    </xf>
    <xf numFmtId="0" fontId="19" fillId="0" borderId="20" xfId="0" applyFont="1" applyBorder="1" applyAlignment="1">
      <alignment horizontal="right"/>
    </xf>
    <xf numFmtId="0" fontId="19" fillId="0" borderId="26" xfId="0" applyFont="1" applyBorder="1" applyAlignment="1">
      <alignment horizontal="right"/>
    </xf>
    <xf numFmtId="0" fontId="19" fillId="0" borderId="23" xfId="0" applyFont="1" applyBorder="1" applyAlignment="1">
      <alignment horizontal="right"/>
    </xf>
    <xf numFmtId="0" fontId="19" fillId="0" borderId="25" xfId="0" applyFont="1" applyBorder="1" applyAlignment="1">
      <alignment horizontal="right"/>
    </xf>
    <xf numFmtId="0" fontId="15" fillId="0" borderId="0" xfId="4" applyFont="1" applyAlignment="1">
      <alignment horizontal="center"/>
    </xf>
    <xf numFmtId="0" fontId="16" fillId="0" borderId="5" xfId="4" applyFont="1" applyBorder="1"/>
    <xf numFmtId="0" fontId="19" fillId="0" borderId="31" xfId="0" applyFont="1" applyBorder="1"/>
    <xf numFmtId="0" fontId="32" fillId="0" borderId="21" xfId="0" applyFont="1" applyBorder="1"/>
    <xf numFmtId="0" fontId="14" fillId="0" borderId="21" xfId="0" applyFont="1" applyBorder="1" applyAlignment="1">
      <alignment horizontal="center"/>
    </xf>
    <xf numFmtId="0" fontId="33" fillId="0" borderId="0" xfId="0" applyFont="1"/>
    <xf numFmtId="0" fontId="33" fillId="0" borderId="0" xfId="0" applyFont="1" applyAlignment="1">
      <alignment wrapText="1"/>
    </xf>
    <xf numFmtId="0" fontId="33" fillId="0" borderId="0" xfId="0" applyFont="1" applyAlignment="1">
      <alignment horizontal="left"/>
    </xf>
    <xf numFmtId="177" fontId="33" fillId="0" borderId="0" xfId="0" applyNumberFormat="1" applyFont="1"/>
    <xf numFmtId="177" fontId="14" fillId="0" borderId="0" xfId="0" applyNumberFormat="1" applyFont="1" applyAlignment="1">
      <alignment horizontal="right"/>
    </xf>
    <xf numFmtId="185" fontId="33" fillId="0" borderId="0" xfId="0" applyNumberFormat="1" applyFont="1"/>
    <xf numFmtId="43" fontId="14" fillId="0" borderId="0" xfId="3" applyFont="1" applyFill="1" applyAlignment="1">
      <alignment horizontal="center"/>
    </xf>
    <xf numFmtId="2" fontId="14" fillId="0" borderId="0" xfId="0" applyNumberFormat="1" applyFont="1" applyAlignment="1">
      <alignment horizontal="right"/>
    </xf>
    <xf numFmtId="177" fontId="33" fillId="0" borderId="0" xfId="0" applyNumberFormat="1" applyFont="1" applyAlignment="1">
      <alignment wrapText="1"/>
    </xf>
    <xf numFmtId="185" fontId="33" fillId="0" borderId="0" xfId="0" applyNumberFormat="1" applyFont="1" applyAlignment="1">
      <alignment horizontal="right"/>
    </xf>
    <xf numFmtId="177" fontId="19" fillId="0" borderId="0" xfId="0" applyNumberFormat="1" applyFont="1" applyAlignment="1">
      <alignment horizontal="center"/>
    </xf>
    <xf numFmtId="173" fontId="16" fillId="0" borderId="0" xfId="3" applyNumberFormat="1" applyFont="1" applyFill="1" applyAlignment="1">
      <alignment horizontal="center"/>
    </xf>
    <xf numFmtId="173" fontId="18" fillId="0" borderId="0" xfId="3" applyNumberFormat="1" applyFont="1" applyFill="1"/>
    <xf numFmtId="44" fontId="0" fillId="0" borderId="0" xfId="0" applyNumberFormat="1"/>
    <xf numFmtId="0" fontId="0" fillId="8" borderId="0" xfId="0" applyFill="1" applyAlignment="1">
      <alignment horizontal="right"/>
    </xf>
    <xf numFmtId="5" fontId="25" fillId="8" borderId="0" xfId="0" applyNumberFormat="1" applyFont="1" applyFill="1"/>
    <xf numFmtId="0" fontId="20" fillId="0" borderId="39" xfId="0" applyFont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15" fillId="0" borderId="38" xfId="4" applyFont="1" applyBorder="1" applyAlignment="1">
      <alignment horizontal="center"/>
    </xf>
    <xf numFmtId="0" fontId="15" fillId="0" borderId="39" xfId="4" applyFont="1" applyBorder="1" applyAlignment="1">
      <alignment horizontal="center"/>
    </xf>
    <xf numFmtId="0" fontId="15" fillId="0" borderId="40" xfId="4" applyFont="1" applyBorder="1" applyAlignment="1">
      <alignment horizontal="center"/>
    </xf>
    <xf numFmtId="0" fontId="15" fillId="0" borderId="34" xfId="4" applyFont="1" applyBorder="1" applyAlignment="1">
      <alignment horizontal="center"/>
    </xf>
    <xf numFmtId="0" fontId="15" fillId="0" borderId="35" xfId="4" applyFont="1" applyBorder="1" applyAlignment="1">
      <alignment horizontal="center"/>
    </xf>
    <xf numFmtId="0" fontId="15" fillId="0" borderId="36" xfId="4" applyFont="1" applyBorder="1" applyAlignment="1">
      <alignment horizontal="center"/>
    </xf>
    <xf numFmtId="0" fontId="16" fillId="0" borderId="41" xfId="4" applyFont="1" applyBorder="1" applyAlignment="1">
      <alignment horizontal="right"/>
    </xf>
    <xf numFmtId="0" fontId="16" fillId="0" borderId="3" xfId="4" applyFont="1" applyBorder="1" applyAlignment="1">
      <alignment horizontal="right"/>
    </xf>
    <xf numFmtId="0" fontId="16" fillId="0" borderId="11" xfId="4" applyFont="1" applyBorder="1" applyAlignment="1">
      <alignment horizontal="center"/>
    </xf>
    <xf numFmtId="0" fontId="16" fillId="0" borderId="6" xfId="4" applyFont="1" applyBorder="1" applyAlignment="1">
      <alignment horizontal="center"/>
    </xf>
    <xf numFmtId="0" fontId="16" fillId="0" borderId="42" xfId="4" applyFont="1" applyBorder="1" applyAlignment="1">
      <alignment horizontal="right"/>
    </xf>
    <xf numFmtId="0" fontId="16" fillId="0" borderId="31" xfId="4" applyFont="1" applyBorder="1" applyAlignment="1">
      <alignment horizontal="right"/>
    </xf>
    <xf numFmtId="0" fontId="0" fillId="0" borderId="2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left" wrapText="1"/>
    </xf>
    <xf numFmtId="0" fontId="0" fillId="0" borderId="12" xfId="0" applyBorder="1" applyAlignment="1">
      <alignment horizontal="center" wrapText="1"/>
    </xf>
    <xf numFmtId="0" fontId="15" fillId="0" borderId="0" xfId="4" applyFont="1" applyAlignment="1">
      <alignment horizontal="center"/>
    </xf>
    <xf numFmtId="0" fontId="14" fillId="0" borderId="5" xfId="0" applyFont="1" applyBorder="1" applyAlignment="1">
      <alignment horizontal="center" wrapText="1"/>
    </xf>
    <xf numFmtId="0" fontId="18" fillId="0" borderId="0" xfId="0" applyFont="1" applyAlignment="1">
      <alignment vertical="center"/>
    </xf>
    <xf numFmtId="0" fontId="14" fillId="0" borderId="27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2" fillId="0" borderId="20" xfId="0" applyFont="1" applyBorder="1" applyAlignment="1">
      <alignment horizontal="center"/>
    </xf>
    <xf numFmtId="0" fontId="19" fillId="0" borderId="43" xfId="0" applyFont="1" applyBorder="1" applyAlignment="1">
      <alignment horizontal="center"/>
    </xf>
    <xf numFmtId="0" fontId="19" fillId="0" borderId="44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9" fillId="0" borderId="0" xfId="0" applyFont="1" applyAlignment="1">
      <alignment horizontal="center"/>
    </xf>
    <xf numFmtId="14" fontId="19" fillId="0" borderId="0" xfId="9" quotePrefix="1" applyNumberFormat="1" applyFont="1" applyFill="1" applyBorder="1" applyAlignment="1">
      <alignment horizontal="center"/>
    </xf>
    <xf numFmtId="14" fontId="19" fillId="0" borderId="0" xfId="9" applyNumberFormat="1" applyFont="1" applyFill="1" applyBorder="1" applyAlignment="1">
      <alignment horizontal="center"/>
    </xf>
    <xf numFmtId="17" fontId="19" fillId="0" borderId="0" xfId="9" applyNumberFormat="1" applyFont="1" applyFill="1" applyBorder="1" applyAlignment="1">
      <alignment horizontal="center"/>
    </xf>
    <xf numFmtId="17" fontId="19" fillId="0" borderId="0" xfId="9" quotePrefix="1" applyNumberFormat="1" applyFont="1" applyFill="1" applyBorder="1" applyAlignment="1">
      <alignment horizontal="center"/>
    </xf>
    <xf numFmtId="14" fontId="19" fillId="0" borderId="0" xfId="9" quotePrefix="1" applyNumberFormat="1" applyFont="1" applyBorder="1" applyAlignment="1">
      <alignment horizontal="center"/>
    </xf>
    <xf numFmtId="14" fontId="19" fillId="0" borderId="0" xfId="9" applyNumberFormat="1" applyFont="1" applyBorder="1" applyAlignment="1">
      <alignment horizontal="center"/>
    </xf>
    <xf numFmtId="17" fontId="19" fillId="0" borderId="0" xfId="9" applyNumberFormat="1" applyFont="1" applyBorder="1" applyAlignment="1">
      <alignment horizontal="center"/>
    </xf>
    <xf numFmtId="17" fontId="19" fillId="0" borderId="0" xfId="9" quotePrefix="1" applyNumberFormat="1" applyFont="1" applyBorder="1" applyAlignment="1">
      <alignment horizontal="center"/>
    </xf>
    <xf numFmtId="0" fontId="15" fillId="0" borderId="0" xfId="4" applyFont="1" applyAlignment="1">
      <alignment horizontal="right"/>
    </xf>
    <xf numFmtId="0" fontId="29" fillId="0" borderId="5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22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19" fillId="0" borderId="0" xfId="0" applyFont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31" fillId="0" borderId="0" xfId="0" applyFont="1" applyAlignment="1">
      <alignment horizontal="center" wrapText="1"/>
    </xf>
    <xf numFmtId="0" fontId="32" fillId="0" borderId="21" xfId="0" applyFont="1" applyBorder="1" applyAlignment="1">
      <alignment horizontal="center"/>
    </xf>
    <xf numFmtId="0" fontId="19" fillId="0" borderId="21" xfId="0" applyFont="1" applyBorder="1" applyAlignment="1">
      <alignment horizontal="center"/>
    </xf>
  </cellXfs>
  <cellStyles count="69">
    <cellStyle name="_x0010_“+ˆÉ•?pý¤" xfId="45" xr:uid="{00000000-0005-0000-0000-00002F000000}"/>
    <cellStyle name="Actual Date" xfId="5" xr:uid="{00000000-0005-0000-0000-000007000000}"/>
    <cellStyle name="Actual Date 2" xfId="46" xr:uid="{00000000-0005-0000-0000-000030000000}"/>
    <cellStyle name="Actual Date 2 2" xfId="61" xr:uid="{00000000-0005-0000-0000-00003F000000}"/>
    <cellStyle name="Comma" xfId="3" builtinId="3"/>
    <cellStyle name="Comma [0] 2" xfId="55" xr:uid="{00000000-0005-0000-0000-000039000000}"/>
    <cellStyle name="Comma 2" xfId="6" xr:uid="{00000000-0005-0000-0000-000008000000}"/>
    <cellStyle name="Comma 3" xfId="54" xr:uid="{00000000-0005-0000-0000-000038000000}"/>
    <cellStyle name="Comma 31 2" xfId="40" xr:uid="{00000000-0005-0000-0000-00002A000000}"/>
    <cellStyle name="Comma 4" xfId="68" xr:uid="{00000000-0005-0000-0000-000046000000}"/>
    <cellStyle name="Comma0" xfId="7" xr:uid="{00000000-0005-0000-0000-000009000000}"/>
    <cellStyle name="Currency" xfId="2" builtinId="4"/>
    <cellStyle name="Currency [0] 2" xfId="53" xr:uid="{00000000-0005-0000-0000-000037000000}"/>
    <cellStyle name="Currency 2" xfId="9" xr:uid="{00000000-0005-0000-0000-00000B000000}"/>
    <cellStyle name="Currency 3" xfId="8" xr:uid="{00000000-0005-0000-0000-00000A000000}"/>
    <cellStyle name="Currency 4" xfId="52" xr:uid="{00000000-0005-0000-0000-000036000000}"/>
    <cellStyle name="Currency0" xfId="10" xr:uid="{00000000-0005-0000-0000-00000C000000}"/>
    <cellStyle name="Date" xfId="11" xr:uid="{00000000-0005-0000-0000-00000D000000}"/>
    <cellStyle name="Date 2" xfId="47" xr:uid="{00000000-0005-0000-0000-000031000000}"/>
    <cellStyle name="Fixed" xfId="12" xr:uid="{00000000-0005-0000-0000-00000E000000}"/>
    <cellStyle name="Fixed 2" xfId="48" xr:uid="{00000000-0005-0000-0000-000032000000}"/>
    <cellStyle name="Grey" xfId="13" xr:uid="{00000000-0005-0000-0000-00000F000000}"/>
    <cellStyle name="Grey 2" xfId="56" xr:uid="{00000000-0005-0000-0000-00003A000000}"/>
    <cellStyle name="HEADER" xfId="14" xr:uid="{00000000-0005-0000-0000-000010000000}"/>
    <cellStyle name="Heading 1 2" xfId="15" xr:uid="{00000000-0005-0000-0000-000011000000}"/>
    <cellStyle name="Heading 2 2" xfId="16" xr:uid="{00000000-0005-0000-0000-000012000000}"/>
    <cellStyle name="Heading1" xfId="17" xr:uid="{00000000-0005-0000-0000-000013000000}"/>
    <cellStyle name="Heading2" xfId="18" xr:uid="{00000000-0005-0000-0000-000014000000}"/>
    <cellStyle name="HIGHLIGHT" xfId="19" xr:uid="{00000000-0005-0000-0000-000015000000}"/>
    <cellStyle name="Hyperlink 3" xfId="65" xr:uid="{00000000-0005-0000-0000-000043000000}"/>
    <cellStyle name="Input [yellow]" xfId="20" xr:uid="{00000000-0005-0000-0000-000016000000}"/>
    <cellStyle name="Input [yellow] 2" xfId="57" xr:uid="{00000000-0005-0000-0000-00003B000000}"/>
    <cellStyle name="no dec" xfId="21" xr:uid="{00000000-0005-0000-0000-000017000000}"/>
    <cellStyle name="Normal" xfId="0" builtinId="0"/>
    <cellStyle name="Normal - Style1" xfId="22" xr:uid="{00000000-0005-0000-0000-000018000000}"/>
    <cellStyle name="Normal - Style1 2" xfId="58" xr:uid="{00000000-0005-0000-0000-00003C000000}"/>
    <cellStyle name="Normal 10" xfId="39" xr:uid="{00000000-0005-0000-0000-000029000000}"/>
    <cellStyle name="Normal 19" xfId="41" xr:uid="{00000000-0005-0000-0000-00002B000000}"/>
    <cellStyle name="Normal 2" xfId="4" xr:uid="{00000000-0005-0000-0000-000006000000}"/>
    <cellStyle name="Normal 2 10 10" xfId="50" xr:uid="{00000000-0005-0000-0000-000034000000}"/>
    <cellStyle name="Normal 2 2" xfId="23" xr:uid="{00000000-0005-0000-0000-000019000000}"/>
    <cellStyle name="Normal 2 2 2" xfId="64" xr:uid="{00000000-0005-0000-0000-000042000000}"/>
    <cellStyle name="Normal 2 2 3" xfId="43" xr:uid="{00000000-0005-0000-0000-00002D000000}"/>
    <cellStyle name="Normal 2 3" xfId="42" xr:uid="{00000000-0005-0000-0000-00002C000000}"/>
    <cellStyle name="Normal 2 4" xfId="63" xr:uid="{00000000-0005-0000-0000-000041000000}"/>
    <cellStyle name="Normal 208 5 8" xfId="66" xr:uid="{00000000-0005-0000-0000-000044000000}"/>
    <cellStyle name="Normal 3" xfId="24" xr:uid="{00000000-0005-0000-0000-00001A000000}"/>
    <cellStyle name="Normal 3 2" xfId="34" xr:uid="{00000000-0005-0000-0000-000024000000}"/>
    <cellStyle name="Normal 4" xfId="44" xr:uid="{00000000-0005-0000-0000-00002E000000}"/>
    <cellStyle name="Normal 4 2" xfId="60" xr:uid="{00000000-0005-0000-0000-00003E000000}"/>
    <cellStyle name="Normal 5" xfId="49" xr:uid="{00000000-0005-0000-0000-000033000000}"/>
    <cellStyle name="Normal 5 2" xfId="62" xr:uid="{00000000-0005-0000-0000-000040000000}"/>
    <cellStyle name="Normal 6" xfId="67" xr:uid="{00000000-0005-0000-0000-000045000000}"/>
    <cellStyle name="Normal 9" xfId="35" xr:uid="{00000000-0005-0000-0000-000025000000}"/>
    <cellStyle name="Normal_Effective Rates (1-6-2003)" xfId="37" xr:uid="{00000000-0005-0000-0000-000027000000}"/>
    <cellStyle name="Normal_SDGE Tiered ratesmud" xfId="38" xr:uid="{00000000-0005-0000-0000-000028000000}"/>
    <cellStyle name="Percent" xfId="1" builtinId="5"/>
    <cellStyle name="Percent [2]" xfId="26" xr:uid="{00000000-0005-0000-0000-00001C000000}"/>
    <cellStyle name="Percent 2" xfId="27" xr:uid="{00000000-0005-0000-0000-00001D000000}"/>
    <cellStyle name="Percent 3" xfId="28" xr:uid="{00000000-0005-0000-0000-00001E000000}"/>
    <cellStyle name="Percent 4" xfId="36" xr:uid="{00000000-0005-0000-0000-000026000000}"/>
    <cellStyle name="Percent 5" xfId="25" xr:uid="{00000000-0005-0000-0000-00001B000000}"/>
    <cellStyle name="Percent 6" xfId="51" xr:uid="{00000000-0005-0000-0000-000035000000}"/>
    <cellStyle name="Total 2" xfId="29" xr:uid="{00000000-0005-0000-0000-00001F000000}"/>
    <cellStyle name="Unprot" xfId="30" xr:uid="{00000000-0005-0000-0000-000020000000}"/>
    <cellStyle name="Unprot 2" xfId="59" xr:uid="{00000000-0005-0000-0000-00003D000000}"/>
    <cellStyle name="Unprot$" xfId="31" xr:uid="{00000000-0005-0000-0000-000021000000}"/>
    <cellStyle name="Unprot_07-2008 CSI Update v1.5 - FINAL" xfId="32" xr:uid="{00000000-0005-0000-0000-000022000000}"/>
    <cellStyle name="Unprotect" xfId="33" xr:uid="{00000000-0005-0000-0000-00002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E927C-6C67-4D5A-BD4B-E2EEB45C4338}">
  <dimension ref="C1:K8"/>
  <sheetViews>
    <sheetView workbookViewId="0">
      <selection activeCell="D13" sqref="D13"/>
    </sheetView>
  </sheetViews>
  <sheetFormatPr defaultRowHeight="15"/>
  <cols>
    <col min="2" max="2" width="7.140625" customWidth="1"/>
    <col min="3" max="3" width="16.140625" bestFit="1" customWidth="1"/>
    <col min="5" max="5" width="12.5703125" customWidth="1"/>
    <col min="7" max="7" width="16.140625" bestFit="1" customWidth="1"/>
  </cols>
  <sheetData>
    <row r="1" spans="3:11" ht="15.75" thickBot="1"/>
    <row r="2" spans="3:11">
      <c r="C2" s="14" t="s">
        <v>426</v>
      </c>
      <c r="D2" s="13"/>
      <c r="E2" s="12"/>
      <c r="G2" s="14" t="s">
        <v>427</v>
      </c>
      <c r="H2" s="13"/>
      <c r="I2" s="13"/>
      <c r="J2" s="13"/>
      <c r="K2" s="12"/>
    </row>
    <row r="3" spans="3:11" ht="75">
      <c r="C3" s="194"/>
      <c r="D3" s="208" t="s">
        <v>402</v>
      </c>
      <c r="E3" s="209" t="s">
        <v>428</v>
      </c>
      <c r="F3" s="186"/>
      <c r="G3" s="210"/>
      <c r="H3" s="208" t="s">
        <v>50</v>
      </c>
      <c r="I3" s="211" t="s">
        <v>429</v>
      </c>
      <c r="J3" s="208" t="s">
        <v>51</v>
      </c>
      <c r="K3" s="209" t="s">
        <v>429</v>
      </c>
    </row>
    <row r="4" spans="3:11">
      <c r="C4" s="195" t="s">
        <v>430</v>
      </c>
      <c r="D4" s="196">
        <f>Summary!E33</f>
        <v>35.006396929788679</v>
      </c>
      <c r="E4" s="197"/>
      <c r="G4" s="195" t="s">
        <v>430</v>
      </c>
      <c r="H4" s="198">
        <f>Summary!E82</f>
        <v>206.01237593859284</v>
      </c>
      <c r="I4" s="199"/>
      <c r="J4" s="198">
        <f>Summary!E83</f>
        <v>130.72270154137075</v>
      </c>
      <c r="K4" s="197"/>
    </row>
    <row r="5" spans="3:11">
      <c r="C5" s="194">
        <v>2023</v>
      </c>
      <c r="D5" s="192">
        <f>'Selected Data'!R38</f>
        <v>35.523880619336104</v>
      </c>
      <c r="E5" s="200">
        <f>(D5-$D$4)/$D$4</f>
        <v>1.4782546475300725E-2</v>
      </c>
      <c r="G5" s="195">
        <v>2023</v>
      </c>
      <c r="H5" s="193">
        <f>'Selected Data'!S44</f>
        <v>210.26248988570251</v>
      </c>
      <c r="I5" s="201">
        <f>(H5-H$4)/H$4</f>
        <v>2.0630381683363144E-2</v>
      </c>
      <c r="J5" s="193">
        <f>'Selected Data'!T44</f>
        <v>133.48592786610249</v>
      </c>
      <c r="K5" s="200">
        <f>(J5-J$4)/J$4</f>
        <v>2.1138075423397171E-2</v>
      </c>
    </row>
    <row r="6" spans="3:11">
      <c r="C6" s="194">
        <v>2024</v>
      </c>
      <c r="D6" s="192">
        <f>'Selected Data'!R39</f>
        <v>32.177348337686077</v>
      </c>
      <c r="E6" s="200">
        <f>(D6-$D$4)/$D$4</f>
        <v>-8.0815189228892734E-2</v>
      </c>
      <c r="G6" s="195">
        <v>2024</v>
      </c>
      <c r="H6" s="193">
        <f>'Selected Data'!S45</f>
        <v>194.10187221809471</v>
      </c>
      <c r="I6" s="201">
        <f>(H6-H$4)/H$4</f>
        <v>-5.7814505882153179E-2</v>
      </c>
      <c r="J6" s="193">
        <f>'Selected Data'!T45</f>
        <v>122.9790462345107</v>
      </c>
      <c r="K6" s="200">
        <f>(J6-J$4)/J$4</f>
        <v>-5.9237264955156688E-2</v>
      </c>
    </row>
    <row r="7" spans="3:11">
      <c r="C7" s="194">
        <v>2025</v>
      </c>
      <c r="D7" s="192">
        <f>'Selected Data'!R40</f>
        <v>36.253938913402564</v>
      </c>
      <c r="E7" s="200">
        <f>(D7-$D$4)/$D$4</f>
        <v>3.5637543221487329E-2</v>
      </c>
      <c r="G7" s="195">
        <v>2025</v>
      </c>
      <c r="H7" s="193">
        <f>'Selected Data'!S46</f>
        <v>213.64872685945355</v>
      </c>
      <c r="I7" s="201">
        <f>(H7-H$4)/H$4</f>
        <v>3.706743775013261E-2</v>
      </c>
      <c r="J7" s="193">
        <f>'Selected Data'!T46</f>
        <v>135.68750158014657</v>
      </c>
      <c r="K7" s="200">
        <f>(J7-J$4)/J$4</f>
        <v>3.7979631542456871E-2</v>
      </c>
    </row>
    <row r="8" spans="3:11" ht="15.75" thickBot="1">
      <c r="C8" s="202">
        <v>2026</v>
      </c>
      <c r="D8" s="203">
        <f>'Selected Data'!R41</f>
        <v>34.361641902319036</v>
      </c>
      <c r="E8" s="204">
        <f>(D8-$D$4)/$D$4</f>
        <v>-1.841820592855669E-2</v>
      </c>
      <c r="G8" s="205">
        <v>2026</v>
      </c>
      <c r="H8" s="206">
        <f>'Selected Data'!S47</f>
        <v>202.73516322458465</v>
      </c>
      <c r="I8" s="207">
        <f>(H8-H$4)/H$4</f>
        <v>-1.5907843881112473E-2</v>
      </c>
      <c r="J8" s="206">
        <f>'Selected Data'!T47</f>
        <v>128.59201032796193</v>
      </c>
      <c r="K8" s="204">
        <f>(J8-J$4)/J$4</f>
        <v>-1.6299320533354405E-2</v>
      </c>
    </row>
  </sheetData>
  <mergeCells count="2">
    <mergeCell ref="C2:E2"/>
    <mergeCell ref="G2:K2"/>
  </mergeCells>
  <pageMargins left="0.7" right="0.7" top="0.75" bottom="0.75" header="0.3" footer="0.3"/>
  <pageSetup orientation="portrait" r:id="rId1"/>
  <headerFooter>
    <oddFooter xml:space="preserve">&amp;C_x000D_&amp;1#&amp;"Calibri"&amp;12&amp;K000000 Public </oddFooter>
  </headerFooter>
  <ignoredErrors>
    <ignoredError sqref="J5:J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12B33-5BCC-4468-B1F3-3C3E9F9FCE77}">
  <sheetPr>
    <tabColor rgb="FFFFFF00"/>
  </sheetPr>
  <dimension ref="A1:AD41"/>
  <sheetViews>
    <sheetView zoomScale="50" zoomScaleNormal="50" workbookViewId="0">
      <selection activeCell="Z34" sqref="Z34"/>
    </sheetView>
  </sheetViews>
  <sheetFormatPr defaultColWidth="8.85546875" defaultRowHeight="15"/>
  <cols>
    <col min="1" max="1" width="7.42578125" style="61" customWidth="1"/>
    <col min="2" max="2" width="14.42578125" style="61" customWidth="1"/>
    <col min="3" max="4" width="13" style="61" customWidth="1"/>
    <col min="5" max="5" width="18" style="61" bestFit="1" customWidth="1"/>
    <col min="6" max="6" width="13.5703125" style="61" customWidth="1"/>
    <col min="7" max="7" width="16.28515625" style="61" customWidth="1"/>
    <col min="8" max="8" width="14.140625" style="61" customWidth="1"/>
    <col min="9" max="9" width="15" style="61" customWidth="1"/>
    <col min="10" max="10" width="14" style="61" customWidth="1"/>
    <col min="11" max="11" width="15" style="61" bestFit="1" customWidth="1"/>
    <col min="12" max="12" width="13" style="61" customWidth="1"/>
    <col min="13" max="14" width="14.140625" style="61" customWidth="1"/>
    <col min="15" max="15" width="14.5703125" style="61" customWidth="1"/>
    <col min="16" max="16" width="14.28515625" style="61" customWidth="1"/>
    <col min="17" max="17" width="9.140625" style="61" customWidth="1"/>
    <col min="18" max="18" width="11.140625" style="61" bestFit="1" customWidth="1"/>
    <col min="19" max="19" width="10.140625" style="61" bestFit="1" customWidth="1"/>
    <col min="20" max="20" width="11.140625" style="61" bestFit="1" customWidth="1"/>
    <col min="21" max="21" width="10.140625" style="61" bestFit="1" customWidth="1"/>
    <col min="22" max="22" width="14.140625" style="61" bestFit="1" customWidth="1"/>
    <col min="23" max="23" width="14" style="61" customWidth="1"/>
    <col min="24" max="24" width="9.42578125" style="61" customWidth="1"/>
    <col min="25" max="28" width="15.7109375" style="61" bestFit="1" customWidth="1"/>
    <col min="29" max="29" width="12.28515625" style="61" customWidth="1"/>
    <col min="30" max="30" width="18.28515625" style="61" customWidth="1"/>
    <col min="31" max="32" width="8.85546875" style="61"/>
    <col min="33" max="33" width="28.5703125" style="61" customWidth="1"/>
    <col min="34" max="16384" width="8.85546875" style="61"/>
  </cols>
  <sheetData>
    <row r="1" spans="1:25">
      <c r="A1" s="50"/>
      <c r="B1" s="50"/>
      <c r="C1" s="50"/>
      <c r="D1" s="50"/>
      <c r="E1" s="50"/>
      <c r="F1" s="50"/>
      <c r="G1" s="50"/>
      <c r="H1" s="50"/>
      <c r="I1" s="50"/>
    </row>
    <row r="2" spans="1:25">
      <c r="A2" s="36"/>
      <c r="B2" s="453"/>
      <c r="C2" s="453"/>
      <c r="D2" s="453"/>
      <c r="F2" s="36"/>
    </row>
    <row r="3" spans="1:25">
      <c r="E3" s="454" t="s">
        <v>455</v>
      </c>
      <c r="F3" s="454"/>
      <c r="G3" s="454"/>
      <c r="H3" s="454"/>
      <c r="I3" s="454"/>
      <c r="J3" s="454"/>
      <c r="K3" s="454"/>
      <c r="M3" s="85"/>
      <c r="N3" s="85"/>
      <c r="O3" s="85"/>
      <c r="P3" s="220"/>
      <c r="Q3" s="220"/>
      <c r="R3" s="220"/>
      <c r="S3" s="220"/>
      <c r="T3" s="220"/>
      <c r="U3" s="220"/>
      <c r="V3" s="220"/>
    </row>
    <row r="4" spans="1:25" ht="15.75" customHeight="1">
      <c r="D4" s="18"/>
      <c r="E4" s="128">
        <f>Summary!D3</f>
        <v>2024</v>
      </c>
      <c r="F4" s="123">
        <f>Summary!L3</f>
        <v>45536</v>
      </c>
      <c r="G4" s="124">
        <f>Summary!L3</f>
        <v>45536</v>
      </c>
      <c r="H4" s="32" t="s">
        <v>22</v>
      </c>
      <c r="I4" s="32" t="s">
        <v>22</v>
      </c>
      <c r="J4" s="32" t="s">
        <v>22</v>
      </c>
      <c r="K4" s="32" t="s">
        <v>22</v>
      </c>
      <c r="L4" s="83"/>
      <c r="O4" s="18"/>
      <c r="P4" s="128"/>
      <c r="Q4" s="123"/>
      <c r="R4" s="124"/>
      <c r="S4" s="32"/>
      <c r="T4" s="32"/>
      <c r="U4" s="32"/>
      <c r="V4" s="32"/>
    </row>
    <row r="5" spans="1:25" ht="30.6" customHeight="1">
      <c r="D5" s="18"/>
      <c r="E5" s="32" t="s">
        <v>42</v>
      </c>
      <c r="F5" s="32" t="s">
        <v>27</v>
      </c>
      <c r="G5" s="32" t="s">
        <v>43</v>
      </c>
      <c r="H5" s="32" t="s">
        <v>174</v>
      </c>
      <c r="I5" s="32" t="s">
        <v>175</v>
      </c>
      <c r="J5" s="32" t="s">
        <v>176</v>
      </c>
      <c r="K5" s="32" t="s">
        <v>177</v>
      </c>
      <c r="L5" s="19"/>
      <c r="M5" s="94"/>
      <c r="N5" s="94"/>
      <c r="O5" s="19"/>
      <c r="P5" s="32"/>
      <c r="Q5" s="32"/>
      <c r="R5" s="32"/>
      <c r="S5" s="32"/>
      <c r="T5" s="32"/>
      <c r="U5" s="32"/>
      <c r="V5" s="32"/>
    </row>
    <row r="6" spans="1:25" ht="42" customHeight="1">
      <c r="B6" s="25"/>
      <c r="D6" s="25"/>
      <c r="E6" s="18"/>
      <c r="F6" s="18"/>
      <c r="G6" s="18"/>
      <c r="J6" s="83"/>
      <c r="K6" s="83"/>
      <c r="L6" s="83"/>
      <c r="O6" s="25"/>
      <c r="P6" s="18"/>
      <c r="Q6" s="18"/>
      <c r="R6" s="18"/>
      <c r="U6" s="83"/>
      <c r="V6" s="83"/>
    </row>
    <row r="7" spans="1:25" ht="15.75">
      <c r="D7" s="254" t="s">
        <v>440</v>
      </c>
      <c r="E7" s="133">
        <f>HLOOKUP($E$4,$Y$33:$AB$41,2,FALSE)</f>
        <v>226712.61674835999</v>
      </c>
      <c r="F7" s="27">
        <v>0.48257</v>
      </c>
      <c r="G7" s="255">
        <f t="shared" ref="G7:G12" si="0">F7*E7</f>
        <v>109404.70746425608</v>
      </c>
      <c r="H7" s="33">
        <f t="shared" ref="H7:H12" si="1">F7+(I$15-SUM($G$7:$G$14))/SUM($E$7:$E$12)</f>
        <v>0.48253463172459571</v>
      </c>
      <c r="I7" s="255">
        <f t="shared" ref="I7:I12" si="2">H7*E7</f>
        <v>109396.6890299893</v>
      </c>
      <c r="J7" s="33">
        <f t="shared" ref="J7:J12" si="3">F7+(K$15-SUM($G$7:$G$14))/SUM($E$7:$E$12)</f>
        <v>0.49404607814536894</v>
      </c>
      <c r="K7" s="255">
        <f t="shared" ref="K7:K12" si="4">J7*E7</f>
        <v>112006.47917060133</v>
      </c>
      <c r="L7" s="256"/>
      <c r="O7" s="26"/>
      <c r="P7" s="219"/>
      <c r="Q7" s="27"/>
      <c r="R7" s="218"/>
      <c r="S7" s="33"/>
      <c r="T7" s="218"/>
      <c r="U7" s="33"/>
      <c r="V7" s="218"/>
      <c r="W7" s="63"/>
    </row>
    <row r="8" spans="1:25" ht="15.75">
      <c r="D8" s="30" t="s">
        <v>438</v>
      </c>
      <c r="E8" s="133">
        <f>HLOOKUP($E$4,$Y$33:$AB$41,3,FALSE)</f>
        <v>162948.698059135</v>
      </c>
      <c r="F8" s="27">
        <v>0.43334</v>
      </c>
      <c r="G8" s="255">
        <f t="shared" si="0"/>
        <v>70612.188816945563</v>
      </c>
      <c r="H8" s="33">
        <f t="shared" si="1"/>
        <v>0.43330463172459571</v>
      </c>
      <c r="I8" s="255">
        <f t="shared" si="2"/>
        <v>70606.425602515839</v>
      </c>
      <c r="J8" s="33">
        <f t="shared" si="3"/>
        <v>0.44481607814536894</v>
      </c>
      <c r="K8" s="255">
        <f t="shared" si="4"/>
        <v>72482.20080955833</v>
      </c>
      <c r="L8" s="256"/>
      <c r="O8" s="30"/>
      <c r="P8" s="219"/>
      <c r="Q8" s="27"/>
      <c r="R8" s="218"/>
      <c r="S8" s="33"/>
      <c r="T8" s="218"/>
      <c r="U8" s="33"/>
      <c r="V8" s="218"/>
      <c r="W8" s="63"/>
      <c r="Y8" s="38"/>
    </row>
    <row r="9" spans="1:25" ht="15.75">
      <c r="D9" s="254" t="s">
        <v>437</v>
      </c>
      <c r="E9" s="133">
        <f>HLOOKUP($E$4,$Y$33:$AB$41,4,FALSE)</f>
        <v>522831.37509535201</v>
      </c>
      <c r="F9" s="27">
        <v>0.41253000000000001</v>
      </c>
      <c r="G9" s="255">
        <f t="shared" si="0"/>
        <v>215683.62716808557</v>
      </c>
      <c r="H9" s="33">
        <f t="shared" si="1"/>
        <v>0.41249463172459572</v>
      </c>
      <c r="I9" s="255">
        <f t="shared" si="2"/>
        <v>215665.1355240212</v>
      </c>
      <c r="J9" s="33">
        <f t="shared" si="3"/>
        <v>0.42400607814536895</v>
      </c>
      <c r="K9" s="255">
        <f t="shared" si="4"/>
        <v>221683.68088553051</v>
      </c>
      <c r="L9" s="256"/>
      <c r="O9" s="26"/>
      <c r="P9" s="219"/>
      <c r="Q9" s="27"/>
      <c r="R9" s="218"/>
      <c r="S9" s="33"/>
      <c r="T9" s="218"/>
      <c r="U9" s="33"/>
      <c r="V9" s="218"/>
      <c r="W9" s="63"/>
      <c r="Y9" s="38"/>
    </row>
    <row r="10" spans="1:25" ht="15.75">
      <c r="D10" s="30" t="s">
        <v>436</v>
      </c>
      <c r="E10" s="133">
        <f>HLOOKUP($E$4,$Y$33:$AB$41,5,FALSE)</f>
        <v>322300.89314751595</v>
      </c>
      <c r="F10" s="27">
        <v>0.40714999999999996</v>
      </c>
      <c r="G10" s="255">
        <f t="shared" si="0"/>
        <v>131224.8086450111</v>
      </c>
      <c r="H10" s="33">
        <f t="shared" si="1"/>
        <v>0.40711463172459567</v>
      </c>
      <c r="I10" s="255">
        <f t="shared" si="2"/>
        <v>131213.40941825922</v>
      </c>
      <c r="J10" s="33">
        <f t="shared" si="3"/>
        <v>0.4186260781453689</v>
      </c>
      <c r="K10" s="255">
        <f t="shared" si="4"/>
        <v>134923.55888109421</v>
      </c>
      <c r="L10" s="256"/>
      <c r="O10" s="30"/>
      <c r="P10" s="219"/>
      <c r="Q10" s="27"/>
      <c r="R10" s="218"/>
      <c r="S10" s="33"/>
      <c r="T10" s="218"/>
      <c r="U10" s="33"/>
      <c r="V10" s="218"/>
      <c r="W10" s="63"/>
      <c r="Y10" s="38"/>
    </row>
    <row r="11" spans="1:25" ht="15.75">
      <c r="D11" s="254" t="s">
        <v>435</v>
      </c>
      <c r="E11" s="133">
        <f>HLOOKUP($E$4,$Y$33:$AB$41,6,FALSE)</f>
        <v>957339.48353919166</v>
      </c>
      <c r="F11" s="27">
        <v>0.39102999999999999</v>
      </c>
      <c r="G11" s="255">
        <f t="shared" si="0"/>
        <v>374348.45824833011</v>
      </c>
      <c r="H11" s="33">
        <f t="shared" si="1"/>
        <v>0.3909946317245957</v>
      </c>
      <c r="I11" s="255">
        <f t="shared" si="2"/>
        <v>374314.59880182089</v>
      </c>
      <c r="J11" s="33">
        <f t="shared" si="3"/>
        <v>0.40250607814536893</v>
      </c>
      <c r="K11" s="255">
        <f t="shared" si="4"/>
        <v>385334.96097307303</v>
      </c>
      <c r="L11" s="256"/>
      <c r="O11" s="26"/>
      <c r="P11" s="219"/>
      <c r="Q11" s="27"/>
      <c r="R11" s="218"/>
      <c r="S11" s="33"/>
      <c r="T11" s="218"/>
      <c r="U11" s="33"/>
      <c r="V11" s="218"/>
      <c r="W11" s="29"/>
      <c r="Y11" s="38"/>
    </row>
    <row r="12" spans="1:25" ht="15.75">
      <c r="D12" s="254" t="s">
        <v>450</v>
      </c>
      <c r="E12" s="133">
        <f>HLOOKUP($E$4,$Y$33:$AB$41,7,FALSE)</f>
        <v>135593.18471407695</v>
      </c>
      <c r="F12" s="27">
        <v>0.37461</v>
      </c>
      <c r="G12" s="255">
        <f t="shared" si="0"/>
        <v>50794.562925740371</v>
      </c>
      <c r="H12" s="33">
        <f t="shared" si="1"/>
        <v>0.37457463172459571</v>
      </c>
      <c r="I12" s="255">
        <f t="shared" si="2"/>
        <v>50789.767228640456</v>
      </c>
      <c r="J12" s="33">
        <f t="shared" si="3"/>
        <v>0.38608607814536894</v>
      </c>
      <c r="K12" s="255">
        <f t="shared" si="4"/>
        <v>52350.640909498557</v>
      </c>
      <c r="L12" s="256"/>
      <c r="O12" s="30"/>
      <c r="P12" s="219"/>
      <c r="Q12" s="27"/>
      <c r="R12" s="218"/>
      <c r="S12" s="33"/>
      <c r="T12" s="218"/>
      <c r="U12" s="33"/>
      <c r="V12" s="218"/>
      <c r="W12" s="29"/>
      <c r="Y12" s="38"/>
    </row>
    <row r="13" spans="1:25" ht="15.75">
      <c r="L13" s="29"/>
      <c r="O13" s="30"/>
      <c r="P13" s="28"/>
      <c r="Q13" s="27"/>
      <c r="R13" s="255"/>
      <c r="S13" s="142"/>
      <c r="T13" s="31"/>
      <c r="U13" s="18"/>
      <c r="V13" s="31"/>
      <c r="X13" s="38"/>
      <c r="Y13" s="38"/>
    </row>
    <row r="14" spans="1:25" ht="15.75">
      <c r="D14" s="30" t="s">
        <v>452</v>
      </c>
      <c r="E14" s="133">
        <f>HLOOKUP($E$4,$Y$33:$AB$41,9,FALSE)</f>
        <v>1033.6407824200001</v>
      </c>
      <c r="F14" s="27">
        <v>0.32854</v>
      </c>
      <c r="G14" s="255">
        <f>F14*E14*365/12</f>
        <v>10329.267089128114</v>
      </c>
      <c r="H14" s="27">
        <f>F14</f>
        <v>0.32854</v>
      </c>
      <c r="I14" s="255">
        <f>H14*E14*365/12</f>
        <v>10329.267089128114</v>
      </c>
      <c r="J14" s="27">
        <f>H14</f>
        <v>0.32854</v>
      </c>
      <c r="K14" s="255">
        <f>J14*E14*365/12</f>
        <v>10329.267089128114</v>
      </c>
      <c r="L14" s="29"/>
      <c r="O14" s="30"/>
      <c r="P14" s="28"/>
      <c r="Q14" s="27"/>
      <c r="R14" s="28"/>
      <c r="S14" s="142"/>
      <c r="T14" s="28"/>
      <c r="U14" s="28"/>
      <c r="V14" s="28"/>
      <c r="Y14" s="38"/>
    </row>
    <row r="15" spans="1:25" ht="15.75">
      <c r="D15" s="257" t="s">
        <v>478</v>
      </c>
      <c r="E15" s="95"/>
      <c r="F15" s="27"/>
      <c r="G15" s="255">
        <f>SUM(G7:G14)</f>
        <v>962397.62035749678</v>
      </c>
      <c r="H15" s="28"/>
      <c r="I15" s="255">
        <f>'SAR and AR (B-1)'!V19</f>
        <v>962315.29269437492</v>
      </c>
      <c r="J15" s="255"/>
      <c r="K15" s="255">
        <f>'SAR and AR (B-1)'!X19</f>
        <v>989110.78871848399</v>
      </c>
      <c r="L15" s="29"/>
      <c r="O15" s="96"/>
      <c r="P15" s="28"/>
      <c r="Q15" s="27"/>
      <c r="R15" s="28"/>
      <c r="S15" s="142"/>
      <c r="T15" s="28"/>
      <c r="U15" s="28"/>
      <c r="V15" s="28"/>
    </row>
    <row r="16" spans="1:25" ht="15.75">
      <c r="P16" s="28"/>
      <c r="Q16" s="27"/>
      <c r="S16" s="142"/>
    </row>
    <row r="17" spans="2:30" ht="15.75">
      <c r="O17" s="37"/>
      <c r="S17" s="142"/>
    </row>
    <row r="18" spans="2:30" ht="15.75">
      <c r="S18" s="142"/>
    </row>
    <row r="19" spans="2:30">
      <c r="B19" s="39"/>
      <c r="E19" s="177"/>
      <c r="P19" s="61" t="s">
        <v>537</v>
      </c>
    </row>
    <row r="20" spans="2:30">
      <c r="B20" s="40" t="s">
        <v>456</v>
      </c>
      <c r="C20" s="40"/>
      <c r="E20" s="41" t="s">
        <v>22</v>
      </c>
      <c r="F20" s="41" t="s">
        <v>22</v>
      </c>
      <c r="H20" s="40"/>
      <c r="I20" s="40"/>
      <c r="J20" s="40"/>
      <c r="K20" s="40"/>
      <c r="L20" s="40"/>
      <c r="M20" s="40"/>
      <c r="N20" s="40"/>
      <c r="P20" s="49" t="s">
        <v>447</v>
      </c>
      <c r="Q20" s="459" t="s">
        <v>154</v>
      </c>
      <c r="R20" s="460"/>
      <c r="S20" s="461"/>
      <c r="T20" s="459" t="s">
        <v>155</v>
      </c>
      <c r="U20" s="460"/>
      <c r="V20" s="461"/>
      <c r="X20" s="161"/>
      <c r="Y20" s="258"/>
      <c r="Z20" s="258"/>
      <c r="AA20" s="258"/>
      <c r="AB20" s="258"/>
      <c r="AC20" s="444"/>
      <c r="AD20" s="444"/>
    </row>
    <row r="21" spans="2:30">
      <c r="B21" s="42" t="s">
        <v>27</v>
      </c>
      <c r="C21" s="98">
        <v>45292</v>
      </c>
      <c r="D21" s="98">
        <f>Summary!L3</f>
        <v>45536</v>
      </c>
      <c r="E21" s="99" t="s">
        <v>181</v>
      </c>
      <c r="F21" s="99" t="s">
        <v>182</v>
      </c>
      <c r="P21" s="259" t="s">
        <v>446</v>
      </c>
      <c r="Q21" s="260" t="s">
        <v>445</v>
      </c>
      <c r="R21" s="261" t="s">
        <v>444</v>
      </c>
      <c r="S21" s="260" t="s">
        <v>443</v>
      </c>
      <c r="T21" s="261" t="s">
        <v>445</v>
      </c>
      <c r="U21" s="260" t="s">
        <v>443</v>
      </c>
      <c r="V21" s="260" t="s">
        <v>451</v>
      </c>
      <c r="W21" s="260" t="s">
        <v>143</v>
      </c>
      <c r="Y21" s="444"/>
      <c r="Z21" s="444"/>
      <c r="AA21" s="444"/>
      <c r="AB21" s="444"/>
      <c r="AC21" s="80"/>
      <c r="AD21" s="80"/>
    </row>
    <row r="22" spans="2:30">
      <c r="B22" s="254" t="s">
        <v>440</v>
      </c>
      <c r="C22" s="100">
        <v>0.51009000000000004</v>
      </c>
      <c r="D22" s="100">
        <f t="shared" ref="D22:D27" si="5">F7</f>
        <v>0.48257</v>
      </c>
      <c r="E22" s="100">
        <f t="shared" ref="E22:E27" si="6">H7</f>
        <v>0.48253463172459571</v>
      </c>
      <c r="F22" s="100">
        <f t="shared" ref="F22:F27" si="7">J7</f>
        <v>0.49404607814536894</v>
      </c>
      <c r="I22" s="38"/>
      <c r="J22" s="38"/>
      <c r="M22" s="38"/>
      <c r="N22" s="38"/>
      <c r="P22" s="217" t="s">
        <v>442</v>
      </c>
      <c r="Q22" s="262">
        <v>240.62174185496107</v>
      </c>
      <c r="R22" s="262">
        <v>196.42752456070392</v>
      </c>
      <c r="S22" s="262">
        <v>610.40704220246198</v>
      </c>
      <c r="T22" s="262">
        <v>213.44277638435847</v>
      </c>
      <c r="U22" s="262">
        <v>679.15437237650917</v>
      </c>
      <c r="V22" s="262">
        <v>79.551666688326037</v>
      </c>
      <c r="W22" s="216">
        <f>SUM(Q22:V22)</f>
        <v>2019.6051240673207</v>
      </c>
      <c r="Y22" s="263"/>
      <c r="Z22" s="263"/>
      <c r="AA22" s="263"/>
      <c r="AB22" s="263"/>
      <c r="AC22" s="201"/>
      <c r="AD22" s="201"/>
    </row>
    <row r="23" spans="2:30" ht="15.75">
      <c r="B23" s="30" t="s">
        <v>438</v>
      </c>
      <c r="C23" s="100">
        <v>0.46086000000000005</v>
      </c>
      <c r="D23" s="100">
        <f t="shared" si="5"/>
        <v>0.43334</v>
      </c>
      <c r="E23" s="100">
        <f t="shared" si="6"/>
        <v>0.43330463172459571</v>
      </c>
      <c r="F23" s="100">
        <f t="shared" si="7"/>
        <v>0.44481607814536894</v>
      </c>
      <c r="I23" s="38"/>
      <c r="J23" s="38"/>
      <c r="M23" s="38"/>
      <c r="N23" s="38"/>
      <c r="P23" s="217" t="s">
        <v>441</v>
      </c>
      <c r="Q23" s="262">
        <v>305.44246137453382</v>
      </c>
      <c r="R23" s="262">
        <v>270.20079634354931</v>
      </c>
      <c r="S23" s="262">
        <v>790.00263578498721</v>
      </c>
      <c r="T23" s="262">
        <v>219.55863186494659</v>
      </c>
      <c r="U23" s="262">
        <v>758.53012090268419</v>
      </c>
      <c r="V23" s="262">
        <v>130.24427790155966</v>
      </c>
      <c r="W23" s="216">
        <f>SUM(Q23:V23)</f>
        <v>2473.9789241722606</v>
      </c>
      <c r="Y23" s="263"/>
      <c r="Z23" s="263"/>
      <c r="AA23" s="264"/>
      <c r="AB23" s="263"/>
      <c r="AC23" s="201"/>
      <c r="AD23" s="201"/>
    </row>
    <row r="24" spans="2:30">
      <c r="B24" s="254" t="s">
        <v>437</v>
      </c>
      <c r="C24" s="100">
        <v>0.44005000000000005</v>
      </c>
      <c r="D24" s="100">
        <f t="shared" si="5"/>
        <v>0.41253000000000001</v>
      </c>
      <c r="E24" s="100">
        <f t="shared" si="6"/>
        <v>0.41249463172459572</v>
      </c>
      <c r="F24" s="100">
        <f t="shared" si="7"/>
        <v>0.42400607814536895</v>
      </c>
      <c r="I24" s="38"/>
      <c r="J24" s="38"/>
      <c r="M24" s="38"/>
      <c r="N24" s="38"/>
      <c r="P24" s="265" t="s">
        <v>439</v>
      </c>
      <c r="Q24" s="262">
        <v>980.97126569347881</v>
      </c>
      <c r="R24" s="262">
        <v>662.60853900989662</v>
      </c>
      <c r="S24" s="262">
        <v>1842.6360321173977</v>
      </c>
      <c r="T24" s="262">
        <v>753.65423767962909</v>
      </c>
      <c r="U24" s="262">
        <v>1744.1897290370835</v>
      </c>
      <c r="V24" s="262">
        <v>274.86051486803825</v>
      </c>
      <c r="W24" s="221">
        <f>SUM(Q24:V24)</f>
        <v>6258.9203184055232</v>
      </c>
      <c r="Y24" s="263"/>
      <c r="Z24" s="263"/>
      <c r="AA24" s="263"/>
      <c r="AB24" s="263"/>
      <c r="AC24" s="201"/>
      <c r="AD24" s="201"/>
    </row>
    <row r="25" spans="2:30" ht="15.75">
      <c r="B25" s="30" t="s">
        <v>436</v>
      </c>
      <c r="C25" s="100">
        <v>0.43467000000000006</v>
      </c>
      <c r="D25" s="100">
        <f t="shared" si="5"/>
        <v>0.40714999999999996</v>
      </c>
      <c r="E25" s="100">
        <f t="shared" si="6"/>
        <v>0.40711463172459567</v>
      </c>
      <c r="F25" s="100">
        <f t="shared" si="7"/>
        <v>0.4186260781453689</v>
      </c>
      <c r="I25" s="38"/>
      <c r="J25" s="38"/>
      <c r="M25" s="38"/>
      <c r="N25" s="38"/>
      <c r="P25" s="266"/>
      <c r="Q25" s="267"/>
      <c r="R25" s="267"/>
      <c r="S25" s="267"/>
      <c r="T25" s="267"/>
      <c r="U25" s="215"/>
      <c r="V25" s="215"/>
      <c r="Y25" s="263"/>
      <c r="Z25" s="264"/>
      <c r="AA25" s="263"/>
      <c r="AB25" s="263"/>
      <c r="AC25" s="201"/>
      <c r="AD25" s="201"/>
    </row>
    <row r="26" spans="2:30" ht="15.75">
      <c r="B26" s="254" t="s">
        <v>435</v>
      </c>
      <c r="C26" s="100">
        <v>0.41855000000000003</v>
      </c>
      <c r="D26" s="100">
        <f t="shared" si="5"/>
        <v>0.39102999999999999</v>
      </c>
      <c r="E26" s="100">
        <f t="shared" si="6"/>
        <v>0.3909946317245957</v>
      </c>
      <c r="F26" s="100">
        <f t="shared" si="7"/>
        <v>0.40250607814536893</v>
      </c>
      <c r="I26" s="38"/>
      <c r="J26" s="38"/>
      <c r="M26" s="38"/>
      <c r="N26" s="38"/>
      <c r="Q26" s="263"/>
      <c r="R26" s="263"/>
      <c r="S26" s="263"/>
      <c r="T26" s="263"/>
      <c r="U26" s="201"/>
      <c r="V26" s="201"/>
      <c r="Y26" s="263"/>
      <c r="Z26" s="263"/>
      <c r="AA26" s="263"/>
      <c r="AB26" s="264"/>
      <c r="AC26" s="201"/>
      <c r="AD26" s="201"/>
    </row>
    <row r="27" spans="2:30">
      <c r="B27" s="254" t="s">
        <v>450</v>
      </c>
      <c r="C27" s="100">
        <v>0.40214</v>
      </c>
      <c r="D27" s="100">
        <f t="shared" si="5"/>
        <v>0.37461</v>
      </c>
      <c r="E27" s="100">
        <f t="shared" si="6"/>
        <v>0.37457463172459571</v>
      </c>
      <c r="F27" s="100">
        <f t="shared" si="7"/>
        <v>0.38608607814536894</v>
      </c>
      <c r="I27" s="38"/>
      <c r="J27" s="38"/>
      <c r="M27" s="38"/>
      <c r="N27" s="38"/>
      <c r="Q27" s="263"/>
      <c r="R27" s="263"/>
      <c r="S27" s="263"/>
      <c r="T27" s="263"/>
      <c r="U27" s="201"/>
      <c r="V27" s="201"/>
      <c r="Y27" s="263"/>
      <c r="Z27" s="263"/>
      <c r="AA27" s="263"/>
      <c r="AB27" s="263"/>
      <c r="AC27" s="201"/>
      <c r="AD27" s="201"/>
    </row>
    <row r="28" spans="2:30">
      <c r="B28" s="30" t="s">
        <v>452</v>
      </c>
      <c r="C28" s="100">
        <v>0.32854</v>
      </c>
      <c r="D28" s="100">
        <f>F14</f>
        <v>0.32854</v>
      </c>
      <c r="E28" s="100">
        <f>H14</f>
        <v>0.32854</v>
      </c>
      <c r="F28" s="100">
        <f>J14</f>
        <v>0.32854</v>
      </c>
      <c r="Q28" s="63"/>
    </row>
    <row r="29" spans="2:30">
      <c r="B29" s="39"/>
      <c r="C29" s="103"/>
      <c r="D29" s="100"/>
      <c r="E29" s="146"/>
      <c r="F29" s="146"/>
      <c r="N29" s="63"/>
    </row>
    <row r="30" spans="2:30">
      <c r="B30" s="39"/>
      <c r="C30" s="444" t="s">
        <v>454</v>
      </c>
      <c r="D30" s="444"/>
      <c r="E30" s="444"/>
      <c r="F30" s="444"/>
      <c r="G30" s="444"/>
      <c r="H30" s="444"/>
      <c r="I30" s="444"/>
      <c r="J30" s="444"/>
      <c r="L30" s="39"/>
    </row>
    <row r="31" spans="2:30">
      <c r="B31" s="39"/>
      <c r="C31" s="445">
        <f>C21</f>
        <v>45292</v>
      </c>
      <c r="D31" s="446"/>
      <c r="E31" s="445">
        <f>D21</f>
        <v>45536</v>
      </c>
      <c r="F31" s="446"/>
      <c r="G31" s="447" t="str">
        <f>$E$21</f>
        <v>Authorized</v>
      </c>
      <c r="H31" s="447"/>
      <c r="I31" s="448" t="str">
        <f>$F$21</f>
        <v>w/Pending</v>
      </c>
      <c r="J31" s="447"/>
      <c r="L31" s="39"/>
      <c r="M31" s="222"/>
      <c r="N31" s="223"/>
      <c r="O31" s="222"/>
      <c r="P31" s="223"/>
      <c r="Q31" s="224"/>
      <c r="R31" s="224"/>
      <c r="S31" s="169"/>
      <c r="T31" s="224"/>
    </row>
    <row r="32" spans="2:30">
      <c r="B32" s="39"/>
      <c r="C32" s="103" t="s">
        <v>154</v>
      </c>
      <c r="D32" s="103" t="s">
        <v>155</v>
      </c>
      <c r="E32" s="103" t="s">
        <v>154</v>
      </c>
      <c r="F32" s="103" t="s">
        <v>155</v>
      </c>
      <c r="G32" s="103" t="s">
        <v>154</v>
      </c>
      <c r="H32" s="103" t="s">
        <v>155</v>
      </c>
      <c r="I32" s="103" t="s">
        <v>154</v>
      </c>
      <c r="J32" s="103" t="s">
        <v>155</v>
      </c>
      <c r="L32" s="39"/>
      <c r="M32" s="103"/>
      <c r="N32" s="103"/>
      <c r="O32" s="103"/>
      <c r="P32" s="103"/>
      <c r="Q32" s="103"/>
      <c r="R32" s="103"/>
      <c r="S32" s="103"/>
      <c r="T32" s="103"/>
    </row>
    <row r="33" spans="2:28">
      <c r="B33" s="61" t="s">
        <v>442</v>
      </c>
      <c r="C33" s="103">
        <f>SUM(SUM($C$22*$Q22,$C$23*$R22,$C$24*$S22),($C$28*365.25/12))</f>
        <v>491.87388844303655</v>
      </c>
      <c r="D33" s="103">
        <f>SUM(SUM($C$25*$T22,$C$26*$U22,$C$27*$V22),($C$28*365.25/12))</f>
        <v>419.02807766122049</v>
      </c>
      <c r="E33" s="103">
        <f>SUM(SUM($D$22*$Q22,$D$23*$R22,$D$24*$S22),($D$28*365.25/12))</f>
        <v>463.04789082986565</v>
      </c>
      <c r="F33" s="103">
        <f>SUM(SUM($D$25*$T22,$D$26*$U22,$D$27*$V22),($D$28*365.25/12))</f>
        <v>392.27374674339171</v>
      </c>
      <c r="G33" s="103">
        <f>SUM(SUM($E$22*$Q22,$E$23*$R22,$E$24*$S22),($E$28*365.25/12))</f>
        <v>463.01084410666851</v>
      </c>
      <c r="H33" s="103">
        <f>SUM(SUM($E$25*$T22,$E$26*$U22,$E$27*$V22),($E$28*365.25/12))</f>
        <v>392.23936351635297</v>
      </c>
      <c r="I33" s="103">
        <f>SUM(SUM($F$22*$Q22,$F$23*$R22,$F$24*$S22),($F$28*365.25/12))</f>
        <v>475.06858128142699</v>
      </c>
      <c r="J33" s="103">
        <f>SUM(SUM($F$25*$T22,$F$26*$U22,$F$27*$V22),($F$28*365.25/12))</f>
        <v>403.43020251841455</v>
      </c>
      <c r="M33" s="103"/>
      <c r="N33" s="103"/>
      <c r="O33" s="103"/>
      <c r="P33" s="103"/>
      <c r="Q33" s="103"/>
      <c r="R33" s="103"/>
      <c r="S33" s="103"/>
      <c r="T33" s="103"/>
      <c r="W33" s="61" t="s">
        <v>298</v>
      </c>
      <c r="X33" s="61" t="s">
        <v>454</v>
      </c>
      <c r="Y33" s="61">
        <f>'Res Bill Impact'!Y38</f>
        <v>2024</v>
      </c>
      <c r="Z33" s="61">
        <f>Y33+1</f>
        <v>2025</v>
      </c>
      <c r="AA33" s="61">
        <f>Z33+1</f>
        <v>2026</v>
      </c>
      <c r="AB33" s="61">
        <f>AA33+1</f>
        <v>2027</v>
      </c>
    </row>
    <row r="34" spans="2:28" ht="15.75">
      <c r="B34" s="61" t="s">
        <v>441</v>
      </c>
      <c r="C34" s="103">
        <f>SUM(SUM($C$22*$Q23,$C$23*$R23,$C$24*$S23),($C$28*365.25/12))</f>
        <v>637.96848025260783</v>
      </c>
      <c r="D34" s="103">
        <f>SUM(SUM($C$25*$T23,$C$26*$U23,$C$27*$V23),($C$28*365.25/12))</f>
        <v>475.29470278188808</v>
      </c>
      <c r="E34" s="103">
        <f>SUM(SUM($D$22*$Q23,$D$23*$R23,$D$24*$S23),($D$28*365.25/12))</f>
        <v>600.38590526340317</v>
      </c>
      <c r="F34" s="103">
        <f>SUM(SUM($D$25*$T23,$D$26*$U23,$D$27*$V23),($D$28*365.25/12))</f>
        <v>444.79207533509287</v>
      </c>
      <c r="G34" s="103">
        <f>SUM(SUM($E$22*$Q23,$E$23*$R23,$E$24*$S23),($E$28*365.25/12))</f>
        <v>600.33760472333711</v>
      </c>
      <c r="H34" s="103">
        <f>SUM(SUM($E$25*$T23,$E$26*$U23,$E$27*$V23),($E$28*365.25/12))</f>
        <v>444.75287550722453</v>
      </c>
      <c r="I34" s="103">
        <f>SUM(SUM($F$22*$Q23,$F$23*$R23,$F$24*$S23),($F$28*365.25/12))</f>
        <v>616.05816425614671</v>
      </c>
      <c r="J34" s="103">
        <f>SUM(SUM($F$25*$T23,$F$26*$U23,$F$27*$V23),($F$28*365.25/12))</f>
        <v>457.51139180614609</v>
      </c>
      <c r="M34" s="103"/>
      <c r="N34" s="103"/>
      <c r="O34" s="103"/>
      <c r="P34" s="103"/>
      <c r="Q34" s="103"/>
      <c r="R34" s="103"/>
      <c r="S34" s="103"/>
      <c r="T34" s="103"/>
      <c r="V34" s="63" t="s">
        <v>154</v>
      </c>
      <c r="W34" s="63" t="s">
        <v>445</v>
      </c>
      <c r="X34" s="63" t="s">
        <v>445</v>
      </c>
      <c r="Y34" s="133">
        <v>226712.61674835999</v>
      </c>
      <c r="Z34" s="133">
        <v>165265.22810281802</v>
      </c>
      <c r="AA34" s="133">
        <f>$Z34</f>
        <v>165265.22810281802</v>
      </c>
      <c r="AB34" s="133">
        <f>$Z34</f>
        <v>165265.22810281802</v>
      </c>
    </row>
    <row r="35" spans="2:28" ht="15.75">
      <c r="B35" s="61" t="s">
        <v>439</v>
      </c>
      <c r="C35" s="103">
        <f>SUM(SUM($C$22*$Q24,$C$23*$R24,$C$24*$S24),($C$28*365.25/12))</f>
        <v>1626.6053263889487</v>
      </c>
      <c r="D35" s="103">
        <f>SUM(SUM($C$25*$T24,$C$26*$U24,$C$27*$V24),($C$28*365.25/12))</f>
        <v>1178.1538422797087</v>
      </c>
      <c r="E35" s="103">
        <f>SUM(SUM($D$22*$Q24,$D$23*$R24,$D$24*$S24),($D$28*365.25/12))</f>
        <v>1530.6646665596409</v>
      </c>
      <c r="F35" s="103">
        <f>SUM(SUM($D$25*$T24,$D$26*$U24,$D$27*$V24),($D$28*365.25/12))</f>
        <v>1101.8462663413477</v>
      </c>
      <c r="G35" s="103">
        <f>SUM(SUM($E$22*$Q24,$E$23*$R24,$E$24*$S24),($E$28*365.25/12))</f>
        <v>1530.5413651178053</v>
      </c>
      <c r="H35" s="103">
        <f>SUM(SUM($E$25*$T24,$E$26*$U24,$E$27*$V24),($E$28*365.25/12))</f>
        <v>1101.7482005656282</v>
      </c>
      <c r="I35" s="103">
        <f>SUM(SUM($F$22*$Q24,$F$23*$R24,$F$24*$S24),($F$28*365.25/12))</f>
        <v>1570.6727519346189</v>
      </c>
      <c r="J35" s="103">
        <f>SUM(SUM($F$25*$T24,$F$26*$U24,$F$27*$V24),($F$28*365.25/12))</f>
        <v>1133.6660396460288</v>
      </c>
      <c r="M35" s="103"/>
      <c r="N35" s="103"/>
      <c r="O35" s="103"/>
      <c r="P35" s="103"/>
      <c r="Q35" s="103"/>
      <c r="R35" s="103"/>
      <c r="S35" s="103"/>
      <c r="T35" s="103"/>
      <c r="V35" s="63" t="s">
        <v>154</v>
      </c>
      <c r="W35" s="63" t="s">
        <v>457</v>
      </c>
      <c r="X35" s="63" t="s">
        <v>457</v>
      </c>
      <c r="Y35" s="133">
        <v>162948.698059135</v>
      </c>
      <c r="Z35" s="133">
        <v>115737.81891445399</v>
      </c>
      <c r="AA35" s="133">
        <f t="shared" ref="AA35:AB39" si="8">$Z35</f>
        <v>115737.81891445399</v>
      </c>
      <c r="AB35" s="133">
        <f t="shared" si="8"/>
        <v>115737.81891445399</v>
      </c>
    </row>
    <row r="36" spans="2:28" ht="15.75">
      <c r="C36" s="103"/>
      <c r="D36" s="103"/>
      <c r="E36" s="103"/>
      <c r="F36" s="103"/>
      <c r="G36" s="103"/>
      <c r="H36" s="103"/>
      <c r="I36" s="103"/>
      <c r="J36" s="103"/>
      <c r="M36" s="103"/>
      <c r="N36" s="103"/>
      <c r="O36" s="103"/>
      <c r="P36" s="103"/>
      <c r="Q36" s="103"/>
      <c r="R36" s="103"/>
      <c r="S36" s="103"/>
      <c r="T36" s="103"/>
      <c r="V36" s="63" t="s">
        <v>154</v>
      </c>
      <c r="W36" s="63" t="s">
        <v>458</v>
      </c>
      <c r="X36" s="63" t="s">
        <v>458</v>
      </c>
      <c r="Y36" s="133">
        <v>522831.37509535201</v>
      </c>
      <c r="Z36" s="133">
        <v>380790.32526977797</v>
      </c>
      <c r="AA36" s="133">
        <f t="shared" si="8"/>
        <v>380790.32526977797</v>
      </c>
      <c r="AB36" s="133">
        <f t="shared" si="8"/>
        <v>380790.32526977797</v>
      </c>
    </row>
    <row r="37" spans="2:28" ht="15.75">
      <c r="C37" s="103"/>
      <c r="D37" s="103"/>
      <c r="E37" s="103"/>
      <c r="F37" s="103"/>
      <c r="G37" s="243"/>
      <c r="H37" s="243"/>
      <c r="I37" s="103"/>
      <c r="J37" s="103"/>
      <c r="M37" s="103"/>
      <c r="N37" s="103"/>
      <c r="O37" s="103"/>
      <c r="P37" s="103"/>
      <c r="Q37" s="103"/>
      <c r="R37" s="103"/>
      <c r="S37" s="103"/>
      <c r="T37" s="103"/>
      <c r="V37" s="63" t="s">
        <v>155</v>
      </c>
      <c r="W37" s="63" t="s">
        <v>445</v>
      </c>
      <c r="X37" s="63" t="s">
        <v>457</v>
      </c>
      <c r="Y37" s="133">
        <v>322300.89314751595</v>
      </c>
      <c r="Z37" s="133">
        <v>259726.944945372</v>
      </c>
      <c r="AA37" s="133">
        <f t="shared" si="8"/>
        <v>259726.944945372</v>
      </c>
      <c r="AB37" s="133">
        <f t="shared" si="8"/>
        <v>259726.944945372</v>
      </c>
    </row>
    <row r="38" spans="2:28" ht="15" customHeight="1">
      <c r="C38" s="103"/>
      <c r="D38" s="103"/>
      <c r="E38" s="103"/>
      <c r="F38" s="103"/>
      <c r="G38" s="243"/>
      <c r="H38" s="243"/>
      <c r="I38" s="103"/>
      <c r="J38" s="103"/>
      <c r="M38" s="103"/>
      <c r="N38" s="103"/>
      <c r="O38" s="103"/>
      <c r="P38" s="103"/>
      <c r="Q38" s="103"/>
      <c r="R38" s="103"/>
      <c r="S38" s="103"/>
      <c r="T38" s="103"/>
      <c r="V38" s="63" t="s">
        <v>155</v>
      </c>
      <c r="W38" s="63" t="s">
        <v>458</v>
      </c>
      <c r="X38" s="63" t="s">
        <v>458</v>
      </c>
      <c r="Y38" s="133">
        <v>957339.48353919166</v>
      </c>
      <c r="Z38" s="133">
        <v>773296.28927836986</v>
      </c>
      <c r="AA38" s="133">
        <f t="shared" si="8"/>
        <v>773296.28927836986</v>
      </c>
      <c r="AB38" s="133">
        <f t="shared" si="8"/>
        <v>773296.28927836986</v>
      </c>
    </row>
    <row r="39" spans="2:28" ht="15" customHeight="1">
      <c r="C39" s="103"/>
      <c r="D39" s="103"/>
      <c r="E39" s="103"/>
      <c r="F39" s="103"/>
      <c r="G39" s="243"/>
      <c r="H39" s="243"/>
      <c r="I39" s="103"/>
      <c r="J39" s="103"/>
      <c r="M39" s="103"/>
      <c r="N39" s="103"/>
      <c r="O39" s="103"/>
      <c r="P39" s="103"/>
      <c r="Q39" s="103"/>
      <c r="R39" s="103"/>
      <c r="S39" s="103"/>
      <c r="T39" s="103"/>
      <c r="V39" s="63" t="s">
        <v>155</v>
      </c>
      <c r="W39" s="63" t="s">
        <v>459</v>
      </c>
      <c r="X39" s="63" t="s">
        <v>460</v>
      </c>
      <c r="Y39" s="133">
        <v>135593.18471407695</v>
      </c>
      <c r="Z39" s="133">
        <v>92288.994143180011</v>
      </c>
      <c r="AA39" s="133">
        <f t="shared" si="8"/>
        <v>92288.994143180011</v>
      </c>
      <c r="AB39" s="133">
        <f t="shared" si="8"/>
        <v>92288.994143180011</v>
      </c>
    </row>
    <row r="40" spans="2:28" ht="15" customHeight="1">
      <c r="C40" s="103"/>
      <c r="D40" s="103"/>
      <c r="E40" s="103"/>
      <c r="F40" s="103"/>
      <c r="G40" s="103"/>
      <c r="H40" s="103"/>
      <c r="I40" s="103"/>
      <c r="J40" s="103"/>
      <c r="M40" s="103"/>
      <c r="N40" s="103"/>
      <c r="O40" s="103"/>
      <c r="P40" s="103"/>
      <c r="Q40" s="103"/>
      <c r="R40" s="103"/>
      <c r="S40" s="103"/>
      <c r="T40" s="103"/>
    </row>
    <row r="41" spans="2:28" ht="15.75">
      <c r="V41" s="61" t="s">
        <v>536</v>
      </c>
      <c r="W41" s="61" t="s">
        <v>461</v>
      </c>
      <c r="Y41" s="133">
        <v>1033.6407824200001</v>
      </c>
      <c r="Z41" s="133">
        <v>890.06556973499994</v>
      </c>
      <c r="AA41" s="133">
        <f>$Z41</f>
        <v>890.06556973499994</v>
      </c>
      <c r="AB41" s="133">
        <f>$Z41</f>
        <v>890.06556973499994</v>
      </c>
    </row>
  </sheetData>
  <mergeCells count="12">
    <mergeCell ref="B2:D2"/>
    <mergeCell ref="E3:K3"/>
    <mergeCell ref="Q20:S20"/>
    <mergeCell ref="AC20:AD20"/>
    <mergeCell ref="T20:V20"/>
    <mergeCell ref="Y21:Z21"/>
    <mergeCell ref="AA21:AB21"/>
    <mergeCell ref="C30:J30"/>
    <mergeCell ref="C31:D31"/>
    <mergeCell ref="E31:F31"/>
    <mergeCell ref="G31:H31"/>
    <mergeCell ref="I31:J31"/>
  </mergeCells>
  <pageMargins left="0.7" right="0.7" top="0.75" bottom="0.75" header="0.3" footer="0.3"/>
  <pageSetup orientation="portrait" r:id="rId1"/>
  <headerFooter>
    <oddFooter xml:space="preserve">&amp;C_x000D_&amp;1#&amp;"Calibri"&amp;12&amp;K000000 Public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53E89-DD7E-459E-8738-720B77FF019E}">
  <sheetPr codeName="Sheet6">
    <tabColor rgb="FF92D050"/>
  </sheetPr>
  <dimension ref="A1:S109"/>
  <sheetViews>
    <sheetView topLeftCell="A57" zoomScale="60" zoomScaleNormal="60" workbookViewId="0">
      <selection activeCell="V63" sqref="V63"/>
    </sheetView>
  </sheetViews>
  <sheetFormatPr defaultColWidth="8.85546875" defaultRowHeight="15"/>
  <cols>
    <col min="1" max="1" width="5.5703125" style="61" customWidth="1"/>
    <col min="2" max="2" width="11.5703125" style="61" bestFit="1" customWidth="1"/>
    <col min="3" max="3" width="44.85546875" style="61" bestFit="1" customWidth="1"/>
    <col min="4" max="4" width="19" style="61" customWidth="1"/>
    <col min="5" max="5" width="18" style="61" customWidth="1"/>
    <col min="6" max="6" width="13.42578125" style="61" customWidth="1"/>
    <col min="7" max="8" width="15.7109375" style="61" customWidth="1"/>
    <col min="9" max="9" width="14.140625" style="61" customWidth="1"/>
    <col min="10" max="10" width="14.85546875" style="61" customWidth="1"/>
    <col min="11" max="11" width="21.5703125" style="61" customWidth="1"/>
    <col min="12" max="14" width="13.42578125" style="61" customWidth="1"/>
    <col min="15" max="16" width="15.7109375" style="61" customWidth="1"/>
    <col min="17" max="17" width="13.42578125" style="61" customWidth="1"/>
    <col min="18" max="19" width="15.85546875" style="61" customWidth="1"/>
    <col min="20" max="24" width="15.5703125" style="61" customWidth="1"/>
    <col min="25" max="16384" width="8.85546875" style="61"/>
  </cols>
  <sheetData>
    <row r="1" spans="2:18">
      <c r="B1" s="17"/>
    </row>
    <row r="2" spans="2:18">
      <c r="B2" s="56" t="s">
        <v>146</v>
      </c>
      <c r="J2" s="56" t="s">
        <v>23</v>
      </c>
      <c r="K2" s="57"/>
      <c r="L2" s="57"/>
    </row>
    <row r="3" spans="2:18">
      <c r="B3" s="57"/>
      <c r="C3" s="63" t="s">
        <v>594</v>
      </c>
      <c r="D3" s="64">
        <v>500</v>
      </c>
      <c r="J3" s="57" t="s">
        <v>147</v>
      </c>
      <c r="K3" s="59"/>
      <c r="L3" s="137">
        <v>45536</v>
      </c>
    </row>
    <row r="4" spans="2:18">
      <c r="B4" s="60"/>
      <c r="C4" s="79" t="s">
        <v>148</v>
      </c>
      <c r="D4" s="64" t="s">
        <v>214</v>
      </c>
      <c r="J4" s="57" t="s">
        <v>42</v>
      </c>
      <c r="K4" s="59"/>
      <c r="L4" s="134">
        <v>2024</v>
      </c>
    </row>
    <row r="5" spans="2:18">
      <c r="C5" s="63" t="s">
        <v>593</v>
      </c>
      <c r="D5" s="272" t="s">
        <v>150</v>
      </c>
      <c r="J5" s="60" t="s">
        <v>36</v>
      </c>
      <c r="L5" s="62">
        <v>4</v>
      </c>
      <c r="M5" s="60" t="s">
        <v>37</v>
      </c>
    </row>
    <row r="6" spans="2:18">
      <c r="C6" s="15"/>
      <c r="D6" s="84" t="s">
        <v>226</v>
      </c>
      <c r="F6" s="80"/>
      <c r="J6" s="60" t="s">
        <v>38</v>
      </c>
      <c r="L6" s="118">
        <v>8</v>
      </c>
      <c r="M6" s="60" t="s">
        <v>37</v>
      </c>
    </row>
    <row r="7" spans="2:18">
      <c r="B7" s="85"/>
      <c r="C7" s="78" t="s">
        <v>4</v>
      </c>
      <c r="D7" s="16"/>
      <c r="E7" s="86"/>
      <c r="J7" s="60" t="s">
        <v>35</v>
      </c>
      <c r="L7" s="155" t="s">
        <v>247</v>
      </c>
      <c r="M7" s="65"/>
    </row>
    <row r="8" spans="2:18">
      <c r="B8" s="82"/>
      <c r="C8" s="78" t="s">
        <v>15</v>
      </c>
      <c r="D8" s="16"/>
      <c r="E8" s="80"/>
      <c r="F8" s="81"/>
      <c r="J8" s="61" t="s">
        <v>285</v>
      </c>
      <c r="L8" s="160">
        <v>-55.172064855908701</v>
      </c>
    </row>
    <row r="9" spans="2:18">
      <c r="B9" s="82"/>
      <c r="C9" s="78" t="s">
        <v>6</v>
      </c>
      <c r="D9" s="16">
        <v>100000</v>
      </c>
      <c r="E9" s="80"/>
      <c r="F9" s="81"/>
      <c r="N9" s="57"/>
      <c r="P9" s="462" t="s">
        <v>252</v>
      </c>
      <c r="Q9" s="462" t="s">
        <v>253</v>
      </c>
    </row>
    <row r="10" spans="2:18">
      <c r="B10" s="82"/>
      <c r="C10" s="78" t="s">
        <v>140</v>
      </c>
      <c r="D10" s="16"/>
      <c r="E10" s="80"/>
      <c r="F10" s="81"/>
      <c r="N10" s="61" t="s">
        <v>250</v>
      </c>
      <c r="O10" s="61" t="s">
        <v>251</v>
      </c>
      <c r="P10" s="463"/>
      <c r="Q10" s="463"/>
    </row>
    <row r="11" spans="2:18">
      <c r="B11" s="82"/>
      <c r="C11" s="78" t="s">
        <v>69</v>
      </c>
      <c r="D11" s="16"/>
      <c r="E11" s="80"/>
      <c r="F11" s="81"/>
      <c r="J11" s="60" t="s">
        <v>52</v>
      </c>
      <c r="N11" s="162">
        <f>IF($D$4="ALL",SUMPRODUCT('Hypothetical Res Bill Impact'!Q$22:Q$31,'Hypothetical Res Bill Impact'!$U$22:$U$31),VLOOKUP(D$4,'Hypothetical Res Bill Impact'!$P$22:$T$31,2,FALSE))</f>
        <v>406.5</v>
      </c>
      <c r="O11" s="162">
        <f>IF($D$4="ALL",SUMPRODUCT('Hypothetical Res Bill Impact'!Y$22:Y$31,'Hypothetical Res Bill Impact'!$AC$22:$AC$31),VLOOKUP($D$4,'Hypothetical Res Bill Impact'!$X$22:$AB$31,2,FALSE))</f>
        <v>316.25</v>
      </c>
      <c r="P11" s="162">
        <f>VLOOKUP($D$4,'Hypothetical Res Bill Impact'!$H$22:$J$31,2,FALSE)</f>
        <v>298.28750000000002</v>
      </c>
      <c r="Q11" s="162">
        <f>VLOOKUP($D$4,'Hypothetical Res Bill Impact'!$L$22:$N$31,2,FALSE)</f>
        <v>258.71875</v>
      </c>
      <c r="R11" s="60" t="s">
        <v>32</v>
      </c>
    </row>
    <row r="12" spans="2:18">
      <c r="B12" s="82"/>
      <c r="C12" s="78" t="s">
        <v>17</v>
      </c>
      <c r="D12" s="16"/>
      <c r="E12" s="87"/>
      <c r="F12" s="81"/>
      <c r="J12" s="60" t="s">
        <v>53</v>
      </c>
      <c r="N12" s="162">
        <f>IF($D$4="ALL",SUMPRODUCT('Hypothetical Res Bill Impact'!R$22:R$31,'Hypothetical Res Bill Impact'!$U$22:$U$31),VLOOKUP(D$4,'Hypothetical Res Bill Impact'!$P$22:$T$31,3,FALSE))</f>
        <v>388.625</v>
      </c>
      <c r="O12" s="162">
        <f>IF($D$4="ALL",SUMPRODUCT('Hypothetical Res Bill Impact'!Y$22:Y$31,'Hypothetical Res Bill Impact'!$AC$22:$AC$31),VLOOKUP($D$4,'Hypothetical Res Bill Impact'!$X$22:$AB$31,3,FALSE))</f>
        <v>367.625</v>
      </c>
      <c r="P12" s="162">
        <f>VLOOKUP($D$4,'Hypothetical Res Bill Impact'!$H$22:$J$31,3,FALSE)</f>
        <v>295.24374999999998</v>
      </c>
      <c r="Q12" s="162">
        <f>VLOOKUP($D$4,'Hypothetical Res Bill Impact'!$L$22:$N$31,3,FALSE)</f>
        <v>444.38749999999999</v>
      </c>
      <c r="R12" s="60" t="s">
        <v>32</v>
      </c>
    </row>
    <row r="13" spans="2:18">
      <c r="B13" s="82"/>
      <c r="C13" s="78" t="s">
        <v>16</v>
      </c>
      <c r="D13" s="16"/>
      <c r="E13" s="80"/>
      <c r="F13" s="81"/>
      <c r="J13" s="60" t="s">
        <v>248</v>
      </c>
      <c r="N13" s="162">
        <f>(N11*4)+(N12*8)</f>
        <v>4735</v>
      </c>
      <c r="O13" s="162">
        <f>(O11*4)+(O12*8)</f>
        <v>4206</v>
      </c>
      <c r="P13" s="162">
        <f>(P11*4)+(P12*8)</f>
        <v>3555.1</v>
      </c>
      <c r="Q13" s="162">
        <f>(Q11*4)+(Q12*8)</f>
        <v>4589.9750000000004</v>
      </c>
      <c r="R13" s="60" t="s">
        <v>262</v>
      </c>
    </row>
    <row r="14" spans="2:18">
      <c r="B14" s="82"/>
      <c r="C14" s="78" t="s">
        <v>18</v>
      </c>
      <c r="D14" s="16"/>
      <c r="E14" s="80"/>
      <c r="F14" s="81"/>
      <c r="J14" s="60" t="s">
        <v>54</v>
      </c>
      <c r="N14" s="162">
        <f>IF(D$4="ALL",SUMPRODUCT('Hypothetical Res Bill Impact'!S$22:S$31,'Hypothetical Res Bill Impact'!$V$22:$V$31),VLOOKUP(D$4,'Hypothetical Res Bill Impact'!$P$22:$T$31,4,FALSE))</f>
        <v>379.75</v>
      </c>
      <c r="O14" s="162">
        <f>IF($D$4="ALL",SUMPRODUCT('Hypothetical Res Bill Impact'!Y$22:Y$31,'Hypothetical Res Bill Impact'!$AD$22:$AD$31),VLOOKUP($D$4,'Hypothetical Res Bill Impact'!$X$22:$AB$31,4,FALSE))</f>
        <v>319.75</v>
      </c>
      <c r="P14" s="162">
        <f t="shared" ref="P14:Q16" si="0">P11</f>
        <v>298.28750000000002</v>
      </c>
      <c r="Q14" s="162">
        <f t="shared" si="0"/>
        <v>258.71875</v>
      </c>
      <c r="R14" s="60" t="s">
        <v>32</v>
      </c>
    </row>
    <row r="15" spans="2:18">
      <c r="B15" s="82"/>
      <c r="C15" s="78" t="s">
        <v>138</v>
      </c>
      <c r="D15" s="16"/>
      <c r="E15" s="80"/>
      <c r="F15" s="81"/>
      <c r="J15" s="60" t="s">
        <v>55</v>
      </c>
      <c r="N15" s="162">
        <f>IF($D$4="ALL",SUMPRODUCT('Hypothetical Res Bill Impact'!T$22:T$31,'Hypothetical Res Bill Impact'!$V$22:$V$31),VLOOKUP(D$4,'Hypothetical Res Bill Impact'!$P$22:$T$31,5,FALSE))</f>
        <v>381.375</v>
      </c>
      <c r="O15" s="162">
        <f>IF($D$4="ALL",SUMPRODUCT('Hypothetical Res Bill Impact'!Y$22:Y$31,'Hypothetical Res Bill Impact'!$AD$22:$AD$31),VLOOKUP($D$4,'Hypothetical Res Bill Impact'!$X$22:$AB$31,5,FALSE))</f>
        <v>394.5</v>
      </c>
      <c r="P15" s="162">
        <f t="shared" si="0"/>
        <v>295.24374999999998</v>
      </c>
      <c r="Q15" s="162">
        <f t="shared" si="0"/>
        <v>444.38749999999999</v>
      </c>
      <c r="R15" s="60" t="s">
        <v>32</v>
      </c>
    </row>
    <row r="16" spans="2:18">
      <c r="B16" s="82"/>
      <c r="C16" s="78" t="s">
        <v>11</v>
      </c>
      <c r="D16" s="16"/>
      <c r="E16" s="80"/>
      <c r="F16" s="81"/>
      <c r="J16" s="60" t="s">
        <v>249</v>
      </c>
      <c r="N16" s="162">
        <f>(N14*4)+(N15*8)</f>
        <v>4570</v>
      </c>
      <c r="O16" s="162">
        <f>(O14*4)+(O15*8)</f>
        <v>4435</v>
      </c>
      <c r="P16" s="162">
        <f t="shared" si="0"/>
        <v>3555.1</v>
      </c>
      <c r="Q16" s="162">
        <f t="shared" si="0"/>
        <v>4589.9750000000004</v>
      </c>
      <c r="R16" s="60" t="s">
        <v>262</v>
      </c>
    </row>
    <row r="17" spans="2:19">
      <c r="B17" s="78"/>
      <c r="C17" s="78" t="s">
        <v>145</v>
      </c>
      <c r="D17" s="16"/>
      <c r="F17" s="81"/>
      <c r="J17" s="60" t="s">
        <v>34</v>
      </c>
      <c r="N17" s="63"/>
      <c r="P17" s="102" t="str">
        <f>LEFT('Res Bill Impact'!P19,4)</f>
        <v>2023</v>
      </c>
    </row>
    <row r="18" spans="2:19">
      <c r="B18" s="78"/>
      <c r="C18" s="78" t="s">
        <v>219</v>
      </c>
      <c r="D18" s="16"/>
      <c r="F18" s="81"/>
      <c r="J18" s="60"/>
      <c r="M18" s="60"/>
    </row>
    <row r="19" spans="2:19">
      <c r="B19" s="78"/>
      <c r="C19" s="78" t="s">
        <v>297</v>
      </c>
      <c r="D19" s="16"/>
      <c r="F19" s="81"/>
      <c r="J19" s="60"/>
      <c r="M19" s="60"/>
    </row>
    <row r="20" spans="2:19">
      <c r="B20" s="78"/>
      <c r="C20" s="61" t="s">
        <v>328</v>
      </c>
      <c r="D20" s="16"/>
      <c r="F20" s="81"/>
      <c r="J20" s="60"/>
      <c r="M20" s="60"/>
    </row>
    <row r="21" spans="2:19">
      <c r="B21" s="78"/>
      <c r="C21" s="78" t="s">
        <v>143</v>
      </c>
      <c r="D21" s="121">
        <f>SUM(D7:D20)</f>
        <v>100000</v>
      </c>
      <c r="F21" s="81"/>
      <c r="J21" s="60"/>
      <c r="M21" s="60"/>
    </row>
    <row r="22" spans="2:19">
      <c r="B22" s="56" t="s">
        <v>151</v>
      </c>
      <c r="D22" s="61" t="s">
        <v>332</v>
      </c>
    </row>
    <row r="23" spans="2:19" ht="15.75" thickBot="1">
      <c r="D23" s="88" t="s">
        <v>165</v>
      </c>
      <c r="E23" s="88" t="s">
        <v>166</v>
      </c>
      <c r="F23" s="88" t="s">
        <v>167</v>
      </c>
      <c r="G23" s="88" t="s">
        <v>168</v>
      </c>
      <c r="H23" s="88" t="s">
        <v>169</v>
      </c>
      <c r="L23" s="88" t="s">
        <v>165</v>
      </c>
      <c r="M23" s="88" t="s">
        <v>166</v>
      </c>
      <c r="N23" s="88" t="s">
        <v>167</v>
      </c>
      <c r="O23" s="88" t="s">
        <v>168</v>
      </c>
      <c r="P23" s="88" t="s">
        <v>169</v>
      </c>
    </row>
    <row r="24" spans="2:19">
      <c r="B24" s="411" t="s">
        <v>152</v>
      </c>
      <c r="C24" s="412"/>
      <c r="D24" s="412"/>
      <c r="E24" s="412"/>
      <c r="F24" s="412"/>
      <c r="G24" s="412"/>
      <c r="H24" s="413"/>
      <c r="J24" s="411" t="s">
        <v>153</v>
      </c>
      <c r="K24" s="412"/>
      <c r="L24" s="412"/>
      <c r="M24" s="412"/>
      <c r="N24" s="412"/>
      <c r="O24" s="412"/>
      <c r="P24" s="413"/>
    </row>
    <row r="25" spans="2:19" ht="30">
      <c r="B25" s="417" t="s">
        <v>19</v>
      </c>
      <c r="C25" s="418"/>
      <c r="D25" s="55">
        <v>45292</v>
      </c>
      <c r="E25" s="55">
        <f>L3</f>
        <v>45536</v>
      </c>
      <c r="F25" s="58" t="s">
        <v>22</v>
      </c>
      <c r="G25" s="58" t="str">
        <f>"% Change over "&amp;TEXT(D25,"mm/d/yyyy")</f>
        <v>% Change over 01/1/2024</v>
      </c>
      <c r="H25" s="381" t="str">
        <f>"% Change over "&amp;TEXT(E25,"mm/d/yyyy")</f>
        <v>% Change over 09/1/2024</v>
      </c>
      <c r="J25" s="419" t="s">
        <v>19</v>
      </c>
      <c r="K25" s="420"/>
      <c r="L25" s="55">
        <f>$D$25</f>
        <v>45292</v>
      </c>
      <c r="M25" s="55">
        <f>$E$25</f>
        <v>45536</v>
      </c>
      <c r="N25" s="58" t="s">
        <v>22</v>
      </c>
      <c r="O25" s="58" t="str">
        <f>$G$25</f>
        <v>% Change over 01/1/2024</v>
      </c>
      <c r="P25" s="381" t="str">
        <f>$H$25</f>
        <v>% Change over 09/1/2024</v>
      </c>
    </row>
    <row r="26" spans="2:19">
      <c r="B26" s="421" t="s">
        <v>20</v>
      </c>
      <c r="C26" s="422"/>
      <c r="D26" s="269">
        <f>IF($D$5="Y",'Hypothetical SAR and RAR'!AB45,'Hypothetical SAR and RAR'!AC45)</f>
        <v>37.783684706270357</v>
      </c>
      <c r="E26" s="276">
        <f>IF($D$5="Y",'Hypothetical SAR and RAR'!AB50,'Hypothetical SAR and RAR'!AC50)</f>
        <v>35.006396929788679</v>
      </c>
      <c r="F26" s="276">
        <f>'Hypothetical SAR and RAR'!G29</f>
        <v>35.13830999231326</v>
      </c>
      <c r="G26" s="66">
        <f t="shared" ref="G26:H28" si="1">$F26/D26-1</f>
        <v>-7.0013677451582268E-2</v>
      </c>
      <c r="H26" s="89">
        <f t="shared" si="1"/>
        <v>3.7682559216007938E-3</v>
      </c>
      <c r="J26" s="421" t="s">
        <v>41</v>
      </c>
      <c r="K26" s="422"/>
      <c r="L26" s="276">
        <f>IF($D$5="Y",'Hypothetical SAR and RAR'!AE45,'Hypothetical SAR and RAR'!AF45)</f>
        <v>29.649295153825406</v>
      </c>
      <c r="M26" s="276">
        <f>IF($D$5="Y",'Hypothetical SAR and RAR'!AE50,'Hypothetical SAR and RAR'!AF50)</f>
        <v>27.909444716636877</v>
      </c>
      <c r="N26" s="276">
        <f>'Hypothetical SAR and RAR'!Q29</f>
        <v>28.057745778828917</v>
      </c>
      <c r="O26" s="66">
        <f t="shared" ref="O26:P28" si="2">$N26/L26-1</f>
        <v>-5.3679163930854701E-2</v>
      </c>
      <c r="P26" s="89">
        <f t="shared" si="2"/>
        <v>5.3136514788356681E-3</v>
      </c>
      <c r="S26" s="269"/>
    </row>
    <row r="27" spans="2:19">
      <c r="B27" s="277"/>
      <c r="C27" s="278" t="s">
        <v>454</v>
      </c>
      <c r="D27" s="269">
        <f>IF($D$5="Y",'Hypothetical SAR and RAR (B-1)'!X31,'Hypothetical SAR and RAR (B-1)'!Y31)</f>
        <v>44.165460079574139</v>
      </c>
      <c r="E27" s="279">
        <f>IF($D$5="Y",'Hypothetical SAR and RAR (B-1)'!X36,'Hypothetical SAR and RAR (B-1)'!Y36)</f>
        <v>41.415357790415229</v>
      </c>
      <c r="F27" s="279">
        <f>'Hypothetical SAR and RAR (B-1)'!G29</f>
        <v>41.597810935328354</v>
      </c>
      <c r="G27" s="66">
        <f t="shared" si="1"/>
        <v>-5.8137040565627074E-2</v>
      </c>
      <c r="H27" s="89">
        <f t="shared" si="1"/>
        <v>4.4054465456133673E-3</v>
      </c>
      <c r="J27" s="277"/>
      <c r="K27" s="278" t="s">
        <v>485</v>
      </c>
      <c r="L27" s="279">
        <f>IF($D$5="Y",'Hypothetical SAR and RAR (B-1)'!AA31,'Hypothetical SAR and RAR (B-1)'!AB31)</f>
        <v>33.989411743627038</v>
      </c>
      <c r="M27" s="279">
        <f>IF($D$5="Y",'Hypothetical SAR and RAR (B-1)'!AA36,'Hypothetical SAR and RAR (B-1)'!AB36)</f>
        <v>32.485730848580296</v>
      </c>
      <c r="N27" s="279">
        <f>'Hypothetical SAR and RAR (B-1)'!Q29</f>
        <v>32.668183993493422</v>
      </c>
      <c r="O27" s="66">
        <f t="shared" si="2"/>
        <v>-3.887174512166558E-2</v>
      </c>
      <c r="P27" s="89">
        <f t="shared" si="2"/>
        <v>5.6164088092571784E-3</v>
      </c>
    </row>
    <row r="28" spans="2:19" ht="15.75" thickBot="1">
      <c r="B28" s="6" t="s">
        <v>31</v>
      </c>
      <c r="C28" s="5"/>
      <c r="D28" s="280">
        <f>IF($D$5="Y",'Hypothetical SAR and RAR'!AB46,'Hypothetical SAR and RAR'!AC46)</f>
        <v>36.56790438719397</v>
      </c>
      <c r="E28" s="281">
        <f>IF($D$5="Y",'Hypothetical SAR and RAR'!AB51,'Hypothetical SAR and RAR'!AC51)</f>
        <v>33.950754071574565</v>
      </c>
      <c r="F28" s="281">
        <f>'Hypothetical SAR and RAR'!G30</f>
        <v>34.078212956758719</v>
      </c>
      <c r="G28" s="68">
        <f t="shared" si="1"/>
        <v>-6.8084060931507429E-2</v>
      </c>
      <c r="H28" s="90">
        <f t="shared" si="1"/>
        <v>3.7542284013911686E-3</v>
      </c>
      <c r="J28" s="6" t="s">
        <v>40</v>
      </c>
      <c r="K28" s="5"/>
      <c r="L28" s="281">
        <f>IF($D$5="Y",'Hypothetical SAR and RAR'!AE46,'Hypothetical SAR and RAR'!AF46)</f>
        <v>26.395764586261034</v>
      </c>
      <c r="M28" s="281">
        <f>IF($D$5="Y",'Hypothetical SAR and RAR'!AE51,'Hypothetical SAR and RAR'!AF51)</f>
        <v>24.967536977696753</v>
      </c>
      <c r="N28" s="281">
        <f>'Hypothetical SAR and RAR'!Q30</f>
        <v>25.094995862880904</v>
      </c>
      <c r="O28" s="68">
        <f t="shared" si="2"/>
        <v>-4.927944856945643E-2</v>
      </c>
      <c r="P28" s="90">
        <f t="shared" si="2"/>
        <v>5.1049843361805625E-3</v>
      </c>
    </row>
    <row r="30" spans="2:19" ht="15.75" thickBot="1"/>
    <row r="31" spans="2:19">
      <c r="B31" s="1" t="s">
        <v>267</v>
      </c>
      <c r="C31" s="409"/>
      <c r="D31" s="409"/>
      <c r="E31" s="409"/>
      <c r="F31" s="409"/>
      <c r="G31" s="409"/>
      <c r="H31" s="410"/>
      <c r="J31" s="1" t="s">
        <v>276</v>
      </c>
      <c r="K31" s="409"/>
      <c r="L31" s="409"/>
      <c r="M31" s="409"/>
      <c r="N31" s="409"/>
      <c r="O31" s="409"/>
      <c r="P31" s="410"/>
    </row>
    <row r="32" spans="2:19" ht="30">
      <c r="B32" s="70"/>
      <c r="C32" s="71"/>
      <c r="D32" s="55">
        <f>$D$25</f>
        <v>45292</v>
      </c>
      <c r="E32" s="55">
        <f>$E$25</f>
        <v>45536</v>
      </c>
      <c r="F32" s="58" t="s">
        <v>22</v>
      </c>
      <c r="G32" s="58" t="str">
        <f>$G$25</f>
        <v>% Change over 01/1/2024</v>
      </c>
      <c r="H32" s="381" t="str">
        <f>$H$25</f>
        <v>% Change over 09/1/2024</v>
      </c>
      <c r="J32" s="70"/>
      <c r="K32" s="71"/>
      <c r="L32" s="55">
        <f>$D$25</f>
        <v>45292</v>
      </c>
      <c r="M32" s="55">
        <f>$E$25</f>
        <v>45536</v>
      </c>
      <c r="N32" s="58" t="s">
        <v>22</v>
      </c>
      <c r="O32" s="58" t="str">
        <f>$G$25</f>
        <v>% Change over 01/1/2024</v>
      </c>
      <c r="P32" s="381" t="str">
        <f>$H$25</f>
        <v>% Change over 09/1/2024</v>
      </c>
    </row>
    <row r="33" spans="2:17">
      <c r="B33" s="8" t="s">
        <v>50</v>
      </c>
      <c r="C33" s="7"/>
      <c r="D33" s="72">
        <f>((D40*4)+(D47*8)+($L$8*2))/12</f>
        <v>166.94533860734853</v>
      </c>
      <c r="E33" s="72">
        <f>((E40*4)+(E47*8)+($L$8*2))/12</f>
        <v>154.49489511757812</v>
      </c>
      <c r="F33" s="72">
        <f>((F40*4)+(F47*8)+($L$8*2))/12</f>
        <v>155.07935681722219</v>
      </c>
      <c r="G33" s="73">
        <f t="shared" ref="G33:H35" si="3">$F33/D33-1</f>
        <v>-7.1077047667888804E-2</v>
      </c>
      <c r="H33" s="91">
        <f t="shared" si="3"/>
        <v>3.783048619174556E-3</v>
      </c>
      <c r="J33" s="8" t="s">
        <v>50</v>
      </c>
      <c r="K33" s="7"/>
      <c r="L33" s="72">
        <f>((L40*4)+(L47*8)+($L$8*2))/12</f>
        <v>140.07072554484856</v>
      </c>
      <c r="M33" s="72">
        <f>((M40*4)+(M47*8)+($L$8*2))/12</f>
        <v>129.50179571423436</v>
      </c>
      <c r="N33" s="72">
        <f>((N40*4)+(N47*8)+($L$8*2))/12</f>
        <v>129.99701868209658</v>
      </c>
      <c r="O33" s="73">
        <f t="shared" ref="O33:P35" si="4">$N33/L33-1</f>
        <v>-7.191871694508023E-2</v>
      </c>
      <c r="P33" s="91">
        <f t="shared" si="4"/>
        <v>3.824062555510821E-3</v>
      </c>
    </row>
    <row r="34" spans="2:17">
      <c r="B34" s="8" t="s">
        <v>51</v>
      </c>
      <c r="C34" s="7"/>
      <c r="D34" s="72">
        <f t="shared" ref="D34:F35" si="5">((D41*4)+(D48*8)+($L$8*2))/12</f>
        <v>100.62223810734854</v>
      </c>
      <c r="E34" s="72">
        <f t="shared" si="5"/>
        <v>92.859601995349792</v>
      </c>
      <c r="F34" s="72">
        <f t="shared" si="5"/>
        <v>93.223992734507263</v>
      </c>
      <c r="G34" s="73">
        <f t="shared" si="3"/>
        <v>-7.352495344963883E-2</v>
      </c>
      <c r="H34" s="92">
        <f t="shared" si="3"/>
        <v>3.9241040380049164E-3</v>
      </c>
      <c r="J34" s="8" t="s">
        <v>51</v>
      </c>
      <c r="K34" s="7"/>
      <c r="L34" s="72">
        <f t="shared" ref="L34:N35" si="6">((L41*4)+(L48*8)+($L$8*2))/12</f>
        <v>93.141447419848532</v>
      </c>
      <c r="M34" s="72">
        <f t="shared" si="6"/>
        <v>85.896535968233579</v>
      </c>
      <c r="N34" s="72">
        <f t="shared" si="6"/>
        <v>86.236064837658702</v>
      </c>
      <c r="O34" s="73">
        <f t="shared" si="4"/>
        <v>-7.4138665153686278E-2</v>
      </c>
      <c r="P34" s="92">
        <f t="shared" si="4"/>
        <v>3.9527655638020853E-3</v>
      </c>
    </row>
    <row r="35" spans="2:17" ht="15.75" thickBot="1">
      <c r="B35" s="6" t="s">
        <v>143</v>
      </c>
      <c r="C35" s="5"/>
      <c r="D35" s="75">
        <f t="shared" si="5"/>
        <v>147.4108209157389</v>
      </c>
      <c r="E35" s="75">
        <f t="shared" si="5"/>
        <v>136.34110383148291</v>
      </c>
      <c r="F35" s="75">
        <f t="shared" si="5"/>
        <v>136.86074678715053</v>
      </c>
      <c r="G35" s="76">
        <f t="shared" si="3"/>
        <v>-7.1569197315703548E-2</v>
      </c>
      <c r="H35" s="93">
        <f t="shared" si="3"/>
        <v>3.8113447893886043E-3</v>
      </c>
      <c r="J35" s="6" t="s">
        <v>143</v>
      </c>
      <c r="K35" s="5"/>
      <c r="L35" s="75">
        <f t="shared" si="6"/>
        <v>126.24837998385834</v>
      </c>
      <c r="M35" s="75">
        <f t="shared" si="6"/>
        <v>116.6584920759268</v>
      </c>
      <c r="N35" s="75">
        <f t="shared" si="6"/>
        <v>117.10785758089195</v>
      </c>
      <c r="O35" s="76">
        <f t="shared" si="4"/>
        <v>-7.2401106486555067E-2</v>
      </c>
      <c r="P35" s="93">
        <f t="shared" si="4"/>
        <v>3.8519742280971325E-3</v>
      </c>
    </row>
    <row r="36" spans="2:17" ht="15.75" thickBot="1">
      <c r="B36" s="78"/>
      <c r="C36" s="78"/>
      <c r="D36" s="156"/>
      <c r="E36" s="156"/>
      <c r="F36" s="156"/>
      <c r="G36" s="157"/>
      <c r="H36" s="157"/>
      <c r="J36" s="78"/>
      <c r="K36" s="78"/>
      <c r="L36" s="156"/>
      <c r="M36" s="156"/>
      <c r="N36" s="156"/>
      <c r="O36" s="157"/>
      <c r="P36" s="157"/>
    </row>
    <row r="37" spans="2:17" ht="15.75" hidden="1" thickBot="1">
      <c r="D37" s="61">
        <v>2</v>
      </c>
      <c r="E37" s="61">
        <v>4</v>
      </c>
      <c r="F37" s="61">
        <v>6</v>
      </c>
      <c r="L37" s="61">
        <v>2</v>
      </c>
      <c r="M37" s="61">
        <v>4</v>
      </c>
      <c r="N37" s="61">
        <v>6</v>
      </c>
    </row>
    <row r="38" spans="2:17">
      <c r="B38" s="1" t="s">
        <v>268</v>
      </c>
      <c r="C38" s="409"/>
      <c r="D38" s="409"/>
      <c r="E38" s="409"/>
      <c r="F38" s="409"/>
      <c r="G38" s="409"/>
      <c r="H38" s="410"/>
      <c r="J38" s="1" t="s">
        <v>277</v>
      </c>
      <c r="K38" s="409"/>
      <c r="L38" s="409"/>
      <c r="M38" s="409"/>
      <c r="N38" s="409"/>
      <c r="O38" s="409"/>
      <c r="P38" s="410"/>
    </row>
    <row r="39" spans="2:17" ht="30">
      <c r="B39" s="70"/>
      <c r="C39" s="71"/>
      <c r="D39" s="55">
        <f>$D$25</f>
        <v>45292</v>
      </c>
      <c r="E39" s="55">
        <f>$E$25</f>
        <v>45536</v>
      </c>
      <c r="F39" s="58" t="s">
        <v>22</v>
      </c>
      <c r="G39" s="58" t="str">
        <f>$G$25</f>
        <v>% Change over 01/1/2024</v>
      </c>
      <c r="H39" s="381" t="str">
        <f>$H$25</f>
        <v>% Change over 09/1/2024</v>
      </c>
      <c r="J39" s="70"/>
      <c r="K39" s="71"/>
      <c r="L39" s="55">
        <f>$D$25</f>
        <v>45292</v>
      </c>
      <c r="M39" s="55">
        <f>$E$25</f>
        <v>45536</v>
      </c>
      <c r="N39" s="58" t="s">
        <v>22</v>
      </c>
      <c r="O39" s="58" t="str">
        <f>$G$25</f>
        <v>% Change over 01/1/2024</v>
      </c>
      <c r="P39" s="381" t="str">
        <f>$H$25</f>
        <v>% Change over 09/1/2024</v>
      </c>
    </row>
    <row r="40" spans="2:17">
      <c r="B40" s="8" t="s">
        <v>50</v>
      </c>
      <c r="C40" s="7"/>
      <c r="D40" s="72">
        <f>VLOOKUP($D$4,'Hypothetical Res Bill Impact'!$B$37:$H$47,D37,FALSE)</f>
        <v>182.190578625</v>
      </c>
      <c r="E40" s="72">
        <f>VLOOKUP($D$4,'Hypothetical Res Bill Impact'!$B$37:$H$47,E37,FALSE)</f>
        <v>169.31433826698591</v>
      </c>
      <c r="F40" s="72">
        <f>VLOOKUP($D$4,'Hypothetical Res Bill Impact'!$B$37:$H$47,F37,FALSE)</f>
        <v>169.91888100798781</v>
      </c>
      <c r="G40" s="73">
        <f t="shared" ref="G40:H42" si="7">$F40/D40-1</f>
        <v>-6.7356378741574963E-2</v>
      </c>
      <c r="H40" s="92">
        <f t="shared" si="7"/>
        <v>3.5705348241010793E-3</v>
      </c>
      <c r="J40" s="8" t="s">
        <v>50</v>
      </c>
      <c r="K40" s="7"/>
      <c r="L40" s="72">
        <f>VLOOKUP($D$4,'Hypothetical Res Bill Impact'!$J$37:$P$47,L37,FALSE)</f>
        <v>138.92703656250001</v>
      </c>
      <c r="M40" s="72">
        <f>VLOOKUP($D$4,'Hypothetical Res Bill Impact'!$J$37:$P$47,M37,FALSE)</f>
        <v>129.10137486072367</v>
      </c>
      <c r="N40" s="72">
        <f>VLOOKUP($D$4,'Hypothetical Res Bill Impact'!$J$37:$P$47,N37,FALSE)</f>
        <v>129.56233581550319</v>
      </c>
      <c r="O40" s="73">
        <f t="shared" ref="O40:P42" si="8">$N40/L40-1</f>
        <v>-6.7407331061753784E-2</v>
      </c>
      <c r="P40" s="91">
        <f t="shared" si="8"/>
        <v>3.5705348241008572E-3</v>
      </c>
      <c r="Q40" s="168"/>
    </row>
    <row r="41" spans="2:17">
      <c r="B41" s="8" t="s">
        <v>51</v>
      </c>
      <c r="C41" s="7"/>
      <c r="D41" s="72">
        <f>VLOOKUP($D$4,'Hypothetical Res Bill Impact'!$B$53:$H$63,D37,FALSE)</f>
        <v>109.30809137499999</v>
      </c>
      <c r="E41" s="72">
        <f>VLOOKUP($D$4,'Hypothetical Res Bill Impact'!$B$53:$H$63,E37,FALSE)</f>
        <v>101.58095459242061</v>
      </c>
      <c r="F41" s="72">
        <f>VLOOKUP($D$4,'Hypothetical Res Bill Impact'!$B$53:$H$63,F37,FALSE)</f>
        <v>101.94365292825827</v>
      </c>
      <c r="G41" s="73">
        <f t="shared" si="7"/>
        <v>-6.7373223282041872E-2</v>
      </c>
      <c r="H41" s="92">
        <f t="shared" si="7"/>
        <v>3.5705348241010793E-3</v>
      </c>
      <c r="J41" s="8" t="s">
        <v>51</v>
      </c>
      <c r="K41" s="7"/>
      <c r="L41" s="72">
        <f>VLOOKUP($D$4,'Hypothetical Res Bill Impact'!$J$53:$P$63,L37,FALSE)</f>
        <v>91.518694687500002</v>
      </c>
      <c r="M41" s="72">
        <f>VLOOKUP($D$4,'Hypothetical Res Bill Impact'!$J$53:$P$63,M37,FALSE)</f>
        <v>85.047756578759206</v>
      </c>
      <c r="N41" s="72">
        <f>VLOOKUP($D$4,'Hypothetical Res Bill Impact'!$J$53:$P$63,N37,FALSE)</f>
        <v>85.351422555335319</v>
      </c>
      <c r="O41" s="73">
        <f t="shared" si="8"/>
        <v>-6.7388112922976751E-2</v>
      </c>
      <c r="P41" s="92">
        <f t="shared" si="8"/>
        <v>3.5705348241008572E-3</v>
      </c>
    </row>
    <row r="42" spans="2:17" ht="15.75" thickBot="1">
      <c r="B42" s="6" t="s">
        <v>143</v>
      </c>
      <c r="C42" s="5"/>
      <c r="D42" s="75">
        <f>D40*(1-'Hypothetical SAR and RAR'!$Y$16)+D41*'Hypothetical SAR and RAR'!$Y$16</f>
        <v>160.72408767598836</v>
      </c>
      <c r="E42" s="75">
        <f>E40*(1-'Hypothetical SAR and RAR'!$Y$16)+E41*'Hypothetical SAR and RAR'!$Y$16</f>
        <v>149.36444190013285</v>
      </c>
      <c r="F42" s="75">
        <f>F40*(1-'Hypothetical SAR and RAR'!$Y$16)+F41*'Hypothetical SAR and RAR'!$Y$16</f>
        <v>149.8977528414197</v>
      </c>
      <c r="G42" s="76">
        <f t="shared" si="7"/>
        <v>-6.7359752922623528E-2</v>
      </c>
      <c r="H42" s="93">
        <f t="shared" si="7"/>
        <v>3.5705348241010793E-3</v>
      </c>
      <c r="J42" s="6" t="s">
        <v>143</v>
      </c>
      <c r="K42" s="5"/>
      <c r="L42" s="75">
        <f>L40*(1-'Hypothetical SAR and RAR'!$Y$16)+L41*'Hypothetical SAR and RAR'!$Y$16</f>
        <v>124.96358964724209</v>
      </c>
      <c r="M42" s="75">
        <f>M40*(1-'Hypothetical SAR and RAR'!$Y$16)+M41*'Hypothetical SAR and RAR'!$Y$16</f>
        <v>116.12601364840438</v>
      </c>
      <c r="N42" s="75">
        <f>N40*(1-'Hypothetical SAR and RAR'!$Y$16)+N41*'Hypothetical SAR and RAR'!$Y$16</f>
        <v>116.54064562412003</v>
      </c>
      <c r="O42" s="76">
        <f t="shared" si="8"/>
        <v>-6.7403185575086844E-2</v>
      </c>
      <c r="P42" s="93">
        <f t="shared" si="8"/>
        <v>3.5705348241008572E-3</v>
      </c>
    </row>
    <row r="43" spans="2:17" ht="15.75" thickBot="1">
      <c r="B43" s="78"/>
      <c r="C43" s="78"/>
      <c r="D43" s="156"/>
      <c r="E43" s="156"/>
      <c r="F43" s="156"/>
      <c r="G43" s="157"/>
      <c r="H43" s="157"/>
      <c r="J43" s="78"/>
      <c r="K43" s="78"/>
      <c r="L43" s="156"/>
      <c r="M43" s="156"/>
      <c r="N43" s="156"/>
      <c r="O43" s="157"/>
      <c r="P43" s="157"/>
    </row>
    <row r="44" spans="2:17" ht="15.75" hidden="1" thickBot="1">
      <c r="D44" s="61">
        <v>3</v>
      </c>
      <c r="E44" s="61">
        <v>5</v>
      </c>
      <c r="F44" s="61">
        <v>7</v>
      </c>
      <c r="L44" s="61">
        <v>3</v>
      </c>
      <c r="M44" s="61">
        <v>5</v>
      </c>
      <c r="N44" s="61">
        <v>7</v>
      </c>
    </row>
    <row r="45" spans="2:17">
      <c r="B45" s="1" t="s">
        <v>269</v>
      </c>
      <c r="C45" s="409"/>
      <c r="D45" s="409"/>
      <c r="E45" s="409"/>
      <c r="F45" s="409"/>
      <c r="G45" s="409"/>
      <c r="H45" s="410"/>
      <c r="J45" s="1" t="s">
        <v>278</v>
      </c>
      <c r="K45" s="409"/>
      <c r="L45" s="409"/>
      <c r="M45" s="409"/>
      <c r="N45" s="409"/>
      <c r="O45" s="409"/>
      <c r="P45" s="410"/>
    </row>
    <row r="46" spans="2:17" ht="30">
      <c r="B46" s="70"/>
      <c r="C46" s="71"/>
      <c r="D46" s="55">
        <f>$D$25</f>
        <v>45292</v>
      </c>
      <c r="E46" s="55">
        <f>$E$25</f>
        <v>45536</v>
      </c>
      <c r="F46" s="58" t="s">
        <v>22</v>
      </c>
      <c r="G46" s="58" t="str">
        <f>$G$25</f>
        <v>% Change over 01/1/2024</v>
      </c>
      <c r="H46" s="381" t="str">
        <f>$H$25</f>
        <v>% Change over 09/1/2024</v>
      </c>
      <c r="J46" s="70"/>
      <c r="K46" s="71"/>
      <c r="L46" s="55">
        <f>$D$25</f>
        <v>45292</v>
      </c>
      <c r="M46" s="55">
        <f>$E$25</f>
        <v>45536</v>
      </c>
      <c r="N46" s="58" t="s">
        <v>22</v>
      </c>
      <c r="O46" s="58" t="str">
        <f>$G$25</f>
        <v>% Change over 01/1/2024</v>
      </c>
      <c r="P46" s="381" t="str">
        <f>$H$25</f>
        <v>% Change over 09/1/2024</v>
      </c>
    </row>
    <row r="47" spans="2:17">
      <c r="B47" s="8" t="s">
        <v>50</v>
      </c>
      <c r="C47" s="7"/>
      <c r="D47" s="72">
        <f>VLOOKUP($D$4,'Hypothetical Res Bill Impact'!$B$37:$H$47,D44,FALSE)</f>
        <v>173.11573481250002</v>
      </c>
      <c r="E47" s="72">
        <f>VLOOKUP($D$4,'Hypothetical Res Bill Impact'!$B$37:$H$47,E44,FALSE)</f>
        <v>160.87818975685138</v>
      </c>
      <c r="F47" s="72">
        <f>VLOOKUP($D$4,'Hypothetical Res Bill Impact'!$B$37:$H$47,F44,FALSE)</f>
        <v>161.45261093581655</v>
      </c>
      <c r="G47" s="73">
        <f t="shared" ref="G47:H49" si="9">$F47/D47-1</f>
        <v>-6.7371830118825971E-2</v>
      </c>
      <c r="H47" s="92">
        <f t="shared" si="9"/>
        <v>3.5705348241010793E-3</v>
      </c>
      <c r="J47" s="8" t="s">
        <v>50</v>
      </c>
      <c r="K47" s="7"/>
      <c r="L47" s="72">
        <f>VLOOKUP($D$4,'Hypothetical Res Bill Impact'!$J$37:$P$47,L44,FALSE)</f>
        <v>154.43558625</v>
      </c>
      <c r="M47" s="72">
        <f>VLOOKUP($D$4,'Hypothetical Res Bill Impact'!$J$37:$P$47,M44,FALSE)</f>
        <v>143.49502235496686</v>
      </c>
      <c r="N47" s="72">
        <f>VLOOKUP($D$4,'Hypothetical Res Bill Impact'!$J$37:$P$47,N44,FALSE)</f>
        <v>144.00737632937043</v>
      </c>
      <c r="O47" s="73">
        <f t="shared" ref="O47:P49" si="10">$N47/L47-1</f>
        <v>-6.7524656550002726E-2</v>
      </c>
      <c r="P47" s="91">
        <f t="shared" si="10"/>
        <v>3.5705348241010793E-3</v>
      </c>
    </row>
    <row r="48" spans="2:17">
      <c r="B48" s="8" t="s">
        <v>51</v>
      </c>
      <c r="C48" s="7"/>
      <c r="D48" s="72">
        <f>VLOOKUP($D$4,'Hypothetical Res Bill Impact'!$B$53:$H$63,D44,FALSE)</f>
        <v>110.07232768749999</v>
      </c>
      <c r="E48" s="72">
        <f>VLOOKUP($D$4,'Hypothetical Res Bill Impact'!$B$53:$H$63,E44,FALSE)</f>
        <v>102.29194191079155</v>
      </c>
      <c r="F48" s="72">
        <f>VLOOKUP($D$4,'Hypothetical Res Bill Impact'!$B$53:$H$63,F44,FALSE)</f>
        <v>102.65717885160893</v>
      </c>
      <c r="G48" s="73">
        <f t="shared" si="9"/>
        <v>-6.736614907375249E-2</v>
      </c>
      <c r="H48" s="92">
        <f t="shared" si="9"/>
        <v>3.5705348241008572E-3</v>
      </c>
      <c r="J48" s="8" t="s">
        <v>51</v>
      </c>
      <c r="K48" s="7"/>
      <c r="L48" s="72">
        <f>VLOOKUP($D$4,'Hypothetical Res Bill Impact'!$J$53:$P$63,L44,FALSE)</f>
        <v>107.74583999999999</v>
      </c>
      <c r="M48" s="72">
        <f>VLOOKUP($D$4,'Hypothetical Res Bill Impact'!$J$53:$P$63,M44,FALSE)</f>
        <v>100.11394187694793</v>
      </c>
      <c r="N48" s="72">
        <f>VLOOKUP($D$4,'Hypothetical Res Bill Impact'!$J$53:$P$63,N44,FALSE)</f>
        <v>100.47140219279758</v>
      </c>
      <c r="O48" s="73">
        <f t="shared" si="10"/>
        <v>-6.7514790429054172E-2</v>
      </c>
      <c r="P48" s="92">
        <f t="shared" si="10"/>
        <v>3.5705348241008572E-3</v>
      </c>
    </row>
    <row r="49" spans="2:16" ht="15.75" thickBot="1">
      <c r="B49" s="6" t="s">
        <v>143</v>
      </c>
      <c r="C49" s="5"/>
      <c r="D49" s="75">
        <f>D47*(1-'Hypothetical SAR and RAR'!$Y$16)+D48*'Hypothetical SAR and RAR'!$Y$16</f>
        <v>154.54720374959135</v>
      </c>
      <c r="E49" s="75">
        <f>E47*(1-'Hypothetical SAR and RAR'!$Y$16)+E48*'Hypothetical SAR and RAR'!$Y$16</f>
        <v>143.62245101113513</v>
      </c>
      <c r="F49" s="75">
        <f>F47*(1-'Hypothetical SAR and RAR'!$Y$16)+F48*'Hypothetical SAR and RAR'!$Y$16</f>
        <v>144.13525997399313</v>
      </c>
      <c r="G49" s="76">
        <f t="shared" si="9"/>
        <v>-6.7370638374463332E-2</v>
      </c>
      <c r="H49" s="93">
        <f t="shared" si="9"/>
        <v>3.5705348241010793E-3</v>
      </c>
      <c r="J49" s="6" t="s">
        <v>143</v>
      </c>
      <c r="K49" s="5"/>
      <c r="L49" s="75">
        <f>L47*(1-'Hypothetical SAR and RAR'!$Y$16)+L48*'Hypothetical SAR and RAR'!$Y$16</f>
        <v>140.68379136614365</v>
      </c>
      <c r="M49" s="75">
        <f>M47*(1-'Hypothetical SAR and RAR'!$Y$16)+M48*'Hypothetical SAR and RAR'!$Y$16</f>
        <v>130.71774750366521</v>
      </c>
      <c r="N49" s="75">
        <f>N47*(1-'Hypothetical SAR and RAR'!$Y$16)+N48*'Hypothetical SAR and RAR'!$Y$16</f>
        <v>131.18447977325508</v>
      </c>
      <c r="O49" s="76">
        <f t="shared" si="10"/>
        <v>-6.7522430982583259E-2</v>
      </c>
      <c r="P49" s="93">
        <f t="shared" si="10"/>
        <v>3.5705348241008572E-3</v>
      </c>
    </row>
    <row r="51" spans="2:16" ht="15.75" thickBot="1"/>
    <row r="52" spans="2:16">
      <c r="B52" s="1" t="s">
        <v>270</v>
      </c>
      <c r="C52" s="409"/>
      <c r="D52" s="409"/>
      <c r="E52" s="409"/>
      <c r="F52" s="409"/>
      <c r="G52" s="409"/>
      <c r="H52" s="410"/>
      <c r="J52" s="1" t="s">
        <v>279</v>
      </c>
      <c r="K52" s="409"/>
      <c r="L52" s="409"/>
      <c r="M52" s="409"/>
      <c r="N52" s="409"/>
      <c r="O52" s="409"/>
      <c r="P52" s="410"/>
    </row>
    <row r="53" spans="2:16" ht="30">
      <c r="B53" s="70"/>
      <c r="C53" s="71"/>
      <c r="D53" s="55">
        <f>$D$25</f>
        <v>45292</v>
      </c>
      <c r="E53" s="55">
        <f>$E$25</f>
        <v>45536</v>
      </c>
      <c r="F53" s="58" t="s">
        <v>22</v>
      </c>
      <c r="G53" s="58" t="str">
        <f>$G$25</f>
        <v>% Change over 01/1/2024</v>
      </c>
      <c r="H53" s="381" t="str">
        <f>$H$25</f>
        <v>% Change over 09/1/2024</v>
      </c>
      <c r="J53" s="70"/>
      <c r="K53" s="71"/>
      <c r="L53" s="55">
        <f>$D$25</f>
        <v>45292</v>
      </c>
      <c r="M53" s="55">
        <f>$E$25</f>
        <v>45536</v>
      </c>
      <c r="N53" s="58" t="s">
        <v>22</v>
      </c>
      <c r="O53" s="58" t="str">
        <f>$G$25</f>
        <v>% Change over 01/1/2024</v>
      </c>
      <c r="P53" s="381" t="str">
        <f>$H$25</f>
        <v>% Change over 09/1/2024</v>
      </c>
    </row>
    <row r="54" spans="2:16">
      <c r="B54" s="8" t="s">
        <v>236</v>
      </c>
      <c r="C54" s="7"/>
      <c r="D54" s="72">
        <f>((D61*4)+(D68*8)+($L$8*2))/12</f>
        <v>115.25981910734855</v>
      </c>
      <c r="E54" s="72">
        <f>((E61*4)+(E68*8)+($L$8*2))/12</f>
        <v>106.44313573361347</v>
      </c>
      <c r="F54" s="72">
        <f>((F61*4)+(F68*8)+($L$8*2))/12</f>
        <v>106.85602695301777</v>
      </c>
      <c r="G54" s="73">
        <f t="shared" ref="G54:H56" si="11">$F54/D54-1</f>
        <v>-7.291172430614179E-2</v>
      </c>
      <c r="H54" s="91">
        <f t="shared" si="11"/>
        <v>3.8789839904529444E-3</v>
      </c>
      <c r="J54" s="8" t="s">
        <v>236</v>
      </c>
      <c r="K54" s="7"/>
      <c r="L54" s="72">
        <f>((L61*4)+(L68*8)+($L$8*2))/12</f>
        <v>151.48820566984855</v>
      </c>
      <c r="M54" s="72">
        <f>((M61*4)+(M68*8)+($L$8*2))/12</f>
        <v>140.10502199896456</v>
      </c>
      <c r="N54" s="72">
        <f>((N61*4)+(N68*8)+($L$8*2))/12</f>
        <v>140.63810415552422</v>
      </c>
      <c r="O54" s="73">
        <f t="shared" ref="O54:P56" si="12">$N54/L54-1</f>
        <v>-7.162340768608022E-2</v>
      </c>
      <c r="P54" s="91">
        <f t="shared" si="12"/>
        <v>3.804875435254651E-3</v>
      </c>
    </row>
    <row r="55" spans="2:16">
      <c r="B55" s="8" t="s">
        <v>237</v>
      </c>
      <c r="C55" s="7"/>
      <c r="D55" s="72">
        <f t="shared" ref="D55:F56" si="13">((D62*4)+(D69*8)+($L$8*2))/12</f>
        <v>71.71873185734853</v>
      </c>
      <c r="E55" s="72">
        <f t="shared" si="13"/>
        <v>65.987392394470973</v>
      </c>
      <c r="F55" s="72">
        <f t="shared" si="13"/>
        <v>66.255834973447975</v>
      </c>
      <c r="G55" s="73">
        <f t="shared" si="11"/>
        <v>-7.6171130504182338E-2</v>
      </c>
      <c r="H55" s="92">
        <f t="shared" si="11"/>
        <v>4.0680889066242454E-3</v>
      </c>
      <c r="J55" s="8" t="s">
        <v>237</v>
      </c>
      <c r="K55" s="7"/>
      <c r="L55" s="72">
        <f t="shared" ref="L55:N56" si="14">((L62*4)+(L69*8)+($L$8*2))/12</f>
        <v>95.27248685734854</v>
      </c>
      <c r="M55" s="72">
        <f t="shared" si="14"/>
        <v>87.872778030277161</v>
      </c>
      <c r="N55" s="72">
        <f t="shared" si="14"/>
        <v>88.219363140805669</v>
      </c>
      <c r="O55" s="73">
        <f t="shared" si="12"/>
        <v>-7.4031065517409123E-2</v>
      </c>
      <c r="P55" s="92">
        <f t="shared" si="12"/>
        <v>3.9441692671773332E-3</v>
      </c>
    </row>
    <row r="56" spans="2:16" ht="15.75" thickBot="1">
      <c r="B56" s="6" t="s">
        <v>143</v>
      </c>
      <c r="C56" s="5"/>
      <c r="D56" s="75">
        <f t="shared" si="13"/>
        <v>102.43541655703284</v>
      </c>
      <c r="E56" s="75">
        <f t="shared" si="13"/>
        <v>94.527476965735175</v>
      </c>
      <c r="F56" s="75">
        <f t="shared" si="13"/>
        <v>94.897822910556656</v>
      </c>
      <c r="G56" s="76">
        <f t="shared" si="11"/>
        <v>-7.3583862884762041E-2</v>
      </c>
      <c r="H56" s="93">
        <f t="shared" si="11"/>
        <v>3.9178655424785269E-3</v>
      </c>
      <c r="J56" s="6" t="s">
        <v>143</v>
      </c>
      <c r="K56" s="5"/>
      <c r="L56" s="75">
        <f t="shared" si="14"/>
        <v>134.93067224016013</v>
      </c>
      <c r="M56" s="75">
        <f t="shared" si="14"/>
        <v>124.72076393221759</v>
      </c>
      <c r="N56" s="75">
        <f t="shared" si="14"/>
        <v>125.19891605960696</v>
      </c>
      <c r="O56" s="76">
        <f t="shared" si="12"/>
        <v>-7.2124121365317428E-2</v>
      </c>
      <c r="P56" s="93">
        <f t="shared" si="12"/>
        <v>3.833781259143354E-3</v>
      </c>
    </row>
    <row r="57" spans="2:16" ht="15.75" thickBot="1">
      <c r="B57" s="78"/>
      <c r="C57" s="78"/>
      <c r="D57" s="156"/>
      <c r="E57" s="156"/>
      <c r="F57" s="156"/>
      <c r="G57" s="157"/>
      <c r="H57" s="157"/>
      <c r="J57" s="78"/>
      <c r="K57" s="78"/>
      <c r="L57" s="156"/>
      <c r="M57" s="156"/>
      <c r="N57" s="156"/>
      <c r="O57" s="157"/>
      <c r="P57" s="157"/>
    </row>
    <row r="58" spans="2:16" ht="15.75" hidden="1" thickBot="1">
      <c r="D58" s="61">
        <v>2</v>
      </c>
      <c r="E58" s="61">
        <v>4</v>
      </c>
      <c r="F58" s="61">
        <v>6</v>
      </c>
      <c r="L58" s="61">
        <v>2</v>
      </c>
      <c r="M58" s="61">
        <v>4</v>
      </c>
      <c r="N58" s="61">
        <v>6</v>
      </c>
    </row>
    <row r="59" spans="2:16">
      <c r="B59" s="1" t="s">
        <v>271</v>
      </c>
      <c r="C59" s="409"/>
      <c r="D59" s="409"/>
      <c r="E59" s="409"/>
      <c r="F59" s="409"/>
      <c r="G59" s="409"/>
      <c r="H59" s="410"/>
      <c r="J59" s="1" t="s">
        <v>280</v>
      </c>
      <c r="K59" s="409"/>
      <c r="L59" s="409"/>
      <c r="M59" s="409"/>
      <c r="N59" s="409"/>
      <c r="O59" s="409"/>
      <c r="P59" s="410"/>
    </row>
    <row r="60" spans="2:16" ht="30">
      <c r="B60" s="70"/>
      <c r="C60" s="71"/>
      <c r="D60" s="55">
        <f>$D$25</f>
        <v>45292</v>
      </c>
      <c r="E60" s="55">
        <f>$E$25</f>
        <v>45536</v>
      </c>
      <c r="F60" s="58" t="s">
        <v>22</v>
      </c>
      <c r="G60" s="58" t="str">
        <f>$G$25</f>
        <v>% Change over 01/1/2024</v>
      </c>
      <c r="H60" s="381" t="str">
        <f>$H$25</f>
        <v>% Change over 09/1/2024</v>
      </c>
      <c r="J60" s="70"/>
      <c r="K60" s="71"/>
      <c r="L60" s="55">
        <f>$D$25</f>
        <v>45292</v>
      </c>
      <c r="M60" s="55">
        <f>$E$25</f>
        <v>45536</v>
      </c>
      <c r="N60" s="58" t="s">
        <v>22</v>
      </c>
      <c r="O60" s="58" t="str">
        <f>$G$25</f>
        <v>% Change over 01/1/2024</v>
      </c>
      <c r="P60" s="381" t="str">
        <f>$H$25</f>
        <v>% Change over 09/1/2024</v>
      </c>
    </row>
    <row r="61" spans="2:16">
      <c r="B61" s="8" t="s">
        <v>236</v>
      </c>
      <c r="C61" s="7"/>
      <c r="D61" s="72">
        <f>VLOOKUP($D$4,'Hypothetical Res Bill Impact'!$B$69:$H$79,D58,FALSE)</f>
        <v>125.30759587500002</v>
      </c>
      <c r="E61" s="72">
        <f>VLOOKUP($D$4,'Hypothetical Res Bill Impact'!$B$69:$H$79,E58,FALSE)</f>
        <v>116.43052425897908</v>
      </c>
      <c r="F61" s="72">
        <f>VLOOKUP($D$4,'Hypothetical Res Bill Impact'!$B$69:$H$79,F58,FALSE)</f>
        <v>116.8462435004341</v>
      </c>
      <c r="G61" s="73">
        <f t="shared" ref="G61:H63" si="15">$F61/D61-1</f>
        <v>-6.7524656550002726E-2</v>
      </c>
      <c r="H61" s="92">
        <f t="shared" si="15"/>
        <v>3.5705348241010793E-3</v>
      </c>
      <c r="J61" s="8" t="s">
        <v>236</v>
      </c>
      <c r="K61" s="7"/>
      <c r="L61" s="72">
        <f>VLOOKUP($D$4,'Hypothetical Res Bill Impact'!$J$69:$P$79,L58,FALSE)</f>
        <v>108.6851596875</v>
      </c>
      <c r="M61" s="72">
        <f>VLOOKUP($D$4,'Hypothetical Res Bill Impact'!$J$69:$P$79,M58,FALSE)</f>
        <v>100.98565879605327</v>
      </c>
      <c r="N61" s="72">
        <f>VLOOKUP($D$4,'Hypothetical Res Bill Impact'!$J$69:$P$79,N58,FALSE)</f>
        <v>101.34623160751936</v>
      </c>
      <c r="O61" s="73">
        <f t="shared" ref="O61:P63" si="16">$N61/L61-1</f>
        <v>-6.7524656550002837E-2</v>
      </c>
      <c r="P61" s="91">
        <f t="shared" si="16"/>
        <v>3.5705348241008572E-3</v>
      </c>
    </row>
    <row r="62" spans="2:16">
      <c r="B62" s="8" t="s">
        <v>237</v>
      </c>
      <c r="C62" s="7"/>
      <c r="D62" s="72">
        <f>VLOOKUP($D$4,'Hypothetical Res Bill Impact'!$B$85:$H$95,D58,FALSE)</f>
        <v>81.468282000000002</v>
      </c>
      <c r="E62" s="72">
        <f>VLOOKUP($D$4,'Hypothetical Res Bill Impact'!$B$85:$H$95,E58,FALSE)</f>
        <v>75.697686787376696</v>
      </c>
      <c r="F62" s="72">
        <f>VLOOKUP($D$4,'Hypothetical Res Bill Impact'!$B$85:$H$95,F58,FALSE)</f>
        <v>75.967968014154906</v>
      </c>
      <c r="G62" s="73">
        <f t="shared" si="15"/>
        <v>-6.7514790429054283E-2</v>
      </c>
      <c r="H62" s="92">
        <f t="shared" si="15"/>
        <v>3.5705348241008572E-3</v>
      </c>
      <c r="J62" s="8" t="s">
        <v>237</v>
      </c>
      <c r="K62" s="7"/>
      <c r="L62" s="72">
        <f>VLOOKUP($D$4,'Hypothetical Res Bill Impact'!$J$85:$P$95,L58,FALSE)</f>
        <v>70.661265</v>
      </c>
      <c r="M62" s="72">
        <f>VLOOKUP($D$4,'Hypothetical Res Bill Impact'!$J$85:$P$95,M58,FALSE)</f>
        <v>65.656156907418563</v>
      </c>
      <c r="N62" s="72">
        <f>VLOOKUP($D$4,'Hypothetical Res Bill Impact'!$J$85:$P$95,N58,FALSE)</f>
        <v>65.890584502073125</v>
      </c>
      <c r="O62" s="73">
        <f t="shared" si="16"/>
        <v>-6.7514790429054394E-2</v>
      </c>
      <c r="P62" s="92">
        <f t="shared" si="16"/>
        <v>3.5705348241008572E-3</v>
      </c>
    </row>
    <row r="63" spans="2:16" ht="15.75" thickBot="1">
      <c r="B63" s="6" t="s">
        <v>143</v>
      </c>
      <c r="C63" s="5"/>
      <c r="D63" s="75">
        <f>D61*(1-'Hypothetical SAR and RAR'!$Y$16)+D62*'Hypothetical SAR and RAR'!$Y$16</f>
        <v>112.39535495105201</v>
      </c>
      <c r="E63" s="75">
        <f>E61*(1-'Hypothetical SAR and RAR'!$Y$16)+E62*'Hypothetical SAR and RAR'!$Y$16</f>
        <v>104.43325138995093</v>
      </c>
      <c r="F63" s="75">
        <f>F61*(1-'Hypothetical SAR and RAR'!$Y$16)+F62*'Hypothetical SAR and RAR'!$Y$16</f>
        <v>104.80613395083283</v>
      </c>
      <c r="G63" s="76">
        <f t="shared" si="15"/>
        <v>-6.7522550229271228E-2</v>
      </c>
      <c r="H63" s="93">
        <f t="shared" si="15"/>
        <v>3.5705348241008572E-3</v>
      </c>
      <c r="J63" s="6" t="s">
        <v>143</v>
      </c>
      <c r="K63" s="5"/>
      <c r="L63" s="75">
        <f>L61*(1-'Hypothetical SAR and RAR'!$Y$16)+L62*'Hypothetical SAR and RAR'!$Y$16</f>
        <v>97.485767049381835</v>
      </c>
      <c r="M63" s="75">
        <f>M61*(1-'Hypothetical SAR and RAR'!$Y$16)+M62*'Hypothetical SAR and RAR'!$Y$16</f>
        <v>90.579860899447226</v>
      </c>
      <c r="N63" s="75">
        <f>N61*(1-'Hypothetical SAR and RAR'!$Y$16)+N62*'Hypothetical SAR and RAR'!$Y$16</f>
        <v>90.903279447150922</v>
      </c>
      <c r="O63" s="76">
        <f t="shared" si="16"/>
        <v>-6.7522550229271117E-2</v>
      </c>
      <c r="P63" s="93">
        <f t="shared" si="16"/>
        <v>3.5705348241008572E-3</v>
      </c>
    </row>
    <row r="64" spans="2:16" ht="15.75" thickBot="1">
      <c r="B64" s="78"/>
      <c r="C64" s="78"/>
      <c r="D64" s="156"/>
      <c r="E64" s="156"/>
      <c r="F64" s="156"/>
      <c r="G64" s="157"/>
      <c r="H64" s="157"/>
      <c r="J64" s="78"/>
      <c r="K64" s="78"/>
      <c r="L64" s="156"/>
      <c r="M64" s="156"/>
      <c r="N64" s="156"/>
      <c r="O64" s="157"/>
      <c r="P64" s="157"/>
    </row>
    <row r="65" spans="2:16" ht="15.75" hidden="1" thickBot="1">
      <c r="D65" s="61">
        <v>3</v>
      </c>
      <c r="E65" s="61">
        <v>5</v>
      </c>
      <c r="F65" s="61">
        <v>7</v>
      </c>
      <c r="L65" s="61">
        <v>3</v>
      </c>
      <c r="M65" s="61">
        <v>5</v>
      </c>
      <c r="N65" s="61">
        <v>7</v>
      </c>
    </row>
    <row r="66" spans="2:16">
      <c r="B66" s="1" t="s">
        <v>272</v>
      </c>
      <c r="C66" s="409"/>
      <c r="D66" s="409"/>
      <c r="E66" s="409"/>
      <c r="F66" s="409"/>
      <c r="G66" s="409"/>
      <c r="H66" s="410"/>
      <c r="J66" s="1" t="s">
        <v>281</v>
      </c>
      <c r="K66" s="409"/>
      <c r="L66" s="409"/>
      <c r="M66" s="409"/>
      <c r="N66" s="409"/>
      <c r="O66" s="409"/>
      <c r="P66" s="410"/>
    </row>
    <row r="67" spans="2:16" ht="30">
      <c r="B67" s="70"/>
      <c r="C67" s="71"/>
      <c r="D67" s="55">
        <f>$D$25</f>
        <v>45292</v>
      </c>
      <c r="E67" s="55">
        <f>$E$25</f>
        <v>45536</v>
      </c>
      <c r="F67" s="58" t="s">
        <v>22</v>
      </c>
      <c r="G67" s="58" t="str">
        <f>$G$25</f>
        <v>% Change over 01/1/2024</v>
      </c>
      <c r="H67" s="381" t="str">
        <f>$H$25</f>
        <v>% Change over 09/1/2024</v>
      </c>
      <c r="J67" s="70"/>
      <c r="K67" s="71"/>
      <c r="L67" s="55">
        <f>$D$25</f>
        <v>45292</v>
      </c>
      <c r="M67" s="55">
        <f>$E$25</f>
        <v>45536</v>
      </c>
      <c r="N67" s="58" t="s">
        <v>22</v>
      </c>
      <c r="O67" s="58" t="str">
        <f>$G$25</f>
        <v>% Change over 01/1/2024</v>
      </c>
      <c r="P67" s="381" t="str">
        <f>$H$25</f>
        <v>% Change over 09/1/2024</v>
      </c>
    </row>
    <row r="68" spans="2:16">
      <c r="B68" s="8" t="s">
        <v>236</v>
      </c>
      <c r="C68" s="7"/>
      <c r="D68" s="72">
        <f>VLOOKUP($D$4,'Hypothetical Res Bill Impact'!$B$69:$H$79,D65,FALSE)</f>
        <v>124.0289469375</v>
      </c>
      <c r="E68" s="72">
        <f>VLOOKUP($D$4,'Hypothetical Res Bill Impact'!$B$69:$H$79,E65,FALSE)</f>
        <v>115.24245768490785</v>
      </c>
      <c r="F68" s="72">
        <f>VLOOKUP($D$4,'Hypothetical Res Bill Impact'!$B$69:$H$79,F65,FALSE)</f>
        <v>115.65393489328679</v>
      </c>
      <c r="G68" s="73">
        <f t="shared" ref="G68:H70" si="17">$F68/D68-1</f>
        <v>-6.7524656550002837E-2</v>
      </c>
      <c r="H68" s="92">
        <f t="shared" si="17"/>
        <v>3.5705348241008572E-3</v>
      </c>
      <c r="J68" s="8" t="s">
        <v>236</v>
      </c>
      <c r="K68" s="7"/>
      <c r="L68" s="72">
        <f>VLOOKUP($D$4,'Hypothetical Res Bill Impact'!$J$69:$P$79,L65,FALSE)</f>
        <v>186.682744875</v>
      </c>
      <c r="M68" s="72">
        <f>VLOOKUP($D$4,'Hypothetical Res Bill Impact'!$J$69:$P$79,M65,FALSE)</f>
        <v>173.45771981439739</v>
      </c>
      <c r="N68" s="72">
        <f>VLOOKUP($D$4,'Hypothetical Res Bill Impact'!$J$69:$P$79,N65,FALSE)</f>
        <v>174.07705664350382</v>
      </c>
      <c r="O68" s="73">
        <f t="shared" ref="O68:P70" si="18">$N68/L68-1</f>
        <v>-6.7524656550002837E-2</v>
      </c>
      <c r="P68" s="91">
        <f t="shared" si="18"/>
        <v>3.5705348241008572E-3</v>
      </c>
    </row>
    <row r="69" spans="2:16">
      <c r="B69" s="8" t="s">
        <v>237</v>
      </c>
      <c r="C69" s="7"/>
      <c r="D69" s="72">
        <f>VLOOKUP($D$4,'Hypothetical Res Bill Impact'!$B$85:$H$95,D65,FALSE)</f>
        <v>80.636972999999983</v>
      </c>
      <c r="E69" s="72">
        <f>VLOOKUP($D$4,'Hypothetical Res Bill Impact'!$B$85:$H$95,E65,FALSE)</f>
        <v>74.925261411995294</v>
      </c>
      <c r="F69" s="72">
        <f>VLOOKUP($D$4,'Hypothetical Res Bill Impact'!$B$85:$H$95,F65,FALSE)</f>
        <v>75.192784667071678</v>
      </c>
      <c r="G69" s="73">
        <f t="shared" si="17"/>
        <v>-6.7514790429054283E-2</v>
      </c>
      <c r="H69" s="92">
        <f t="shared" si="17"/>
        <v>3.5705348241008572E-3</v>
      </c>
      <c r="J69" s="8" t="s">
        <v>237</v>
      </c>
      <c r="K69" s="7"/>
      <c r="L69" s="72">
        <f>VLOOKUP($D$4,'Hypothetical Res Bill Impact'!$J$85:$P$95,L65,FALSE)</f>
        <v>121.37111399999999</v>
      </c>
      <c r="M69" s="72">
        <f>VLOOKUP($D$4,'Hypothetical Res Bill Impact'!$J$85:$P$95,M65,FALSE)</f>
        <v>112.77410480568363</v>
      </c>
      <c r="N69" s="72">
        <f>VLOOKUP($D$4,'Hypothetical Res Bill Impact'!$J$85:$P$95,N65,FALSE)</f>
        <v>113.17676867414913</v>
      </c>
      <c r="O69" s="73">
        <f t="shared" si="18"/>
        <v>-6.7514790429054283E-2</v>
      </c>
      <c r="P69" s="92">
        <f t="shared" si="18"/>
        <v>3.5705348241008572E-3</v>
      </c>
    </row>
    <row r="70" spans="2:16" ht="15.75" thickBot="1">
      <c r="B70" s="6" t="s">
        <v>143</v>
      </c>
      <c r="C70" s="5"/>
      <c r="D70" s="75">
        <f>D68*(1-'Hypothetical SAR and RAR'!$Y$16)+D69*'Hypothetical SAR and RAR'!$Y$16</f>
        <v>111.24846357400044</v>
      </c>
      <c r="E70" s="75">
        <f>E68*(1-'Hypothetical SAR and RAR'!$Y$16)+E69*'Hypothetical SAR and RAR'!$Y$16</f>
        <v>103.36760596760448</v>
      </c>
      <c r="F70" s="75">
        <f>F68*(1-'Hypothetical SAR and RAR'!$Y$16)+F69*'Hypothetical SAR and RAR'!$Y$16</f>
        <v>103.73668360439575</v>
      </c>
      <c r="G70" s="76">
        <f t="shared" si="17"/>
        <v>-6.7522550229271117E-2</v>
      </c>
      <c r="H70" s="93">
        <f t="shared" si="17"/>
        <v>3.5705348241008572E-3</v>
      </c>
      <c r="J70" s="6" t="s">
        <v>143</v>
      </c>
      <c r="K70" s="5"/>
      <c r="L70" s="75">
        <f>L68*(1-'Hypothetical SAR and RAR'!$Y$16)+L69*'Hypothetical SAR and RAR'!$Y$16</f>
        <v>167.44614104952646</v>
      </c>
      <c r="M70" s="75">
        <f>M68*(1-'Hypothetical SAR and RAR'!$Y$16)+M69*'Hypothetical SAR and RAR'!$Y$16</f>
        <v>155.58423166257995</v>
      </c>
      <c r="N70" s="75">
        <f>N68*(1-'Hypothetical SAR and RAR'!$Y$16)+N69*'Hypothetical SAR and RAR'!$Y$16</f>
        <v>156.13975057981216</v>
      </c>
      <c r="O70" s="76">
        <f t="shared" si="18"/>
        <v>-6.7522550229271339E-2</v>
      </c>
      <c r="P70" s="93">
        <f t="shared" si="18"/>
        <v>3.5705348241008572E-3</v>
      </c>
    </row>
    <row r="72" spans="2:16" ht="15.75" thickBot="1"/>
    <row r="73" spans="2:16">
      <c r="B73" s="1" t="s">
        <v>273</v>
      </c>
      <c r="C73" s="409"/>
      <c r="D73" s="409"/>
      <c r="E73" s="409"/>
      <c r="F73" s="409"/>
      <c r="G73" s="409"/>
      <c r="H73" s="410"/>
      <c r="J73" s="1" t="s">
        <v>282</v>
      </c>
      <c r="K73" s="409"/>
      <c r="L73" s="409"/>
      <c r="M73" s="409"/>
      <c r="N73" s="409"/>
      <c r="O73" s="409"/>
      <c r="P73" s="410"/>
    </row>
    <row r="74" spans="2:16" ht="30">
      <c r="B74" s="70"/>
      <c r="C74" s="71"/>
      <c r="D74" s="55">
        <f>$D$25</f>
        <v>45292</v>
      </c>
      <c r="E74" s="55">
        <f>$E$25</f>
        <v>45536</v>
      </c>
      <c r="F74" s="58" t="s">
        <v>22</v>
      </c>
      <c r="G74" s="58" t="str">
        <f>$G$25</f>
        <v>% Change over 01/1/2024</v>
      </c>
      <c r="H74" s="381" t="str">
        <f>$H$25</f>
        <v>% Change over 09/1/2024</v>
      </c>
      <c r="J74" s="70"/>
      <c r="K74" s="71"/>
      <c r="L74" s="55">
        <f>$D$25</f>
        <v>45292</v>
      </c>
      <c r="M74" s="55">
        <f>$E$25</f>
        <v>45536</v>
      </c>
      <c r="N74" s="58" t="s">
        <v>22</v>
      </c>
      <c r="O74" s="58" t="str">
        <f>$G$25</f>
        <v>% Change over 01/1/2024</v>
      </c>
      <c r="P74" s="381" t="str">
        <f>$H$25</f>
        <v>% Change over 09/1/2024</v>
      </c>
    </row>
    <row r="75" spans="2:16">
      <c r="B75" s="8" t="str">
        <f>$D$3&amp;"kWh Monthly Usage - Non-CARE"</f>
        <v>500kWh Monthly Usage - Non-CARE</v>
      </c>
      <c r="C75" s="7"/>
      <c r="D75" s="72">
        <f>((D82*4)+(D89*8)+($L$8*2))/12</f>
        <v>222.35866360734857</v>
      </c>
      <c r="E75" s="72">
        <f>((E82*4)+(E89*8)+($L$8*2))/12</f>
        <v>206.01237593859284</v>
      </c>
      <c r="F75" s="72">
        <f>((F82*4)+(F89*8)+($L$8*2))/12</f>
        <v>206.7807825975583</v>
      </c>
      <c r="G75" s="73">
        <f t="shared" ref="G75:H77" si="19">$F75/D75-1</f>
        <v>-7.0057450234088603E-2</v>
      </c>
      <c r="H75" s="91">
        <f t="shared" si="19"/>
        <v>3.7299053295443141E-3</v>
      </c>
      <c r="I75" s="168"/>
      <c r="J75" s="8" t="str">
        <f>$D$3&amp;"kWh Monthly Usage - Non-CARE"</f>
        <v>500kWh Monthly Usage - Non-CARE</v>
      </c>
      <c r="K75" s="7"/>
      <c r="L75" s="72">
        <f>((L82*4)+(L89*8)+($L$8*2))/12</f>
        <v>213.25435079484853</v>
      </c>
      <c r="M75" s="72">
        <f>((M82*4)+(M89*8)+($L$8*2))/12</f>
        <v>197.52868673781936</v>
      </c>
      <c r="N75" s="72">
        <f>((N82*4)+(N89*8)+($L$8*2))/12</f>
        <v>198.26680208905657</v>
      </c>
      <c r="O75" s="73">
        <f t="shared" ref="O75:P77" si="20">$N75/L75-1</f>
        <v>-7.0280154425594987E-2</v>
      </c>
      <c r="P75" s="91">
        <f t="shared" si="20"/>
        <v>3.7367501572920236E-3</v>
      </c>
    </row>
    <row r="76" spans="2:16">
      <c r="B76" s="8" t="str">
        <f>$D$3&amp;"kWh Monthly Usage - CARE"</f>
        <v>500kWh Monthly Usage - CARE</v>
      </c>
      <c r="C76" s="7"/>
      <c r="D76" s="72">
        <f t="shared" ref="D76:F77" si="21">((D83*4)+(D90*8)+($L$8*2))/12</f>
        <v>141.34744644068186</v>
      </c>
      <c r="E76" s="72">
        <f t="shared" si="21"/>
        <v>130.72270154137075</v>
      </c>
      <c r="F76" s="72">
        <f t="shared" si="21"/>
        <v>131.22228379600571</v>
      </c>
      <c r="G76" s="73">
        <f t="shared" si="19"/>
        <v>-7.1633148667636481E-2</v>
      </c>
      <c r="H76" s="92">
        <f t="shared" si="19"/>
        <v>3.8216946922324802E-3</v>
      </c>
      <c r="J76" s="8" t="str">
        <f>$D$3&amp;"kWh Monthly Usage - CARE"</f>
        <v>500kWh Monthly Usage - CARE</v>
      </c>
      <c r="K76" s="7"/>
      <c r="L76" s="72">
        <f t="shared" ref="L76:N77" si="22">((L83*4)+(L90*8)+($L$8*2))/12</f>
        <v>135.42882383651519</v>
      </c>
      <c r="M76" s="72">
        <f t="shared" si="22"/>
        <v>125.2069856787934</v>
      </c>
      <c r="N76" s="72">
        <f t="shared" si="22"/>
        <v>125.68687387786116</v>
      </c>
      <c r="O76" s="73">
        <f t="shared" si="20"/>
        <v>-7.1934095583774393E-2</v>
      </c>
      <c r="P76" s="92">
        <f t="shared" si="20"/>
        <v>3.8327589827844566E-3</v>
      </c>
    </row>
    <row r="77" spans="2:16" ht="15.75" thickBot="1">
      <c r="B77" s="6" t="s">
        <v>143</v>
      </c>
      <c r="C77" s="5"/>
      <c r="D77" s="75">
        <f t="shared" si="21"/>
        <v>198.49797188710727</v>
      </c>
      <c r="E77" s="75">
        <f t="shared" si="21"/>
        <v>183.8368825521209</v>
      </c>
      <c r="F77" s="75">
        <f t="shared" si="21"/>
        <v>184.52611083970831</v>
      </c>
      <c r="G77" s="76">
        <f t="shared" si="19"/>
        <v>-7.0387928473874983E-2</v>
      </c>
      <c r="H77" s="93">
        <f t="shared" si="19"/>
        <v>3.7491295436431482E-3</v>
      </c>
      <c r="J77" s="6" t="s">
        <v>143</v>
      </c>
      <c r="K77" s="5"/>
      <c r="L77" s="75">
        <f t="shared" si="22"/>
        <v>190.3319584192628</v>
      </c>
      <c r="M77" s="75">
        <f t="shared" si="22"/>
        <v>176.22736731556395</v>
      </c>
      <c r="N77" s="75">
        <f t="shared" si="22"/>
        <v>176.88942556400471</v>
      </c>
      <c r="O77" s="76">
        <f t="shared" si="20"/>
        <v>-7.0626777378326122E-2</v>
      </c>
      <c r="P77" s="93">
        <f t="shared" si="20"/>
        <v>3.7568412813842045E-3</v>
      </c>
    </row>
    <row r="78" spans="2:16" ht="15.75" thickBot="1">
      <c r="B78" s="78"/>
      <c r="C78" s="78"/>
      <c r="D78" s="156"/>
      <c r="E78" s="156"/>
      <c r="F78" s="156"/>
      <c r="G78" s="157"/>
      <c r="H78" s="157"/>
      <c r="J78" s="78"/>
      <c r="K78" s="78"/>
      <c r="L78" s="156"/>
      <c r="M78" s="156"/>
      <c r="N78" s="156"/>
      <c r="O78" s="157"/>
      <c r="P78" s="157"/>
    </row>
    <row r="79" spans="2:16" ht="15.75" hidden="1" thickBot="1">
      <c r="D79" s="61">
        <v>2</v>
      </c>
      <c r="E79" s="61">
        <v>4</v>
      </c>
      <c r="F79" s="61">
        <v>6</v>
      </c>
      <c r="L79" s="61">
        <v>2</v>
      </c>
      <c r="M79" s="61">
        <v>4</v>
      </c>
      <c r="N79" s="61">
        <v>6</v>
      </c>
    </row>
    <row r="80" spans="2:16">
      <c r="B80" s="1" t="s">
        <v>274</v>
      </c>
      <c r="C80" s="409"/>
      <c r="D80" s="409"/>
      <c r="E80" s="409"/>
      <c r="F80" s="409"/>
      <c r="G80" s="409"/>
      <c r="H80" s="410"/>
      <c r="J80" s="1" t="s">
        <v>283</v>
      </c>
      <c r="K80" s="409"/>
      <c r="L80" s="409"/>
      <c r="M80" s="409"/>
      <c r="N80" s="409"/>
      <c r="O80" s="409"/>
      <c r="P80" s="410"/>
    </row>
    <row r="81" spans="1:16" ht="30">
      <c r="B81" s="70"/>
      <c r="C81" s="71"/>
      <c r="D81" s="55">
        <f>$D$25</f>
        <v>45292</v>
      </c>
      <c r="E81" s="55">
        <f>$E$25</f>
        <v>45536</v>
      </c>
      <c r="F81" s="58" t="s">
        <v>22</v>
      </c>
      <c r="G81" s="58" t="str">
        <f>$G$25</f>
        <v>% Change over 01/1/2024</v>
      </c>
      <c r="H81" s="381" t="str">
        <f>$H$25</f>
        <v>% Change over 09/1/2024</v>
      </c>
      <c r="J81" s="70"/>
      <c r="K81" s="71"/>
      <c r="L81" s="55">
        <f>$D$25</f>
        <v>45292</v>
      </c>
      <c r="M81" s="55">
        <f>$E$25</f>
        <v>45536</v>
      </c>
      <c r="N81" s="58" t="s">
        <v>22</v>
      </c>
      <c r="O81" s="58" t="str">
        <f>$G$25</f>
        <v>% Change over 01/1/2024</v>
      </c>
      <c r="P81" s="381" t="str">
        <f>$H$25</f>
        <v>% Change over 09/1/2024</v>
      </c>
    </row>
    <row r="82" spans="1:16">
      <c r="B82" s="8" t="str">
        <f>$D$3&amp;"kWh Monthly Usage - Non-CARE"</f>
        <v>500kWh Monthly Usage - Non-CARE</v>
      </c>
      <c r="C82" s="7"/>
      <c r="D82" s="72">
        <f>VLOOKUP($D$4,'Hypothetical Res Bill Impact'!$B$101:$H$111,D79,FALSE)</f>
        <v>231.33978862500001</v>
      </c>
      <c r="E82" s="72">
        <f>VLOOKUP($D$4,'Hypothetical Res Bill Impact'!$B$101:$H$111,E79,FALSE)</f>
        <v>215.00810386475553</v>
      </c>
      <c r="F82" s="72">
        <f>VLOOKUP($D$4,'Hypothetical Res Bill Impact'!$B$101:$H$111,F79,FALSE)</f>
        <v>215.77579778706854</v>
      </c>
      <c r="G82" s="73">
        <f t="shared" ref="G82:H84" si="23">$F82/D82-1</f>
        <v>-6.7277621936279064E-2</v>
      </c>
      <c r="H82" s="92">
        <f t="shared" si="23"/>
        <v>3.5705348241008572E-3</v>
      </c>
      <c r="J82" s="8" t="str">
        <f>$D$3&amp;"kWh Monthly Usage - Non-CARE"</f>
        <v>500kWh Monthly Usage - Non-CARE</v>
      </c>
      <c r="K82" s="7"/>
      <c r="L82" s="72">
        <f>VLOOKUP($D$4,'Hypothetical Res Bill Impact'!$J$101:$P$111,L79,FALSE)</f>
        <v>235.5170615625</v>
      </c>
      <c r="M82" s="72">
        <f>VLOOKUP($D$4,'Hypothetical Res Bill Impact'!$J$101:$P$111,M79,FALSE)</f>
        <v>218.90062008628689</v>
      </c>
      <c r="N82" s="72">
        <f>VLOOKUP($D$4,'Hypothetical Res Bill Impact'!$J$101:$P$111,N79,FALSE)</f>
        <v>219.68221237332227</v>
      </c>
      <c r="O82" s="73">
        <f t="shared" ref="O82:P84" si="24">$N82/L82-1</f>
        <v>-6.7234403673873899E-2</v>
      </c>
      <c r="P82" s="91">
        <f t="shared" si="24"/>
        <v>3.5705348241008572E-3</v>
      </c>
    </row>
    <row r="83" spans="1:16">
      <c r="B83" s="8" t="str">
        <f>$D$3&amp;"kWh Monthly Usage - CARE"</f>
        <v>500kWh Monthly Usage - CARE</v>
      </c>
      <c r="C83" s="7"/>
      <c r="D83" s="72">
        <f>VLOOKUP($D$4,'Hypothetical Res Bill Impact'!$B$116:$H$126,D79,FALSE)</f>
        <v>150.40352887500001</v>
      </c>
      <c r="E83" s="72">
        <f>VLOOKUP($D$4,'Hypothetical Res Bill Impact'!$B$116:$H$126,E79,FALSE)</f>
        <v>139.78826413431452</v>
      </c>
      <c r="F83" s="72">
        <f>VLOOKUP($D$4,'Hypothetical Res Bill Impact'!$B$116:$H$126,F79,FALSE)</f>
        <v>140.2873829994067</v>
      </c>
      <c r="G83" s="73">
        <f t="shared" si="23"/>
        <v>-6.7260030075496524E-2</v>
      </c>
      <c r="H83" s="92">
        <f t="shared" si="23"/>
        <v>3.5705348241008572E-3</v>
      </c>
      <c r="J83" s="8" t="str">
        <f>$D$3&amp;"kWh Monthly Usage - CARE"</f>
        <v>500kWh Monthly Usage - CARE</v>
      </c>
      <c r="K83" s="7"/>
      <c r="L83" s="72">
        <f>VLOOKUP($D$4,'Hypothetical Res Bill Impact'!$J$116:$P$126,L79,FALSE)</f>
        <v>153.11913218749999</v>
      </c>
      <c r="M83" s="72">
        <f>VLOOKUP($D$4,'Hypothetical Res Bill Impact'!$J$116:$P$126,M79,FALSE)</f>
        <v>142.31900435361473</v>
      </c>
      <c r="N83" s="72">
        <f>VLOOKUP($D$4,'Hypothetical Res Bill Impact'!$J$116:$P$126,N79,FALSE)</f>
        <v>142.82715931479066</v>
      </c>
      <c r="O83" s="73">
        <f t="shared" si="24"/>
        <v>-6.7215459790527232E-2</v>
      </c>
      <c r="P83" s="92">
        <f t="shared" si="24"/>
        <v>3.5705348241008572E-3</v>
      </c>
    </row>
    <row r="84" spans="1:16" ht="15.75" thickBot="1">
      <c r="B84" s="6" t="s">
        <v>143</v>
      </c>
      <c r="C84" s="5"/>
      <c r="D84" s="75">
        <f>D82*(1-'Hypothetical SAR and RAR'!$Y$16)+D83*'Hypothetical SAR and RAR'!$Y$16</f>
        <v>207.50117453639768</v>
      </c>
      <c r="E84" s="75">
        <f>E82*(1-'Hypothetical SAR and RAR'!$Y$16)+E83*'Hypothetical SAR and RAR'!$Y$16</f>
        <v>192.8531792774416</v>
      </c>
      <c r="F84" s="75">
        <f>F82*(1-'Hypothetical SAR and RAR'!$Y$16)+F83*'Hypothetical SAR and RAR'!$Y$16</f>
        <v>193.54176826999029</v>
      </c>
      <c r="G84" s="76">
        <f t="shared" si="23"/>
        <v>-6.7273866268929394E-2</v>
      </c>
      <c r="H84" s="93">
        <f t="shared" si="23"/>
        <v>3.5705348241008572E-3</v>
      </c>
      <c r="J84" s="6" t="s">
        <v>143</v>
      </c>
      <c r="K84" s="5"/>
      <c r="L84" s="75">
        <f>L82*(1-'Hypothetical SAR and RAR'!$Y$16)+L83*'Hypothetical SAR and RAR'!$Y$16</f>
        <v>211.24793365693805</v>
      </c>
      <c r="M84" s="75">
        <f>M82*(1-'Hypothetical SAR and RAR'!$Y$16)+M83*'Hypothetical SAR and RAR'!$Y$16</f>
        <v>196.34460391539125</v>
      </c>
      <c r="N84" s="75">
        <f>N82*(1-'Hypothetical SAR and RAR'!$Y$16)+N83*'Hypothetical SAR and RAR'!$Y$16</f>
        <v>197.04565916119546</v>
      </c>
      <c r="O84" s="76">
        <f t="shared" si="24"/>
        <v>-6.7230359369132353E-2</v>
      </c>
      <c r="P84" s="93">
        <f t="shared" si="24"/>
        <v>3.5705348241008572E-3</v>
      </c>
    </row>
    <row r="85" spans="1:16" ht="15.75" thickBot="1">
      <c r="B85" s="78"/>
      <c r="C85" s="78"/>
      <c r="D85" s="156"/>
      <c r="E85" s="156"/>
      <c r="F85" s="156"/>
      <c r="G85" s="157"/>
      <c r="H85" s="157"/>
      <c r="J85" s="78"/>
      <c r="K85" s="78"/>
      <c r="L85" s="156"/>
      <c r="M85" s="156"/>
      <c r="N85" s="156"/>
      <c r="O85" s="157"/>
      <c r="P85" s="157"/>
    </row>
    <row r="86" spans="1:16" ht="15.75" hidden="1" thickBot="1">
      <c r="D86" s="61">
        <v>3</v>
      </c>
      <c r="E86" s="61">
        <v>5</v>
      </c>
      <c r="F86" s="61">
        <v>7</v>
      </c>
      <c r="L86" s="61">
        <v>3</v>
      </c>
      <c r="M86" s="61">
        <v>5</v>
      </c>
      <c r="N86" s="61">
        <v>7</v>
      </c>
    </row>
    <row r="87" spans="1:16">
      <c r="B87" s="1" t="s">
        <v>275</v>
      </c>
      <c r="C87" s="409"/>
      <c r="D87" s="409"/>
      <c r="E87" s="409"/>
      <c r="F87" s="409"/>
      <c r="G87" s="409"/>
      <c r="H87" s="410"/>
      <c r="J87" s="1" t="s">
        <v>284</v>
      </c>
      <c r="K87" s="409"/>
      <c r="L87" s="409"/>
      <c r="M87" s="409"/>
      <c r="N87" s="409"/>
      <c r="O87" s="409"/>
      <c r="P87" s="410"/>
    </row>
    <row r="88" spans="1:16" ht="30">
      <c r="B88" s="70"/>
      <c r="C88" s="71"/>
      <c r="D88" s="55">
        <f>$D$25</f>
        <v>45292</v>
      </c>
      <c r="E88" s="55">
        <f>$E$25</f>
        <v>45536</v>
      </c>
      <c r="F88" s="58" t="s">
        <v>22</v>
      </c>
      <c r="G88" s="58" t="str">
        <f>$G$25</f>
        <v>% Change over 01/1/2024</v>
      </c>
      <c r="H88" s="381" t="str">
        <f>$H$25</f>
        <v>% Change over 09/1/2024</v>
      </c>
      <c r="J88" s="70"/>
      <c r="K88" s="71"/>
      <c r="L88" s="55">
        <f>$D$25</f>
        <v>45292</v>
      </c>
      <c r="M88" s="55">
        <f>$E$25</f>
        <v>45536</v>
      </c>
      <c r="N88" s="58" t="s">
        <v>22</v>
      </c>
      <c r="O88" s="58" t="str">
        <f>$G$25</f>
        <v>% Change over 01/1/2024</v>
      </c>
      <c r="P88" s="381" t="str">
        <f>$H$25</f>
        <v>% Change over 09/1/2024</v>
      </c>
    </row>
    <row r="89" spans="1:16">
      <c r="B89" s="8" t="str">
        <f>$D$3&amp;"kWh Monthly Usage - Non-CARE"</f>
        <v>500kWh Monthly Usage - Non-CARE</v>
      </c>
      <c r="C89" s="7"/>
      <c r="D89" s="72">
        <f>VLOOKUP($D$4,'Hypothetical Res Bill Impact'!$B$101:$H$111,D86,FALSE)</f>
        <v>231.66111731250001</v>
      </c>
      <c r="E89" s="72">
        <f>VLOOKUP($D$4,'Hypothetical Res Bill Impact'!$B$101:$H$111,E86,FALSE)</f>
        <v>215.30752818948869</v>
      </c>
      <c r="F89" s="72">
        <f>VLOOKUP($D$4,'Hypothetical Res Bill Impact'!$B$101:$H$111,F86,FALSE)</f>
        <v>216.07629121678036</v>
      </c>
      <c r="G89" s="73">
        <f t="shared" ref="G89:H91" si="25">$F89/D89-1</f>
        <v>-6.7274242119347294E-2</v>
      </c>
      <c r="H89" s="92">
        <f t="shared" si="25"/>
        <v>3.5705348241008572E-3</v>
      </c>
      <c r="J89" s="8" t="str">
        <f>$D$3&amp;"kWh Monthly Usage - Non-CARE"</f>
        <v>500kWh Monthly Usage - Non-CARE</v>
      </c>
      <c r="K89" s="7"/>
      <c r="L89" s="72">
        <f>VLOOKUP($D$4,'Hypothetical Res Bill Impact'!$J$101:$P$111,L86,FALSE)</f>
        <v>215.91601162500001</v>
      </c>
      <c r="M89" s="72">
        <f>VLOOKUP($D$4,'Hypothetical Res Bill Impact'!$J$101:$P$111,M86,FALSE)</f>
        <v>200.63573627756276</v>
      </c>
      <c r="N89" s="72">
        <f>VLOOKUP($D$4,'Hypothetical Res Bill Impact'!$J$101:$P$111,N86,FALSE)</f>
        <v>201.3521131609009</v>
      </c>
      <c r="O89" s="73">
        <f t="shared" ref="O89:P91" si="26">$N89/L89-1</f>
        <v>-6.7451683432322218E-2</v>
      </c>
      <c r="P89" s="91">
        <f t="shared" si="26"/>
        <v>3.5705348241008572E-3</v>
      </c>
    </row>
    <row r="90" spans="1:16">
      <c r="B90" s="8" t="str">
        <f>$D$3&amp;"kWh Monthly Usage - CARE"</f>
        <v>500kWh Monthly Usage - CARE</v>
      </c>
      <c r="C90" s="7"/>
      <c r="D90" s="72">
        <f>VLOOKUP($D$4,'Hypothetical Res Bill Impact'!$B$116:$H$126,D86,FALSE)</f>
        <v>150.61242143749999</v>
      </c>
      <c r="E90" s="72">
        <f>VLOOKUP($D$4,'Hypothetical Res Bill Impact'!$B$116:$H$126,E86,FALSE)</f>
        <v>139.98293645887608</v>
      </c>
      <c r="F90" s="72">
        <f>VLOOKUP($D$4,'Hypothetical Res Bill Impact'!$B$116:$H$126,F86,FALSE)</f>
        <v>140.48275040828241</v>
      </c>
      <c r="G90" s="73">
        <f t="shared" si="25"/>
        <v>-6.7256544530233886E-2</v>
      </c>
      <c r="H90" s="92">
        <f t="shared" si="25"/>
        <v>3.5705348241010793E-3</v>
      </c>
      <c r="J90" s="8" t="str">
        <f>$D$3&amp;"kWh Monthly Usage - CARE"</f>
        <v>500kWh Monthly Usage - CARE</v>
      </c>
      <c r="K90" s="7"/>
      <c r="L90" s="72">
        <f>VLOOKUP($D$4,'Hypothetical Res Bill Impact'!$J$116:$P$126,L86,FALSE)</f>
        <v>140.37668587499999</v>
      </c>
      <c r="M90" s="72">
        <f>VLOOKUP($D$4,'Hypothetical Res Bill Impact'!$J$116:$P$126,M86,FALSE)</f>
        <v>130.44399255535993</v>
      </c>
      <c r="N90" s="72">
        <f>VLOOKUP($D$4,'Hypothetical Res Bill Impact'!$J$116:$P$126,N86,FALSE)</f>
        <v>130.90974737337359</v>
      </c>
      <c r="O90" s="73">
        <f t="shared" si="26"/>
        <v>-6.7439535579692622E-2</v>
      </c>
      <c r="P90" s="92">
        <f t="shared" si="26"/>
        <v>3.5705348241008572E-3</v>
      </c>
    </row>
    <row r="91" spans="1:16" ht="15.75" thickBot="1">
      <c r="B91" s="6" t="s">
        <v>143</v>
      </c>
      <c r="C91" s="5"/>
      <c r="D91" s="75">
        <f>D89*(1-'Hypothetical SAR and RAR'!$Y$16)+D90*'Hypothetical SAR and RAR'!$Y$16</f>
        <v>207.78938677643924</v>
      </c>
      <c r="E91" s="75">
        <f>E89*(1-'Hypothetical SAR and RAR'!$Y$16)+E90*'Hypothetical SAR and RAR'!$Y$16</f>
        <v>193.12175040343772</v>
      </c>
      <c r="F91" s="75">
        <f>F89*(1-'Hypothetical SAR and RAR'!$Y$16)+F90*'Hypothetical SAR and RAR'!$Y$16</f>
        <v>193.81129833854453</v>
      </c>
      <c r="G91" s="76">
        <f t="shared" si="25"/>
        <v>-6.727046388049529E-2</v>
      </c>
      <c r="H91" s="93">
        <f t="shared" si="25"/>
        <v>3.5705348241010793E-3</v>
      </c>
      <c r="J91" s="6" t="s">
        <v>143</v>
      </c>
      <c r="K91" s="5"/>
      <c r="L91" s="75">
        <f>L89*(1-'Hypothetical SAR and RAR'!$Y$16)+L90*'Hypothetical SAR and RAR'!$Y$16</f>
        <v>193.66698701440237</v>
      </c>
      <c r="M91" s="75">
        <f>M89*(1-'Hypothetical SAR and RAR'!$Y$16)+M90*'Hypothetical SAR and RAR'!$Y$16</f>
        <v>179.96176522962747</v>
      </c>
      <c r="N91" s="75">
        <f>N89*(1-'Hypothetical SAR and RAR'!$Y$16)+N90*'Hypothetical SAR and RAR'!$Y$16</f>
        <v>180.60432497938652</v>
      </c>
      <c r="O91" s="76">
        <f t="shared" si="26"/>
        <v>-6.7449089988911859E-2</v>
      </c>
      <c r="P91" s="93">
        <f t="shared" si="26"/>
        <v>3.5705348241008572E-3</v>
      </c>
    </row>
    <row r="92" spans="1:16" ht="15.75" thickBot="1"/>
    <row r="93" spans="1:16">
      <c r="B93" s="4" t="s">
        <v>480</v>
      </c>
      <c r="C93" s="3"/>
      <c r="D93" s="3"/>
      <c r="E93" s="3"/>
      <c r="F93" s="3"/>
      <c r="G93" s="3"/>
      <c r="H93" s="2"/>
      <c r="I93"/>
      <c r="J93"/>
    </row>
    <row r="94" spans="1:16" ht="30">
      <c r="B94" s="70"/>
      <c r="C94" s="71"/>
      <c r="D94" s="55">
        <v>44927</v>
      </c>
      <c r="E94" s="55">
        <v>45170</v>
      </c>
      <c r="F94" s="58" t="s">
        <v>22</v>
      </c>
      <c r="G94" s="58" t="str">
        <f>$G$25</f>
        <v>% Change over 01/1/2024</v>
      </c>
      <c r="H94" s="381" t="str">
        <f>$H$25</f>
        <v>% Change over 09/1/2024</v>
      </c>
      <c r="I94"/>
      <c r="J94"/>
    </row>
    <row r="95" spans="1:16">
      <c r="A95" s="348"/>
      <c r="B95" s="382"/>
      <c r="C95" s="383" t="s">
        <v>442</v>
      </c>
      <c r="D95" s="226">
        <f>('Hypo. Bill Impact (B-1)'!C33*4+'Hypo. Bill Impact (B-1)'!D33*8)/12</f>
        <v>443.31001458849249</v>
      </c>
      <c r="E95" s="226">
        <f>('Hypo. Bill Impact (B-1)'!E33*4+'Hypo. Bill Impact (B-1)'!F33*8)/12</f>
        <v>415.86512810554967</v>
      </c>
      <c r="F95" s="226">
        <f>('Hypo. Bill Impact (B-1)'!G33*4+'Hypo. Bill Impact (B-1)'!H33*8)/12</f>
        <v>417.68869535658496</v>
      </c>
      <c r="G95" s="73">
        <f t="shared" ref="G95:H97" si="27">$F95/D95-1</f>
        <v>-5.77954893613013E-2</v>
      </c>
      <c r="H95" s="92">
        <f t="shared" si="27"/>
        <v>4.3849967881233187E-3</v>
      </c>
      <c r="I95"/>
      <c r="J95"/>
    </row>
    <row r="96" spans="1:16">
      <c r="A96" s="348"/>
      <c r="B96" s="63"/>
      <c r="C96" s="384" t="s">
        <v>441</v>
      </c>
      <c r="D96" s="72">
        <f>('Hypo. Bill Impact (B-1)'!C34*4+'Hypo. Bill Impact (B-1)'!D34*8)/12</f>
        <v>529.51929527212803</v>
      </c>
      <c r="E96" s="72">
        <f>('Hypo. Bill Impact (B-1)'!E34*4+'Hypo. Bill Impact (B-1)'!F34*8)/12</f>
        <v>496.65668531119627</v>
      </c>
      <c r="F96" s="72">
        <f>('Hypo. Bill Impact (B-1)'!G34*4+'Hypo. Bill Impact (B-1)'!H34*8)/12</f>
        <v>498.84021607472442</v>
      </c>
      <c r="G96" s="73">
        <f t="shared" si="27"/>
        <v>-5.7937603919866909E-2</v>
      </c>
      <c r="H96" s="92">
        <f t="shared" si="27"/>
        <v>4.3964590190908037E-3</v>
      </c>
      <c r="I96"/>
      <c r="J96"/>
    </row>
    <row r="97" spans="1:10" ht="15.75" thickBot="1">
      <c r="A97" s="348"/>
      <c r="B97" s="385"/>
      <c r="C97" s="386" t="s">
        <v>605</v>
      </c>
      <c r="D97" s="75">
        <f>('Hypo. Bill Impact (B-1)'!C35*4+'Hypo. Bill Impact (B-1)'!D35*8)/12</f>
        <v>1327.637670316122</v>
      </c>
      <c r="E97" s="75">
        <f>('Hypo. Bill Impact (B-1)'!E35*4+'Hypo. Bill Impact (B-1)'!F35*8)/12</f>
        <v>1244.7857330807788</v>
      </c>
      <c r="F97" s="75">
        <f>('Hypo. Bill Impact (B-1)'!G35*4+'Hypo. Bill Impact (B-1)'!H35*8)/12</f>
        <v>1250.2907898273777</v>
      </c>
      <c r="G97" s="76">
        <f t="shared" si="27"/>
        <v>-5.8259028210857711E-2</v>
      </c>
      <c r="H97" s="93">
        <f t="shared" si="27"/>
        <v>4.422493446301079E-3</v>
      </c>
      <c r="I97"/>
      <c r="J97"/>
    </row>
    <row r="98" spans="1:10" ht="15.75" thickBot="1">
      <c r="I98"/>
      <c r="J98"/>
    </row>
    <row r="99" spans="1:10">
      <c r="B99" s="4" t="s">
        <v>483</v>
      </c>
      <c r="C99" s="3"/>
      <c r="D99" s="3"/>
      <c r="E99" s="3"/>
      <c r="F99" s="3"/>
      <c r="G99" s="3"/>
      <c r="H99" s="2"/>
      <c r="I99"/>
      <c r="J99"/>
    </row>
    <row r="100" spans="1:10" ht="30">
      <c r="B100" s="70"/>
      <c r="C100" s="71"/>
      <c r="D100" s="55">
        <v>44927</v>
      </c>
      <c r="E100" s="55">
        <v>45170</v>
      </c>
      <c r="F100" s="58" t="s">
        <v>22</v>
      </c>
      <c r="G100" s="58" t="str">
        <f>$G$25</f>
        <v>% Change over 01/1/2024</v>
      </c>
      <c r="H100" s="381" t="str">
        <f>$H$25</f>
        <v>% Change over 09/1/2024</v>
      </c>
      <c r="I100"/>
      <c r="J100"/>
    </row>
    <row r="101" spans="1:10">
      <c r="A101" s="348"/>
      <c r="B101" s="63"/>
      <c r="C101" s="383" t="s">
        <v>442</v>
      </c>
      <c r="D101" s="72">
        <f>'Hypo. Bill Impact (B-1)'!C33</f>
        <v>491.87388844303655</v>
      </c>
      <c r="E101" s="72">
        <f>'Hypo. Bill Impact (B-1)'!E33</f>
        <v>463.04789082986565</v>
      </c>
      <c r="F101" s="72">
        <f>'Hypo. Bill Impact (B-1)'!G33</f>
        <v>464.96326260832973</v>
      </c>
      <c r="G101" s="73">
        <f t="shared" ref="G101:H103" si="28">$F101/D101-1</f>
        <v>-5.4710417582622517E-2</v>
      </c>
      <c r="H101" s="92">
        <f t="shared" si="28"/>
        <v>4.1364442348099661E-3</v>
      </c>
      <c r="I101"/>
      <c r="J101"/>
    </row>
    <row r="102" spans="1:10">
      <c r="A102" s="348"/>
      <c r="B102" s="63"/>
      <c r="C102" s="384" t="s">
        <v>441</v>
      </c>
      <c r="D102" s="72">
        <f>'Hypo. Bill Impact (B-1)'!C34</f>
        <v>637.96848025260783</v>
      </c>
      <c r="E102" s="72">
        <f>'Hypo. Bill Impact (B-1)'!E34</f>
        <v>600.38590526340317</v>
      </c>
      <c r="F102" s="72">
        <f>'Hypo. Bill Impact (B-1)'!G34</f>
        <v>602.8831164427811</v>
      </c>
      <c r="G102" s="73">
        <f t="shared" si="28"/>
        <v>-5.4995450239068933E-2</v>
      </c>
      <c r="H102" s="92">
        <f t="shared" si="28"/>
        <v>4.1593434447504407E-3</v>
      </c>
      <c r="I102"/>
      <c r="J102"/>
    </row>
    <row r="103" spans="1:10" ht="15.75" thickBot="1">
      <c r="A103" s="348"/>
      <c r="B103" s="385"/>
      <c r="C103" s="386" t="s">
        <v>605</v>
      </c>
      <c r="D103" s="75">
        <f>'Hypo. Bill Impact (B-1)'!C35</f>
        <v>1626.6053263889487</v>
      </c>
      <c r="E103" s="75">
        <f>'Hypo. Bill Impact (B-1)'!E35</f>
        <v>1530.6646665596409</v>
      </c>
      <c r="F103" s="75">
        <f>'Hypo. Bill Impact (B-1)'!G35</f>
        <v>1537.0395381151814</v>
      </c>
      <c r="G103" s="76">
        <f t="shared" si="28"/>
        <v>-5.5063011795616568E-2</v>
      </c>
      <c r="H103" s="93">
        <f t="shared" si="28"/>
        <v>4.1647734443814866E-3</v>
      </c>
      <c r="I103"/>
      <c r="J103"/>
    </row>
    <row r="104" spans="1:10" ht="15.75" thickBot="1">
      <c r="I104"/>
      <c r="J104"/>
    </row>
    <row r="105" spans="1:10">
      <c r="B105" s="4" t="s">
        <v>484</v>
      </c>
      <c r="C105" s="3"/>
      <c r="D105" s="3"/>
      <c r="E105" s="3"/>
      <c r="F105" s="3"/>
      <c r="G105" s="3"/>
      <c r="H105" s="2"/>
      <c r="I105"/>
      <c r="J105"/>
    </row>
    <row r="106" spans="1:10" ht="30">
      <c r="B106" s="70"/>
      <c r="C106" s="71"/>
      <c r="D106" s="55">
        <v>44927</v>
      </c>
      <c r="E106" s="55">
        <v>45170</v>
      </c>
      <c r="F106" s="58" t="s">
        <v>22</v>
      </c>
      <c r="G106" s="58" t="str">
        <f>$G$25</f>
        <v>% Change over 01/1/2024</v>
      </c>
      <c r="H106" s="381" t="str">
        <f>$H$25</f>
        <v>% Change over 09/1/2024</v>
      </c>
      <c r="I106"/>
      <c r="J106"/>
    </row>
    <row r="107" spans="1:10">
      <c r="A107" s="348"/>
      <c r="B107" s="63"/>
      <c r="C107" s="383" t="s">
        <v>442</v>
      </c>
      <c r="D107" s="226">
        <f>'Hypo. Bill Impact (B-1)'!D33</f>
        <v>419.02807766122049</v>
      </c>
      <c r="E107" s="226">
        <f>'Hypo. Bill Impact (B-1)'!F33</f>
        <v>392.27374674339171</v>
      </c>
      <c r="F107" s="226">
        <f>'Hypo. Bill Impact (B-1)'!H33</f>
        <v>394.05141173071252</v>
      </c>
      <c r="G107" s="73">
        <f t="shared" ref="G107:H109" si="29">$F107/D107-1</f>
        <v>-5.9606186940774242E-2</v>
      </c>
      <c r="H107" s="92">
        <f t="shared" si="29"/>
        <v>4.5316950269518319E-3</v>
      </c>
      <c r="I107"/>
      <c r="J107"/>
    </row>
    <row r="108" spans="1:10">
      <c r="A108" s="348"/>
      <c r="B108" s="63"/>
      <c r="C108" s="384" t="s">
        <v>441</v>
      </c>
      <c r="D108" s="72">
        <f>'Hypo. Bill Impact (B-1)'!D34</f>
        <v>475.29470278188808</v>
      </c>
      <c r="E108" s="72">
        <f>'Hypo. Bill Impact (B-1)'!F34</f>
        <v>444.79207533509287</v>
      </c>
      <c r="F108" s="72">
        <f>'Hypo. Bill Impact (B-1)'!H34</f>
        <v>446.81876589069611</v>
      </c>
      <c r="G108" s="73">
        <f t="shared" si="29"/>
        <v>-5.9912169701288542E-2</v>
      </c>
      <c r="H108" s="92">
        <f t="shared" si="29"/>
        <v>4.5564898027385947E-3</v>
      </c>
      <c r="I108"/>
      <c r="J108"/>
    </row>
    <row r="109" spans="1:10" ht="15.75" thickBot="1">
      <c r="A109" s="348"/>
      <c r="B109" s="387"/>
      <c r="C109" s="386" t="s">
        <v>605</v>
      </c>
      <c r="D109" s="75">
        <f>'Hypo. Bill Impact (B-1)'!D35</f>
        <v>1178.1538422797087</v>
      </c>
      <c r="E109" s="75">
        <f>'Hypo. Bill Impact (B-1)'!F35</f>
        <v>1101.8462663413477</v>
      </c>
      <c r="F109" s="75">
        <f>'Hypo. Bill Impact (B-1)'!H35</f>
        <v>1106.9164156834759</v>
      </c>
      <c r="G109" s="76">
        <f t="shared" si="29"/>
        <v>-6.0465300913834397E-2</v>
      </c>
      <c r="H109" s="93">
        <f t="shared" si="29"/>
        <v>4.601503401162832E-3</v>
      </c>
      <c r="I109"/>
      <c r="J109"/>
    </row>
  </sheetData>
  <mergeCells count="85">
    <mergeCell ref="J59:P59"/>
    <mergeCell ref="B61:C61"/>
    <mergeCell ref="J61:K61"/>
    <mergeCell ref="B89:C89"/>
    <mergeCell ref="J89:K89"/>
    <mergeCell ref="B70:C70"/>
    <mergeCell ref="B77:C77"/>
    <mergeCell ref="B75:C75"/>
    <mergeCell ref="J75:K75"/>
    <mergeCell ref="B76:C76"/>
    <mergeCell ref="J76:K76"/>
    <mergeCell ref="J77:K77"/>
    <mergeCell ref="B80:H80"/>
    <mergeCell ref="J80:P80"/>
    <mergeCell ref="B82:C82"/>
    <mergeCell ref="J63:K63"/>
    <mergeCell ref="B90:C90"/>
    <mergeCell ref="J90:K90"/>
    <mergeCell ref="B91:C91"/>
    <mergeCell ref="J91:K91"/>
    <mergeCell ref="B87:H87"/>
    <mergeCell ref="J87:P87"/>
    <mergeCell ref="B66:H66"/>
    <mergeCell ref="J66:P66"/>
    <mergeCell ref="B68:C68"/>
    <mergeCell ref="J68:K68"/>
    <mergeCell ref="B63:C63"/>
    <mergeCell ref="B84:C84"/>
    <mergeCell ref="J84:K84"/>
    <mergeCell ref="B69:C69"/>
    <mergeCell ref="J69:K69"/>
    <mergeCell ref="B73:H73"/>
    <mergeCell ref="J73:P73"/>
    <mergeCell ref="J82:K82"/>
    <mergeCell ref="B83:C83"/>
    <mergeCell ref="J83:K83"/>
    <mergeCell ref="J70:K70"/>
    <mergeCell ref="J62:K62"/>
    <mergeCell ref="J26:K26"/>
    <mergeCell ref="B28:C28"/>
    <mergeCell ref="J28:K28"/>
    <mergeCell ref="B31:H31"/>
    <mergeCell ref="B33:C33"/>
    <mergeCell ref="J31:P31"/>
    <mergeCell ref="J33:K33"/>
    <mergeCell ref="J41:K41"/>
    <mergeCell ref="J42:K42"/>
    <mergeCell ref="J45:P45"/>
    <mergeCell ref="J47:K47"/>
    <mergeCell ref="J48:K48"/>
    <mergeCell ref="B34:C34"/>
    <mergeCell ref="J34:K34"/>
    <mergeCell ref="B59:H59"/>
    <mergeCell ref="B25:C25"/>
    <mergeCell ref="J25:K25"/>
    <mergeCell ref="B26:C26"/>
    <mergeCell ref="J49:K49"/>
    <mergeCell ref="B62:C62"/>
    <mergeCell ref="J35:K35"/>
    <mergeCell ref="J38:P38"/>
    <mergeCell ref="J40:K40"/>
    <mergeCell ref="B52:H52"/>
    <mergeCell ref="J52:P52"/>
    <mergeCell ref="B54:C54"/>
    <mergeCell ref="J54:K54"/>
    <mergeCell ref="B55:C55"/>
    <mergeCell ref="J55:K55"/>
    <mergeCell ref="B56:C56"/>
    <mergeCell ref="J56:K56"/>
    <mergeCell ref="B93:H93"/>
    <mergeCell ref="B99:H99"/>
    <mergeCell ref="B105:H105"/>
    <mergeCell ref="P9:P10"/>
    <mergeCell ref="Q9:Q10"/>
    <mergeCell ref="B48:C48"/>
    <mergeCell ref="B49:C49"/>
    <mergeCell ref="B38:H38"/>
    <mergeCell ref="B40:C40"/>
    <mergeCell ref="B41:C41"/>
    <mergeCell ref="B42:C42"/>
    <mergeCell ref="B45:H45"/>
    <mergeCell ref="B47:C47"/>
    <mergeCell ref="B35:C35"/>
    <mergeCell ref="B24:H24"/>
    <mergeCell ref="J24:P24"/>
  </mergeCells>
  <dataValidations count="1">
    <dataValidation type="list" allowBlank="1" showInputMessage="1" showErrorMessage="1" sqref="D5" xr:uid="{00000000-0002-0000-0A00-000000000000}">
      <formula1>"Y, N"</formula1>
    </dataValidation>
  </dataValidations>
  <pageMargins left="0.7" right="0.7" top="0.75" bottom="0.75" header="0.3" footer="0.3"/>
  <pageSetup orientation="portrait" r:id="rId1"/>
  <headerFooter>
    <oddFooter xml:space="preserve">&amp;C_x000D_&amp;1#&amp;"Calibri"&amp;12&amp;K000000 Public 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1000000}">
          <x14:formula1>
            <xm:f>'Hypothetical Res Bill Impact'!$B$37:$B$47</xm:f>
          </x14:formula1>
          <xm:sqref>D4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77218-C889-4585-8412-A28641D7EF4B}">
  <sheetPr codeName="Sheet7">
    <tabColor rgb="FF92D050"/>
  </sheetPr>
  <dimension ref="B1:AF83"/>
  <sheetViews>
    <sheetView zoomScale="50" zoomScaleNormal="50" workbookViewId="0">
      <selection activeCell="V78" sqref="V78"/>
    </sheetView>
  </sheetViews>
  <sheetFormatPr defaultColWidth="8.85546875" defaultRowHeight="15"/>
  <cols>
    <col min="1" max="1" width="3.5703125" style="61" customWidth="1"/>
    <col min="2" max="3" width="19.42578125" style="61" customWidth="1"/>
    <col min="4" max="4" width="10.5703125" style="61" customWidth="1"/>
    <col min="5" max="5" width="30.42578125" style="61" customWidth="1"/>
    <col min="6" max="6" width="13.5703125" style="61" customWidth="1"/>
    <col min="7" max="7" width="14.140625" style="61" customWidth="1"/>
    <col min="8" max="8" width="16" style="61" customWidth="1"/>
    <col min="9" max="9" width="15.140625" style="61" customWidth="1"/>
    <col min="10" max="10" width="15.42578125" style="61" bestFit="1" customWidth="1"/>
    <col min="11" max="13" width="15.42578125" style="61" customWidth="1"/>
    <col min="14" max="14" width="13" style="61" customWidth="1"/>
    <col min="15" max="15" width="15.5703125" style="61" customWidth="1"/>
    <col min="16" max="16" width="13" style="61" customWidth="1"/>
    <col min="17" max="18" width="14" style="61" customWidth="1"/>
    <col min="19" max="19" width="21.5703125" style="61" customWidth="1"/>
    <col min="20" max="20" width="15" style="61" customWidth="1"/>
    <col min="21" max="21" width="18" style="61" customWidth="1"/>
    <col min="22" max="22" width="15.85546875" style="61" bestFit="1" customWidth="1"/>
    <col min="23" max="24" width="20.140625" style="61" customWidth="1"/>
    <col min="25" max="25" width="12.7109375" style="61" bestFit="1" customWidth="1"/>
    <col min="26" max="26" width="20.140625" style="61" bestFit="1" customWidth="1"/>
    <col min="27" max="27" width="13.7109375" style="61" bestFit="1" customWidth="1"/>
    <col min="28" max="28" width="10.85546875" style="61" bestFit="1" customWidth="1"/>
    <col min="29" max="29" width="14.42578125" style="61" bestFit="1" customWidth="1"/>
    <col min="30" max="30" width="8.85546875" style="61"/>
    <col min="31" max="31" width="10.85546875" style="61" bestFit="1" customWidth="1"/>
    <col min="32" max="32" width="14.42578125" style="61" bestFit="1" customWidth="1"/>
    <col min="33" max="16384" width="8.85546875" style="61"/>
  </cols>
  <sheetData>
    <row r="1" spans="2:25" ht="53.85" customHeight="1"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</row>
    <row r="2" spans="2:25" ht="15.75">
      <c r="B2" s="105"/>
      <c r="C2" s="388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</row>
    <row r="3" spans="2:25">
      <c r="B3" s="15"/>
      <c r="C3" s="84" t="s">
        <v>203</v>
      </c>
      <c r="P3" s="330"/>
      <c r="Q3" s="330"/>
      <c r="R3" s="330"/>
      <c r="S3" s="330"/>
      <c r="T3" s="330"/>
      <c r="U3" s="330"/>
      <c r="V3" s="330"/>
      <c r="W3" s="330"/>
    </row>
    <row r="4" spans="2:25" ht="15.75">
      <c r="B4" s="78" t="s">
        <v>4</v>
      </c>
      <c r="C4" s="16">
        <f>'Hypothetical Summary'!D7</f>
        <v>0</v>
      </c>
      <c r="F4" s="430" t="s">
        <v>184</v>
      </c>
      <c r="G4" s="430"/>
      <c r="H4" s="430"/>
      <c r="I4" s="430"/>
      <c r="J4" s="430"/>
      <c r="K4" s="430"/>
      <c r="L4" s="430"/>
      <c r="M4" s="430"/>
      <c r="N4" s="430"/>
      <c r="O4" s="430"/>
      <c r="Q4" s="389"/>
      <c r="R4" s="57"/>
      <c r="S4" s="57"/>
      <c r="T4" s="57"/>
      <c r="U4" s="57"/>
      <c r="V4" s="57"/>
      <c r="W4" s="57"/>
      <c r="X4" s="57"/>
      <c r="Y4" s="57"/>
    </row>
    <row r="5" spans="2:25" ht="15.75">
      <c r="B5" s="78" t="s">
        <v>15</v>
      </c>
      <c r="C5" s="16">
        <f>'Hypothetical Summary'!D8</f>
        <v>0</v>
      </c>
      <c r="E5" s="18"/>
      <c r="F5" s="19" t="s">
        <v>4</v>
      </c>
      <c r="G5" s="19" t="s">
        <v>6</v>
      </c>
      <c r="H5" s="19" t="s">
        <v>17</v>
      </c>
      <c r="I5" s="19" t="s">
        <v>185</v>
      </c>
      <c r="J5" s="19" t="s">
        <v>15</v>
      </c>
      <c r="K5" s="19" t="s">
        <v>11</v>
      </c>
      <c r="L5" s="19" t="s">
        <v>69</v>
      </c>
      <c r="M5" s="19" t="s">
        <v>138</v>
      </c>
      <c r="N5" s="19" t="s">
        <v>145</v>
      </c>
      <c r="O5" s="19" t="s">
        <v>186</v>
      </c>
      <c r="P5" s="331" t="s">
        <v>25</v>
      </c>
      <c r="Q5" s="19" t="s">
        <v>297</v>
      </c>
      <c r="R5" s="331" t="s">
        <v>219</v>
      </c>
      <c r="S5" s="390" t="s">
        <v>328</v>
      </c>
    </row>
    <row r="6" spans="2:25" ht="15.75">
      <c r="B6" s="78" t="s">
        <v>6</v>
      </c>
      <c r="C6" s="16">
        <f>'Hypothetical Summary'!D9</f>
        <v>100000</v>
      </c>
      <c r="E6" s="18" t="s">
        <v>20</v>
      </c>
      <c r="F6" s="126">
        <f>'SAR and RAR'!G6</f>
        <v>0.41961677830328925</v>
      </c>
      <c r="G6" s="126">
        <f>'SAR and RAR'!H6</f>
        <v>0.41030043760165247</v>
      </c>
      <c r="H6" s="126">
        <f>'SAR and RAR'!I6</f>
        <v>0.34374584048159085</v>
      </c>
      <c r="I6" s="126">
        <f>'SAR and RAR'!J6</f>
        <v>0.32579002610373808</v>
      </c>
      <c r="J6" s="126">
        <f>'SAR and RAR'!K6</f>
        <v>0.47268993749771782</v>
      </c>
      <c r="K6" s="126">
        <f>'SAR and RAR'!L6</f>
        <v>0.46778394463327705</v>
      </c>
      <c r="L6" s="126">
        <f>'SAR and RAR'!M6</f>
        <v>0.36971075562333439</v>
      </c>
      <c r="M6" s="126">
        <f>'SAR and RAR'!N6</f>
        <v>0.35127959810528381</v>
      </c>
      <c r="N6" s="126">
        <f>'SAR and RAR'!O6</f>
        <v>0.3551118269030733</v>
      </c>
      <c r="O6" s="126">
        <f>'SAR and RAR'!P6</f>
        <v>0.86318626849318725</v>
      </c>
      <c r="P6" s="126">
        <f>'SAR and RAR'!Q6</f>
        <v>0.26631071752033519</v>
      </c>
      <c r="Q6" s="126">
        <f>'SAR and RAR'!R6</f>
        <v>0.32536443369300266</v>
      </c>
      <c r="R6" s="126">
        <f>'SAR and RAR'!S6</f>
        <v>0.3819272913100783</v>
      </c>
      <c r="S6" s="126">
        <f>'SAR and RAR'!T6</f>
        <v>0.4156426708708027</v>
      </c>
    </row>
    <row r="7" spans="2:25" ht="15.75">
      <c r="B7" s="78" t="s">
        <v>140</v>
      </c>
      <c r="C7" s="16">
        <f>'Hypothetical Summary'!D10</f>
        <v>0</v>
      </c>
      <c r="E7" s="18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</row>
    <row r="8" spans="2:25" ht="15.75">
      <c r="B8" s="78" t="s">
        <v>69</v>
      </c>
      <c r="C8" s="16">
        <f>'Hypothetical Summary'!D11</f>
        <v>0</v>
      </c>
      <c r="E8" s="36"/>
      <c r="F8" s="430" t="s">
        <v>187</v>
      </c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</row>
    <row r="9" spans="2:25" ht="15.6" customHeight="1">
      <c r="B9" s="78" t="s">
        <v>17</v>
      </c>
      <c r="C9" s="16">
        <f>'Hypothetical Summary'!D12</f>
        <v>0</v>
      </c>
      <c r="E9" s="106"/>
      <c r="F9" s="19" t="s">
        <v>4</v>
      </c>
      <c r="G9" s="19" t="s">
        <v>6</v>
      </c>
      <c r="H9" s="19" t="s">
        <v>17</v>
      </c>
      <c r="I9" s="19" t="s">
        <v>16</v>
      </c>
      <c r="J9" s="19" t="s">
        <v>15</v>
      </c>
      <c r="K9" s="19" t="s">
        <v>11</v>
      </c>
      <c r="L9" s="19" t="s">
        <v>69</v>
      </c>
      <c r="M9" s="19" t="s">
        <v>138</v>
      </c>
      <c r="N9" s="19" t="s">
        <v>145</v>
      </c>
      <c r="O9" s="19" t="s">
        <v>140</v>
      </c>
      <c r="P9" s="19" t="s">
        <v>18</v>
      </c>
      <c r="Q9" s="19" t="s">
        <v>297</v>
      </c>
      <c r="R9" s="331" t="s">
        <v>219</v>
      </c>
      <c r="S9" s="390" t="s">
        <v>328</v>
      </c>
      <c r="T9" s="19" t="s">
        <v>143</v>
      </c>
    </row>
    <row r="10" spans="2:25" ht="15.75">
      <c r="B10" s="78" t="s">
        <v>16</v>
      </c>
      <c r="C10" s="16">
        <f>'Hypothetical Summary'!D13</f>
        <v>0</v>
      </c>
      <c r="E10" s="18" t="s">
        <v>20</v>
      </c>
      <c r="F10" s="333">
        <f>F6*F11</f>
        <v>0</v>
      </c>
      <c r="G10" s="333">
        <f>G6*G11</f>
        <v>41030.043760165245</v>
      </c>
      <c r="H10" s="333">
        <f t="shared" ref="H10:P10" si="0">H6*H11</f>
        <v>0</v>
      </c>
      <c r="I10" s="333">
        <f t="shared" si="0"/>
        <v>0</v>
      </c>
      <c r="J10" s="333">
        <f t="shared" si="0"/>
        <v>0</v>
      </c>
      <c r="K10" s="333">
        <f t="shared" si="0"/>
        <v>0</v>
      </c>
      <c r="L10" s="333">
        <f t="shared" si="0"/>
        <v>0</v>
      </c>
      <c r="M10" s="333">
        <f t="shared" si="0"/>
        <v>0</v>
      </c>
      <c r="N10" s="333">
        <f t="shared" si="0"/>
        <v>0</v>
      </c>
      <c r="O10" s="333">
        <f t="shared" si="0"/>
        <v>0</v>
      </c>
      <c r="P10" s="333">
        <f t="shared" si="0"/>
        <v>0</v>
      </c>
      <c r="Q10" s="333">
        <f>Q6*Q11</f>
        <v>0</v>
      </c>
      <c r="R10" s="333">
        <f>R6*R11</f>
        <v>0</v>
      </c>
      <c r="S10" s="333">
        <f>S6*S11</f>
        <v>0</v>
      </c>
      <c r="T10" s="333">
        <f>SUM(F10:S10)</f>
        <v>41030.043760165245</v>
      </c>
    </row>
    <row r="11" spans="2:25" ht="15.75">
      <c r="B11" s="78" t="s">
        <v>18</v>
      </c>
      <c r="C11" s="16">
        <f>'Hypothetical Summary'!D14</f>
        <v>0</v>
      </c>
      <c r="E11" s="18" t="s">
        <v>24</v>
      </c>
      <c r="F11" s="107">
        <f>VLOOKUP(F9,$B$4:$C$17,2,FALSE)</f>
        <v>0</v>
      </c>
      <c r="G11" s="107">
        <f t="shared" ref="G11:S11" si="1">VLOOKUP(G9,$B$4:$C$17,2,FALSE)</f>
        <v>100000</v>
      </c>
      <c r="H11" s="107">
        <f t="shared" si="1"/>
        <v>0</v>
      </c>
      <c r="I11" s="107">
        <f t="shared" si="1"/>
        <v>0</v>
      </c>
      <c r="J11" s="107">
        <f t="shared" si="1"/>
        <v>0</v>
      </c>
      <c r="K11" s="107">
        <f t="shared" si="1"/>
        <v>0</v>
      </c>
      <c r="L11" s="107">
        <f t="shared" si="1"/>
        <v>0</v>
      </c>
      <c r="M11" s="107">
        <f t="shared" si="1"/>
        <v>0</v>
      </c>
      <c r="N11" s="107">
        <f t="shared" si="1"/>
        <v>0</v>
      </c>
      <c r="O11" s="107">
        <f t="shared" si="1"/>
        <v>0</v>
      </c>
      <c r="P11" s="107">
        <f t="shared" si="1"/>
        <v>0</v>
      </c>
      <c r="Q11" s="107">
        <f t="shared" si="1"/>
        <v>0</v>
      </c>
      <c r="R11" s="107">
        <f t="shared" si="1"/>
        <v>0</v>
      </c>
      <c r="S11" s="107">
        <f t="shared" si="1"/>
        <v>0</v>
      </c>
      <c r="T11" s="107">
        <f>SUM(F11:S11)</f>
        <v>100000</v>
      </c>
    </row>
    <row r="12" spans="2:25" ht="15.75">
      <c r="B12" s="78" t="s">
        <v>138</v>
      </c>
      <c r="C12" s="16">
        <f>'Hypothetical Summary'!D15</f>
        <v>0</v>
      </c>
      <c r="E12" s="106"/>
    </row>
    <row r="13" spans="2:25" ht="15.6" customHeight="1">
      <c r="B13" s="78" t="s">
        <v>11</v>
      </c>
      <c r="C13" s="16">
        <f>'Hypothetical Summary'!D16</f>
        <v>0</v>
      </c>
      <c r="E13" s="18"/>
      <c r="F13" s="333"/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120"/>
    </row>
    <row r="14" spans="2:25" ht="15.6" customHeight="1">
      <c r="B14" s="78" t="s">
        <v>145</v>
      </c>
      <c r="C14" s="16">
        <f>'Hypothetical Summary'!D17</f>
        <v>0</v>
      </c>
      <c r="E14" s="18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</row>
    <row r="15" spans="2:25" ht="15.75">
      <c r="B15" s="78" t="s">
        <v>219</v>
      </c>
      <c r="C15" s="16">
        <f>'Hypothetical Summary'!D18</f>
        <v>0</v>
      </c>
      <c r="E15" s="268"/>
      <c r="F15" s="17"/>
      <c r="G15" s="17"/>
      <c r="H15" s="17"/>
      <c r="I15" s="36"/>
      <c r="V15" s="18"/>
      <c r="W15" s="335"/>
      <c r="X15" s="335"/>
    </row>
    <row r="16" spans="2:25" ht="15.75">
      <c r="B16" s="78" t="s">
        <v>297</v>
      </c>
      <c r="C16" s="16">
        <f>'Hypothetical Summary'!D19</f>
        <v>0</v>
      </c>
      <c r="T16" s="466"/>
      <c r="U16" s="435"/>
      <c r="V16" s="391"/>
      <c r="X16" s="149" t="s">
        <v>244</v>
      </c>
      <c r="Y16" s="150">
        <v>0.29453565265106463</v>
      </c>
    </row>
    <row r="17" spans="2:32" ht="15.75">
      <c r="B17" s="61" t="s">
        <v>328</v>
      </c>
      <c r="C17" s="108">
        <f>'Hypothetical Summary'!D20</f>
        <v>0</v>
      </c>
      <c r="T17" s="336"/>
      <c r="U17" s="337"/>
      <c r="V17" s="391"/>
      <c r="X17" s="149"/>
      <c r="Y17" s="150"/>
    </row>
    <row r="18" spans="2:32" ht="15.75">
      <c r="B18" s="78" t="s">
        <v>143</v>
      </c>
      <c r="C18" s="121">
        <f>SUM(C4:C17)</f>
        <v>100000</v>
      </c>
      <c r="E18" s="36"/>
      <c r="F18" s="439" t="s">
        <v>188</v>
      </c>
      <c r="G18" s="439"/>
      <c r="H18" s="439"/>
      <c r="I18" s="439"/>
      <c r="J18" s="439"/>
      <c r="K18" s="439"/>
      <c r="L18" s="439"/>
      <c r="M18" s="439"/>
      <c r="N18" s="439"/>
      <c r="O18" s="439"/>
      <c r="P18" s="439"/>
      <c r="Q18" s="43"/>
      <c r="T18" s="432" t="s">
        <v>189</v>
      </c>
      <c r="U18" s="433"/>
      <c r="V18" s="391"/>
      <c r="X18" s="149" t="s">
        <v>245</v>
      </c>
      <c r="Y18" s="150">
        <v>0.29330342694883099</v>
      </c>
    </row>
    <row r="19" spans="2:32" ht="15.75">
      <c r="B19" s="20"/>
      <c r="C19" s="16"/>
      <c r="D19" s="36"/>
      <c r="F19" s="331" t="s">
        <v>4</v>
      </c>
      <c r="G19" s="19" t="s">
        <v>6</v>
      </c>
      <c r="H19" s="19" t="s">
        <v>17</v>
      </c>
      <c r="I19" s="19" t="s">
        <v>185</v>
      </c>
      <c r="J19" s="19" t="s">
        <v>15</v>
      </c>
      <c r="K19" s="19" t="s">
        <v>11</v>
      </c>
      <c r="L19" s="19" t="s">
        <v>69</v>
      </c>
      <c r="M19" s="19" t="s">
        <v>138</v>
      </c>
      <c r="N19" s="19" t="s">
        <v>145</v>
      </c>
      <c r="O19" s="19" t="s">
        <v>186</v>
      </c>
      <c r="P19" s="19" t="s">
        <v>25</v>
      </c>
      <c r="Q19" s="19" t="s">
        <v>297</v>
      </c>
      <c r="R19" s="331" t="s">
        <v>219</v>
      </c>
      <c r="S19" s="390" t="s">
        <v>328</v>
      </c>
      <c r="T19" s="392" t="s">
        <v>143</v>
      </c>
      <c r="U19" s="83" t="s">
        <v>190</v>
      </c>
      <c r="V19" s="391"/>
      <c r="X19" s="149" t="s">
        <v>204</v>
      </c>
      <c r="Y19" s="107">
        <f>SUM(G10:N10,R10:S10,F10/G20)*Y16*Y18</f>
        <v>3544.51639738331</v>
      </c>
    </row>
    <row r="20" spans="2:32" ht="15.75">
      <c r="B20" s="20"/>
      <c r="C20" s="16"/>
      <c r="E20" s="18" t="s">
        <v>20</v>
      </c>
      <c r="F20" s="126">
        <v>1</v>
      </c>
      <c r="G20" s="126">
        <f>$E29/$O29</f>
        <v>0.42323128140194266</v>
      </c>
      <c r="H20" s="126">
        <f t="shared" ref="H20:P20" si="2">$E29/$O29</f>
        <v>0.42323128140194266</v>
      </c>
      <c r="I20" s="126">
        <f t="shared" si="2"/>
        <v>0.42323128140194266</v>
      </c>
      <c r="J20" s="126">
        <f t="shared" si="2"/>
        <v>0.42323128140194266</v>
      </c>
      <c r="K20" s="126">
        <f t="shared" si="2"/>
        <v>0.42323128140194266</v>
      </c>
      <c r="L20" s="126">
        <f t="shared" si="2"/>
        <v>0.42323128140194266</v>
      </c>
      <c r="M20" s="126">
        <f t="shared" si="2"/>
        <v>0.42323128140194266</v>
      </c>
      <c r="N20" s="126">
        <f t="shared" si="2"/>
        <v>0.42323128140194266</v>
      </c>
      <c r="O20" s="126">
        <f t="shared" si="2"/>
        <v>0.42323128140194266</v>
      </c>
      <c r="P20" s="126">
        <f t="shared" si="2"/>
        <v>0.42323128140194266</v>
      </c>
      <c r="Q20" s="126">
        <f t="shared" ref="Q20:S21" si="3">$E29/$O29</f>
        <v>0.42323128140194266</v>
      </c>
      <c r="R20" s="126">
        <f t="shared" si="3"/>
        <v>0.42323128140194266</v>
      </c>
      <c r="S20" s="126">
        <f t="shared" si="3"/>
        <v>0.42323128140194266</v>
      </c>
      <c r="T20" s="151">
        <f>SUMPRODUCT(F10:S10,F20:S20)</f>
        <v>17365.197996592517</v>
      </c>
      <c r="U20" s="110">
        <f>T20-((Y19+Y22)*G20)</f>
        <v>15446.257870425674</v>
      </c>
      <c r="V20" s="151"/>
      <c r="X20" s="149" t="s">
        <v>242</v>
      </c>
      <c r="Y20" s="333">
        <v>19517886.531035617</v>
      </c>
    </row>
    <row r="21" spans="2:32" ht="15.75">
      <c r="B21" s="20"/>
      <c r="C21" s="20"/>
      <c r="E21" s="18" t="s">
        <v>24</v>
      </c>
      <c r="F21" s="126">
        <v>1</v>
      </c>
      <c r="G21" s="126">
        <f>$E30/$O30</f>
        <v>0.37463527299719035</v>
      </c>
      <c r="H21" s="126">
        <f t="shared" ref="H21:P21" si="4">$E30/$O30</f>
        <v>0.37463527299719035</v>
      </c>
      <c r="I21" s="126">
        <f t="shared" si="4"/>
        <v>0.37463527299719035</v>
      </c>
      <c r="J21" s="126">
        <f t="shared" si="4"/>
        <v>0.37463527299719035</v>
      </c>
      <c r="K21" s="126">
        <f t="shared" si="4"/>
        <v>0.37463527299719035</v>
      </c>
      <c r="L21" s="126">
        <f t="shared" si="4"/>
        <v>0.37463527299719035</v>
      </c>
      <c r="M21" s="126">
        <f t="shared" si="4"/>
        <v>0.37463527299719035</v>
      </c>
      <c r="N21" s="126">
        <f t="shared" si="4"/>
        <v>0.37463527299719035</v>
      </c>
      <c r="O21" s="126">
        <f t="shared" si="4"/>
        <v>0.37463527299719035</v>
      </c>
      <c r="P21" s="126">
        <f t="shared" si="4"/>
        <v>0.37463527299719035</v>
      </c>
      <c r="Q21" s="126">
        <f t="shared" si="3"/>
        <v>0.37463527299719035</v>
      </c>
      <c r="R21" s="126">
        <f t="shared" si="3"/>
        <v>0.37463527299719035</v>
      </c>
      <c r="S21" s="126">
        <f t="shared" si="3"/>
        <v>0.37463527299719035</v>
      </c>
      <c r="T21" s="151">
        <f>SUMPRODUCT(F11:S11,F21:S21)</f>
        <v>37463.527299719033</v>
      </c>
      <c r="U21" s="110">
        <f>T21</f>
        <v>37463.527299719033</v>
      </c>
      <c r="V21" s="151"/>
      <c r="X21" s="149" t="s">
        <v>243</v>
      </c>
      <c r="Y21" s="333">
        <v>69915155.684137806</v>
      </c>
      <c r="AA21" s="18"/>
    </row>
    <row r="22" spans="2:32" ht="15.75">
      <c r="B22" s="20"/>
      <c r="C22" s="20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U22" s="18"/>
      <c r="V22" s="18"/>
      <c r="X22" s="149" t="s">
        <v>191</v>
      </c>
      <c r="Y22" s="107">
        <f>Y19*Y20/Y21</f>
        <v>989.50604020779338</v>
      </c>
      <c r="AA22" s="18"/>
    </row>
    <row r="23" spans="2:32" ht="15.75">
      <c r="B23" s="20"/>
      <c r="C23" s="20"/>
      <c r="E23" s="57" t="str">
        <f>"Notes: Allocation and bundled/unbundled split based on "&amp;'Hypothetical Summary'!L4&amp;" sales forecast"</f>
        <v>Notes: Allocation and bundled/unbundled split based on 2024 sales forecast</v>
      </c>
      <c r="R23" s="19"/>
      <c r="S23" s="19"/>
      <c r="T23" s="18"/>
      <c r="Y23" s="343"/>
    </row>
    <row r="24" spans="2:32" ht="15.75">
      <c r="B24" s="20"/>
      <c r="C24" s="20"/>
      <c r="D24" s="18"/>
      <c r="E24" s="18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18"/>
      <c r="R24" s="34"/>
      <c r="S24" s="61" t="s">
        <v>601</v>
      </c>
      <c r="T24" s="120">
        <f>O10*O20</f>
        <v>0</v>
      </c>
      <c r="U24" s="120"/>
      <c r="X24" s="18"/>
      <c r="Y24" s="18"/>
    </row>
    <row r="25" spans="2:32" ht="15.75">
      <c r="B25" s="20"/>
      <c r="C25" s="20"/>
      <c r="D25" s="83"/>
      <c r="E25" s="83"/>
      <c r="F25" s="345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34"/>
      <c r="S25" s="61" t="s">
        <v>602</v>
      </c>
      <c r="T25" s="120">
        <f>O11*O21</f>
        <v>0</v>
      </c>
      <c r="U25" s="344"/>
      <c r="V25" s="111"/>
      <c r="X25" s="18"/>
      <c r="Y25" s="18"/>
    </row>
    <row r="26" spans="2:32" ht="15.75">
      <c r="B26" s="20"/>
      <c r="C26" s="20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112"/>
      <c r="S26" s="112"/>
      <c r="T26" s="34"/>
      <c r="U26" s="111"/>
      <c r="V26" s="113"/>
      <c r="X26" s="18"/>
      <c r="Y26" s="18"/>
      <c r="AA26" s="393"/>
      <c r="AB26" s="394"/>
      <c r="AC26" s="394"/>
      <c r="AD26" s="393"/>
      <c r="AE26" s="394"/>
      <c r="AF26" s="394"/>
    </row>
    <row r="27" spans="2:32" ht="15.75">
      <c r="B27" s="20"/>
      <c r="C27" s="20"/>
      <c r="D27" s="18"/>
      <c r="E27" s="441" t="s">
        <v>26</v>
      </c>
      <c r="F27" s="442"/>
      <c r="G27" s="442"/>
      <c r="H27" s="443"/>
      <c r="I27" s="83"/>
      <c r="J27" s="83"/>
      <c r="N27" s="18"/>
      <c r="O27" s="441" t="s">
        <v>28</v>
      </c>
      <c r="P27" s="442"/>
      <c r="Q27" s="442"/>
      <c r="R27" s="443"/>
      <c r="S27" s="83"/>
      <c r="T27" s="34"/>
      <c r="U27" s="111"/>
      <c r="V27" s="114"/>
      <c r="Z27" s="18"/>
      <c r="AA27" s="395"/>
      <c r="AB27" s="396"/>
      <c r="AC27" s="396"/>
      <c r="AD27" s="397"/>
      <c r="AE27" s="396"/>
      <c r="AF27" s="396"/>
    </row>
    <row r="28" spans="2:32" ht="31.5">
      <c r="B28" s="20"/>
      <c r="C28" s="20"/>
      <c r="D28" s="18"/>
      <c r="E28" s="19" t="str">
        <f>'Hypothetical Summary'!L4&amp;" Sales"</f>
        <v>2024 Sales</v>
      </c>
      <c r="F28" s="19" t="str">
        <f>TEXT(Summary!L3,"mm/dd/yyyy")&amp;" Avg Rates"</f>
        <v>09/01/2024 Avg Rates</v>
      </c>
      <c r="G28" s="19" t="s">
        <v>201</v>
      </c>
      <c r="H28" s="19" t="s">
        <v>202</v>
      </c>
      <c r="J28" s="19"/>
      <c r="N28" s="18"/>
      <c r="O28" s="19" t="str">
        <f>'Hypothetical Summary'!L4&amp;" Sales"</f>
        <v>2024 Sales</v>
      </c>
      <c r="P28" s="19" t="str">
        <f>F28</f>
        <v>09/01/2024 Avg Rates</v>
      </c>
      <c r="Q28" s="19" t="s">
        <v>201</v>
      </c>
      <c r="R28" s="19" t="s">
        <v>202</v>
      </c>
      <c r="S28" s="19"/>
      <c r="T28" s="34"/>
      <c r="U28" s="111"/>
      <c r="W28" s="120"/>
      <c r="X28" s="120"/>
      <c r="Z28" s="18"/>
      <c r="AA28" s="395"/>
      <c r="AB28" s="398"/>
      <c r="AC28" s="398"/>
      <c r="AD28" s="397"/>
      <c r="AE28" s="398"/>
      <c r="AF28" s="398"/>
    </row>
    <row r="29" spans="2:32" ht="15.75">
      <c r="B29" s="20"/>
      <c r="C29" s="20"/>
      <c r="D29" s="21" t="s">
        <v>20</v>
      </c>
      <c r="E29" s="214">
        <v>11709422.535426995</v>
      </c>
      <c r="F29" s="399">
        <f>IF('Hypothetical Summary'!D5="Y",AB50,AC50)</f>
        <v>35.006396929788679</v>
      </c>
      <c r="G29" s="400">
        <f>IF('Hypothetical Summary'!D5="Y",U20/E29*100+F29,SUM(U20-T24)/E29*100+F29)</f>
        <v>35.13830999231326</v>
      </c>
      <c r="H29" s="250">
        <f>G29/F29-1</f>
        <v>3.7682559216007938E-3</v>
      </c>
      <c r="J29" s="250"/>
      <c r="N29" s="21" t="s">
        <v>20</v>
      </c>
      <c r="O29" s="333">
        <v>27666722.782493383</v>
      </c>
      <c r="P29" s="399">
        <f>IF('Hypothetical Summary'!D5="Y",AE50,AF50)</f>
        <v>27.909444716636877</v>
      </c>
      <c r="Q29" s="34">
        <f>IF('Hypothetical Summary'!D5="Y",T10/O29*100+P29,SUM(T10-O10)/O29*100+P29)</f>
        <v>28.057745778828917</v>
      </c>
      <c r="R29" s="250">
        <f>Q29/P29-1</f>
        <v>5.3136514788356681E-3</v>
      </c>
      <c r="S29" s="250"/>
      <c r="T29" s="250"/>
      <c r="U29" s="250"/>
      <c r="W29" s="120"/>
      <c r="X29" s="344"/>
      <c r="AA29" s="395"/>
      <c r="AB29" s="398"/>
      <c r="AC29" s="398"/>
      <c r="AD29" s="397"/>
      <c r="AE29" s="398"/>
      <c r="AF29" s="398"/>
    </row>
    <row r="30" spans="2:32" ht="15.75">
      <c r="D30" s="21" t="s">
        <v>24</v>
      </c>
      <c r="E30" s="214">
        <v>29392636.884899609</v>
      </c>
      <c r="F30" s="399">
        <f>IF('Hypothetical Summary'!D5="Y",AB51,AC51)</f>
        <v>33.950754071574565</v>
      </c>
      <c r="G30" s="400">
        <f>IF('Hypothetical Summary'!D5="Y",U21/E30*100+F30,SUM(U21-T25)/E30*100+F30)</f>
        <v>34.078212956758719</v>
      </c>
      <c r="H30" s="250">
        <f>G30/F30-1</f>
        <v>3.7542284013911686E-3</v>
      </c>
      <c r="J30" s="250"/>
      <c r="N30" s="21" t="s">
        <v>24</v>
      </c>
      <c r="O30" s="333">
        <v>78456672.405003473</v>
      </c>
      <c r="P30" s="399">
        <f>IF('Hypothetical Summary'!D5="Y",AE51,AF51)</f>
        <v>24.967536977696753</v>
      </c>
      <c r="Q30" s="34">
        <f>IF('Hypothetical Summary'!D5="Y",T11/O30*100+P30,SUM(T11-O11)/O30*100+P30)</f>
        <v>25.094995862880904</v>
      </c>
      <c r="R30" s="250">
        <f>Q30/P30-1</f>
        <v>5.1049843361805625E-3</v>
      </c>
      <c r="S30" s="250"/>
      <c r="T30" s="250"/>
      <c r="U30" s="250"/>
      <c r="V30" s="115"/>
      <c r="AA30" s="393"/>
      <c r="AB30" s="396"/>
      <c r="AC30" s="396"/>
      <c r="AD30" s="396"/>
      <c r="AE30" s="396"/>
      <c r="AF30" s="396"/>
    </row>
    <row r="31" spans="2:32" ht="15.75">
      <c r="P31" s="18"/>
      <c r="Q31" s="18"/>
      <c r="R31" s="112"/>
      <c r="S31" s="112"/>
      <c r="T31" s="113"/>
      <c r="U31" s="112"/>
      <c r="V31" s="114"/>
      <c r="AA31" s="393"/>
      <c r="AB31" s="401"/>
      <c r="AC31" s="401"/>
      <c r="AD31" s="396"/>
      <c r="AE31" s="401"/>
      <c r="AF31" s="401"/>
    </row>
    <row r="32" spans="2:32" ht="15.75">
      <c r="P32" s="18"/>
      <c r="Q32" s="18"/>
      <c r="R32" s="112"/>
      <c r="S32" s="112"/>
      <c r="T32" s="113"/>
      <c r="U32" s="112"/>
      <c r="V32" s="115"/>
      <c r="AA32" s="395"/>
      <c r="AB32" s="396"/>
      <c r="AC32" s="396"/>
      <c r="AD32" s="397"/>
      <c r="AE32" s="396"/>
      <c r="AF32" s="396"/>
    </row>
    <row r="33" spans="2:32" ht="15.75">
      <c r="B33" s="20"/>
      <c r="C33" s="20"/>
      <c r="D33" s="18"/>
      <c r="E33" s="464"/>
      <c r="F33" s="464"/>
      <c r="G33" s="464"/>
      <c r="H33" s="83"/>
      <c r="I33" s="83"/>
      <c r="J33" s="83"/>
      <c r="K33" s="18"/>
      <c r="L33" s="18"/>
      <c r="M33" s="18"/>
      <c r="N33" s="18"/>
      <c r="O33" s="18"/>
      <c r="P33" s="18"/>
      <c r="Q33" s="18"/>
      <c r="R33" s="112"/>
      <c r="S33" s="112"/>
      <c r="T33" s="113"/>
      <c r="U33" s="112"/>
      <c r="V33" s="115"/>
      <c r="W33" s="115"/>
      <c r="X33" s="114"/>
      <c r="AA33" s="395"/>
      <c r="AB33" s="398"/>
      <c r="AC33" s="398"/>
      <c r="AD33" s="397"/>
      <c r="AE33" s="398"/>
      <c r="AF33" s="398"/>
    </row>
    <row r="34" spans="2:32" ht="15.75">
      <c r="B34" s="20"/>
      <c r="C34" s="20"/>
      <c r="D34" s="83"/>
      <c r="E34" s="19"/>
      <c r="F34" s="19"/>
      <c r="G34" s="19"/>
      <c r="H34" s="83"/>
      <c r="I34" s="83"/>
      <c r="J34" s="83"/>
      <c r="K34" s="18"/>
      <c r="L34" s="18"/>
      <c r="M34" s="18"/>
      <c r="N34" s="18"/>
      <c r="O34" s="18"/>
      <c r="P34" s="18"/>
      <c r="Q34" s="18"/>
      <c r="R34" s="112"/>
      <c r="S34" s="112"/>
      <c r="T34" s="113"/>
      <c r="U34" s="112"/>
      <c r="V34" s="114"/>
      <c r="W34" s="115"/>
      <c r="X34" s="114"/>
      <c r="AA34" s="395"/>
      <c r="AB34" s="398"/>
      <c r="AC34" s="398"/>
      <c r="AD34" s="397"/>
      <c r="AE34" s="402"/>
      <c r="AF34" s="402"/>
    </row>
    <row r="35" spans="2:32" ht="15.75">
      <c r="B35" s="20"/>
      <c r="C35" s="20"/>
      <c r="D35" s="18"/>
      <c r="E35" s="22"/>
      <c r="F35" s="23"/>
      <c r="G35" s="251"/>
      <c r="H35" s="83"/>
      <c r="I35" s="83"/>
      <c r="J35" s="83"/>
      <c r="K35" s="18"/>
      <c r="L35" s="18"/>
      <c r="M35" s="18"/>
      <c r="N35" s="18"/>
      <c r="O35" s="18"/>
      <c r="P35" s="18"/>
      <c r="Q35" s="18"/>
      <c r="R35" s="112"/>
      <c r="S35" s="112"/>
      <c r="T35" s="113"/>
      <c r="U35" s="113"/>
      <c r="V35" s="111"/>
      <c r="W35" s="115"/>
      <c r="X35" s="114"/>
    </row>
    <row r="36" spans="2:32" ht="15.75">
      <c r="D36" s="18"/>
      <c r="E36" s="22"/>
      <c r="F36" s="23"/>
      <c r="G36" s="251"/>
      <c r="H36" s="83"/>
      <c r="I36" s="83"/>
      <c r="J36" s="83"/>
      <c r="K36" s="18"/>
      <c r="L36" s="18"/>
      <c r="M36" s="18"/>
      <c r="N36" s="18"/>
      <c r="O36" s="18"/>
      <c r="P36" s="18"/>
      <c r="Q36" s="18"/>
      <c r="R36" s="112"/>
      <c r="S36" s="112"/>
      <c r="T36" s="113"/>
      <c r="U36" s="112"/>
      <c r="V36" s="114"/>
      <c r="W36" s="115"/>
      <c r="X36" s="115"/>
    </row>
    <row r="37" spans="2:32" ht="15.75">
      <c r="D37" s="18"/>
      <c r="E37" s="22"/>
      <c r="F37" s="23"/>
      <c r="G37" s="251"/>
      <c r="H37" s="83"/>
      <c r="I37" s="83"/>
      <c r="J37" s="83"/>
      <c r="K37" s="18"/>
      <c r="L37" s="18"/>
      <c r="M37" s="18"/>
      <c r="N37" s="18"/>
      <c r="O37" s="18"/>
      <c r="P37" s="18"/>
      <c r="Q37" s="18"/>
      <c r="R37" s="112"/>
      <c r="S37" s="112"/>
      <c r="T37" s="113"/>
      <c r="U37" s="113"/>
      <c r="V37" s="113"/>
      <c r="W37" s="115"/>
      <c r="X37" s="114"/>
    </row>
    <row r="38" spans="2:32" ht="15.75">
      <c r="D38" s="18"/>
      <c r="E38" s="22"/>
      <c r="F38" s="23"/>
      <c r="G38" s="251"/>
      <c r="H38" s="83"/>
      <c r="I38" s="83"/>
      <c r="J38" s="83"/>
      <c r="K38" s="18"/>
      <c r="L38" s="18"/>
      <c r="M38" s="18"/>
      <c r="N38" s="18"/>
      <c r="O38" s="18"/>
      <c r="P38" s="18"/>
      <c r="Q38" s="18"/>
      <c r="R38" s="112"/>
      <c r="S38" s="112"/>
      <c r="T38" s="431"/>
      <c r="U38" s="431"/>
      <c r="V38" s="113"/>
      <c r="W38" s="113"/>
      <c r="X38" s="113"/>
    </row>
    <row r="39" spans="2:32" ht="15.75">
      <c r="B39" s="20"/>
      <c r="C39" s="20"/>
      <c r="D39" s="18"/>
      <c r="E39" s="22"/>
      <c r="F39" s="23"/>
      <c r="G39" s="251"/>
      <c r="H39" s="83"/>
      <c r="I39" s="83"/>
      <c r="J39" s="83"/>
      <c r="K39" s="18"/>
      <c r="L39" s="18"/>
      <c r="M39" s="18"/>
      <c r="N39" s="18"/>
      <c r="O39" s="18"/>
      <c r="P39" s="18"/>
      <c r="Q39" s="18"/>
      <c r="R39" s="112"/>
      <c r="S39" s="112"/>
      <c r="T39" s="113"/>
      <c r="U39" s="112"/>
      <c r="V39" s="115"/>
      <c r="W39" s="115"/>
      <c r="X39" s="114"/>
    </row>
    <row r="40" spans="2:32" ht="15.75">
      <c r="B40" s="20"/>
      <c r="C40" s="20"/>
      <c r="D40" s="18"/>
      <c r="E40" s="22"/>
      <c r="F40" s="23"/>
      <c r="G40" s="251"/>
      <c r="H40" s="83"/>
      <c r="I40" s="83"/>
      <c r="J40" s="83"/>
      <c r="K40" s="18"/>
      <c r="L40" s="18"/>
      <c r="M40" s="18"/>
      <c r="N40" s="18"/>
      <c r="O40" s="18"/>
      <c r="P40" s="18"/>
      <c r="Q40" s="18"/>
      <c r="R40" s="112"/>
      <c r="S40" s="112"/>
      <c r="T40" s="113"/>
      <c r="U40" s="112"/>
      <c r="V40" s="115"/>
      <c r="W40" s="114"/>
      <c r="X40" s="114"/>
    </row>
    <row r="41" spans="2:32" ht="15.75">
      <c r="B41" s="20"/>
      <c r="C41" s="20"/>
      <c r="D41" s="18"/>
      <c r="E41" s="22"/>
      <c r="F41" s="23"/>
      <c r="G41" s="251"/>
      <c r="H41" s="83"/>
      <c r="I41" s="83"/>
      <c r="J41" s="83"/>
      <c r="K41" s="18"/>
      <c r="L41" s="18"/>
      <c r="M41" s="18"/>
      <c r="N41" s="18"/>
      <c r="O41" s="18"/>
      <c r="P41" s="18"/>
      <c r="Q41" s="18"/>
      <c r="R41" s="112"/>
      <c r="S41" s="112"/>
      <c r="T41" s="113"/>
      <c r="U41" s="112"/>
      <c r="V41" s="115"/>
      <c r="W41" s="115"/>
      <c r="X41" s="115"/>
    </row>
    <row r="42" spans="2:32" ht="15.75">
      <c r="B42" s="20"/>
      <c r="C42" s="20"/>
      <c r="D42" s="18"/>
      <c r="E42" s="83"/>
      <c r="F42" s="83"/>
      <c r="G42" s="83"/>
      <c r="H42" s="83"/>
      <c r="I42" s="83"/>
      <c r="J42" s="83"/>
      <c r="K42" s="18"/>
      <c r="L42" s="18"/>
      <c r="M42" s="18"/>
      <c r="N42" s="18"/>
      <c r="O42" s="18"/>
      <c r="P42" s="18"/>
      <c r="Q42" s="18"/>
      <c r="R42" s="112"/>
      <c r="S42" s="112"/>
      <c r="T42" s="113"/>
      <c r="U42" s="112"/>
      <c r="V42" s="115"/>
      <c r="W42" s="115"/>
      <c r="X42" s="114"/>
    </row>
    <row r="43" spans="2:32" ht="47.25">
      <c r="B43" s="20"/>
      <c r="C43" s="20"/>
      <c r="D43" s="18"/>
      <c r="E43" s="83"/>
      <c r="F43" s="83"/>
      <c r="G43" s="83"/>
      <c r="H43" s="83"/>
      <c r="I43" s="83"/>
      <c r="J43" s="83"/>
      <c r="K43" s="18"/>
      <c r="L43" s="18"/>
      <c r="M43" s="18"/>
      <c r="N43" s="18"/>
      <c r="O43" s="18"/>
      <c r="P43" s="18"/>
      <c r="Q43" s="18"/>
      <c r="R43" s="112"/>
      <c r="S43" s="112"/>
      <c r="T43" s="113"/>
      <c r="U43" s="112"/>
      <c r="V43" s="115"/>
      <c r="W43" s="114"/>
      <c r="X43" s="114"/>
      <c r="AA43" s="365"/>
      <c r="AB43" s="366" t="s">
        <v>595</v>
      </c>
      <c r="AC43" s="366" t="s">
        <v>596</v>
      </c>
      <c r="AD43" s="365"/>
      <c r="AE43" s="366" t="s">
        <v>597</v>
      </c>
      <c r="AF43" s="366" t="s">
        <v>598</v>
      </c>
    </row>
    <row r="44" spans="2:32" ht="15.75">
      <c r="B44" s="20"/>
      <c r="C44" s="20"/>
      <c r="D44" s="18"/>
      <c r="E44" s="83"/>
      <c r="F44" s="83"/>
      <c r="G44" s="83"/>
      <c r="H44" s="83"/>
      <c r="I44" s="83"/>
      <c r="J44" s="83"/>
      <c r="K44" s="18"/>
      <c r="L44" s="18"/>
      <c r="M44" s="18"/>
      <c r="N44" s="18"/>
      <c r="O44" s="18"/>
      <c r="P44" s="18"/>
      <c r="Q44" s="18"/>
      <c r="R44" s="112"/>
      <c r="S44" s="112"/>
      <c r="T44" s="113"/>
      <c r="U44" s="112"/>
      <c r="V44" s="115"/>
      <c r="W44" s="111"/>
      <c r="X44" s="111"/>
      <c r="AA44" s="367"/>
      <c r="AB44" s="368" t="s">
        <v>599</v>
      </c>
      <c r="AC44" s="368" t="s">
        <v>600</v>
      </c>
      <c r="AD44" s="369"/>
      <c r="AE44" s="368" t="s">
        <v>599</v>
      </c>
      <c r="AF44" s="368" t="s">
        <v>600</v>
      </c>
    </row>
    <row r="45" spans="2:32" ht="15.75">
      <c r="B45" s="20"/>
      <c r="C45" s="20"/>
      <c r="D45" s="18"/>
      <c r="E45" s="83"/>
      <c r="F45" s="83"/>
      <c r="G45" s="83"/>
      <c r="H45" s="83"/>
      <c r="I45" s="83"/>
      <c r="J45" s="83"/>
      <c r="K45" s="18"/>
      <c r="L45" s="18"/>
      <c r="M45" s="18"/>
      <c r="N45" s="18"/>
      <c r="O45" s="18"/>
      <c r="P45" s="18"/>
      <c r="Q45" s="18"/>
      <c r="R45" s="112"/>
      <c r="S45" s="112"/>
      <c r="T45" s="113"/>
      <c r="U45" s="113"/>
      <c r="V45" s="111"/>
      <c r="W45" s="114"/>
      <c r="X45" s="114"/>
      <c r="AA45" s="367" t="s">
        <v>20</v>
      </c>
      <c r="AB45" s="370">
        <v>37.783684706270357</v>
      </c>
      <c r="AC45" s="370">
        <v>39.643169038631463</v>
      </c>
      <c r="AD45" s="369" t="s">
        <v>20</v>
      </c>
      <c r="AE45" s="370">
        <v>29.649295153825406</v>
      </c>
      <c r="AF45" s="370">
        <v>31.799938361061802</v>
      </c>
    </row>
    <row r="46" spans="2:32" ht="15.75">
      <c r="B46" s="20"/>
      <c r="C46" s="20"/>
      <c r="D46" s="18"/>
      <c r="E46" s="83"/>
      <c r="F46" s="83"/>
      <c r="G46" s="83"/>
      <c r="H46" s="83"/>
      <c r="I46" s="83"/>
      <c r="J46" s="83"/>
      <c r="K46" s="18"/>
      <c r="L46" s="18"/>
      <c r="M46" s="18"/>
      <c r="N46" s="18"/>
      <c r="O46" s="18"/>
      <c r="P46" s="18"/>
      <c r="Q46" s="18"/>
      <c r="R46" s="112"/>
      <c r="S46" s="112"/>
      <c r="T46" s="113"/>
      <c r="U46" s="112"/>
      <c r="V46" s="115"/>
      <c r="W46" s="113"/>
      <c r="X46" s="113"/>
      <c r="AA46" s="367" t="s">
        <v>31</v>
      </c>
      <c r="AB46" s="370">
        <v>36.56790438719397</v>
      </c>
      <c r="AC46" s="370">
        <v>37.377312162623006</v>
      </c>
      <c r="AD46" s="369" t="s">
        <v>24</v>
      </c>
      <c r="AE46" s="370">
        <v>26.395764586261034</v>
      </c>
      <c r="AF46" s="370">
        <v>27.208494659255685</v>
      </c>
    </row>
    <row r="47" spans="2:32" ht="15.75">
      <c r="B47" s="20"/>
      <c r="C47" s="20"/>
      <c r="D47" s="18"/>
      <c r="E47" s="83"/>
      <c r="F47" s="83"/>
      <c r="G47" s="83"/>
      <c r="H47" s="83"/>
      <c r="I47" s="83"/>
      <c r="J47" s="83"/>
      <c r="K47" s="18"/>
      <c r="L47" s="18"/>
      <c r="M47" s="18"/>
      <c r="N47" s="18"/>
      <c r="O47" s="18"/>
      <c r="P47" s="18"/>
      <c r="Q47" s="18"/>
      <c r="R47" s="112"/>
      <c r="S47" s="112"/>
      <c r="T47" s="113"/>
      <c r="U47" s="113"/>
      <c r="V47" s="113"/>
      <c r="W47" s="113"/>
      <c r="X47" s="113"/>
      <c r="AA47" s="371"/>
      <c r="AB47" s="372"/>
      <c r="AC47" s="372"/>
      <c r="AD47" s="372"/>
      <c r="AE47" s="372"/>
      <c r="AF47" s="373"/>
    </row>
    <row r="48" spans="2:32" ht="47.25">
      <c r="B48" s="20"/>
      <c r="C48" s="20"/>
      <c r="D48" s="18"/>
      <c r="E48" s="83"/>
      <c r="F48" s="83"/>
      <c r="G48" s="83"/>
      <c r="H48" s="83"/>
      <c r="I48" s="83"/>
      <c r="J48" s="83"/>
      <c r="K48" s="18"/>
      <c r="L48" s="18"/>
      <c r="M48" s="18"/>
      <c r="N48" s="18"/>
      <c r="O48" s="18"/>
      <c r="P48" s="18"/>
      <c r="Q48" s="18"/>
      <c r="R48" s="112"/>
      <c r="S48" s="112"/>
      <c r="T48" s="431"/>
      <c r="U48" s="431"/>
      <c r="V48" s="113"/>
      <c r="W48" s="114"/>
      <c r="X48" s="114"/>
      <c r="AA48" s="365"/>
      <c r="AB48" s="374" t="s">
        <v>617</v>
      </c>
      <c r="AC48" s="374" t="s">
        <v>618</v>
      </c>
      <c r="AD48" s="368"/>
      <c r="AE48" s="374" t="s">
        <v>619</v>
      </c>
      <c r="AF48" s="374" t="s">
        <v>620</v>
      </c>
    </row>
    <row r="49" spans="2:32" ht="15.75">
      <c r="B49" s="20"/>
      <c r="C49" s="20"/>
      <c r="D49" s="18"/>
      <c r="E49" s="83"/>
      <c r="F49" s="83"/>
      <c r="G49" s="83"/>
      <c r="H49" s="83"/>
      <c r="I49" s="83"/>
      <c r="J49" s="83"/>
      <c r="K49" s="18"/>
      <c r="L49" s="18"/>
      <c r="M49" s="18"/>
      <c r="N49" s="18"/>
      <c r="O49" s="18"/>
      <c r="P49" s="18"/>
      <c r="Q49" s="18"/>
      <c r="R49" s="112"/>
      <c r="S49" s="112"/>
      <c r="T49" s="113"/>
      <c r="U49" s="112"/>
      <c r="V49" s="115"/>
      <c r="W49" s="114"/>
      <c r="X49" s="114"/>
      <c r="AA49" s="367"/>
      <c r="AB49" s="368"/>
      <c r="AC49" s="368"/>
      <c r="AD49" s="369"/>
      <c r="AE49" s="368"/>
      <c r="AF49" s="368"/>
    </row>
    <row r="50" spans="2:32" ht="15.75">
      <c r="B50" s="20"/>
      <c r="C50" s="20"/>
      <c r="D50" s="18"/>
      <c r="E50" s="83"/>
      <c r="F50" s="83"/>
      <c r="G50" s="83"/>
      <c r="H50" s="83"/>
      <c r="I50" s="83"/>
      <c r="J50" s="83"/>
      <c r="K50" s="18"/>
      <c r="L50" s="18"/>
      <c r="M50" s="18"/>
      <c r="N50" s="18"/>
      <c r="O50" s="18"/>
      <c r="P50" s="18"/>
      <c r="Q50" s="18"/>
      <c r="R50" s="112"/>
      <c r="S50" s="112"/>
      <c r="T50" s="113"/>
      <c r="U50" s="112"/>
      <c r="V50" s="115"/>
      <c r="W50" s="114"/>
      <c r="X50" s="114"/>
      <c r="AA50" s="367" t="s">
        <v>20</v>
      </c>
      <c r="AB50" s="370">
        <v>35.006396929788679</v>
      </c>
      <c r="AC50" s="370">
        <v>36.865881262149792</v>
      </c>
      <c r="AD50" s="369" t="s">
        <v>20</v>
      </c>
      <c r="AE50" s="370">
        <v>27.909444716636877</v>
      </c>
      <c r="AF50" s="370">
        <v>30.060087923873276</v>
      </c>
    </row>
    <row r="51" spans="2:32" ht="15.75">
      <c r="B51" s="20"/>
      <c r="C51" s="20"/>
      <c r="D51" s="18"/>
      <c r="E51" s="83"/>
      <c r="F51" s="83"/>
      <c r="G51" s="83"/>
      <c r="H51" s="83"/>
      <c r="I51" s="83"/>
      <c r="J51" s="83"/>
      <c r="K51" s="18"/>
      <c r="L51" s="18"/>
      <c r="M51" s="18"/>
      <c r="N51" s="18"/>
      <c r="O51" s="18"/>
      <c r="P51" s="18"/>
      <c r="Q51" s="18"/>
      <c r="R51" s="112"/>
      <c r="S51" s="112"/>
      <c r="T51" s="113"/>
      <c r="U51" s="113"/>
      <c r="V51" s="111"/>
      <c r="W51" s="115"/>
      <c r="X51" s="114"/>
      <c r="AA51" s="367" t="s">
        <v>31</v>
      </c>
      <c r="AB51" s="370">
        <v>33.950754071574565</v>
      </c>
      <c r="AC51" s="370">
        <v>34.760161847003594</v>
      </c>
      <c r="AD51" s="369" t="s">
        <v>24</v>
      </c>
      <c r="AE51" s="375">
        <v>24.967536977696753</v>
      </c>
      <c r="AF51" s="375">
        <v>25.780267050691403</v>
      </c>
    </row>
    <row r="52" spans="2:32" ht="15.75">
      <c r="B52" s="20"/>
      <c r="C52" s="20"/>
      <c r="D52" s="18"/>
      <c r="E52" s="83"/>
      <c r="F52" s="83"/>
      <c r="G52" s="83"/>
      <c r="H52" s="83"/>
      <c r="I52" s="83"/>
      <c r="J52" s="83"/>
      <c r="K52" s="18"/>
      <c r="L52" s="18"/>
      <c r="M52" s="18"/>
      <c r="N52" s="18"/>
      <c r="O52" s="18"/>
      <c r="P52" s="18"/>
      <c r="Q52" s="18"/>
      <c r="R52" s="112"/>
      <c r="S52" s="112"/>
      <c r="T52" s="113"/>
      <c r="U52" s="112"/>
      <c r="V52" s="115"/>
      <c r="W52" s="115"/>
      <c r="X52" s="114"/>
    </row>
    <row r="53" spans="2:32" ht="15.75">
      <c r="B53" s="20"/>
      <c r="C53" s="20"/>
      <c r="D53" s="18"/>
      <c r="E53" s="83"/>
      <c r="F53" s="83"/>
      <c r="G53" s="83"/>
      <c r="H53" s="83"/>
      <c r="I53" s="83"/>
      <c r="J53" s="83"/>
      <c r="K53" s="18"/>
      <c r="L53" s="18"/>
      <c r="M53" s="18"/>
      <c r="N53" s="18"/>
      <c r="O53" s="18"/>
      <c r="P53" s="18"/>
      <c r="Q53" s="18"/>
      <c r="R53" s="112"/>
      <c r="S53" s="112"/>
      <c r="T53" s="113"/>
      <c r="U53" s="113"/>
      <c r="V53" s="113"/>
      <c r="W53" s="114"/>
      <c r="X53" s="114"/>
    </row>
    <row r="54" spans="2:32" ht="15.75">
      <c r="B54" s="20"/>
      <c r="C54" s="20"/>
      <c r="D54" s="18"/>
      <c r="E54" s="83"/>
      <c r="F54" s="83"/>
      <c r="G54" s="83"/>
      <c r="H54" s="83"/>
      <c r="I54" s="83"/>
      <c r="J54" s="83"/>
      <c r="K54" s="18"/>
      <c r="L54" s="18"/>
      <c r="M54" s="18"/>
      <c r="N54" s="18"/>
      <c r="O54" s="18"/>
      <c r="P54" s="18"/>
      <c r="Q54" s="18"/>
      <c r="R54" s="112"/>
      <c r="S54" s="112"/>
      <c r="T54" s="431"/>
      <c r="U54" s="431"/>
      <c r="V54" s="113"/>
      <c r="W54" s="111"/>
      <c r="X54" s="111"/>
    </row>
    <row r="55" spans="2:32" ht="15.75">
      <c r="B55" s="18"/>
      <c r="C55" s="18"/>
      <c r="D55" s="18"/>
      <c r="E55" s="83"/>
      <c r="F55" s="83"/>
      <c r="G55" s="83"/>
      <c r="H55" s="83"/>
      <c r="I55" s="83"/>
      <c r="J55" s="83"/>
      <c r="K55" s="18"/>
      <c r="L55" s="18"/>
      <c r="M55" s="18"/>
      <c r="N55" s="18"/>
      <c r="O55" s="18"/>
      <c r="P55" s="18"/>
      <c r="Q55" s="18"/>
      <c r="R55" s="112"/>
      <c r="S55" s="112"/>
      <c r="T55" s="113"/>
      <c r="U55" s="112"/>
      <c r="V55" s="115"/>
      <c r="W55" s="114"/>
      <c r="X55" s="114"/>
    </row>
    <row r="56" spans="2:32" ht="15.75">
      <c r="B56" s="18"/>
      <c r="C56" s="18"/>
      <c r="D56" s="18"/>
      <c r="E56" s="83"/>
      <c r="F56" s="83"/>
      <c r="G56" s="83"/>
      <c r="H56" s="83"/>
      <c r="I56" s="83"/>
      <c r="J56" s="83"/>
      <c r="K56" s="18"/>
      <c r="L56" s="18"/>
      <c r="M56" s="18"/>
      <c r="N56" s="18"/>
      <c r="O56" s="18"/>
      <c r="P56" s="18"/>
      <c r="Q56" s="18"/>
      <c r="R56" s="112"/>
      <c r="S56" s="112"/>
      <c r="T56" s="113"/>
      <c r="U56" s="112"/>
      <c r="V56" s="115"/>
      <c r="W56" s="113"/>
      <c r="X56" s="113"/>
    </row>
    <row r="57" spans="2:32" ht="15.75">
      <c r="B57" s="18"/>
      <c r="C57" s="18"/>
      <c r="D57" s="18"/>
      <c r="E57" s="83"/>
      <c r="F57" s="83"/>
      <c r="G57" s="83"/>
      <c r="H57" s="83"/>
      <c r="I57" s="83"/>
      <c r="J57" s="83"/>
      <c r="K57" s="18"/>
      <c r="L57" s="18"/>
      <c r="M57" s="18"/>
      <c r="N57" s="18"/>
      <c r="O57" s="18"/>
      <c r="P57" s="18"/>
      <c r="Q57" s="18"/>
      <c r="R57" s="112"/>
      <c r="S57" s="112"/>
      <c r="T57" s="113"/>
      <c r="U57" s="112"/>
      <c r="V57" s="114"/>
      <c r="W57" s="113"/>
      <c r="X57" s="113"/>
    </row>
    <row r="58" spans="2:32" ht="15.75">
      <c r="B58" s="18"/>
      <c r="C58" s="18"/>
      <c r="D58" s="18"/>
      <c r="E58" s="83"/>
      <c r="F58" s="83"/>
      <c r="G58" s="83"/>
      <c r="H58" s="83"/>
      <c r="I58" s="83"/>
      <c r="J58" s="83"/>
      <c r="K58" s="18"/>
      <c r="L58" s="18"/>
      <c r="M58" s="18"/>
      <c r="N58" s="18"/>
      <c r="O58" s="18"/>
      <c r="P58" s="18"/>
      <c r="Q58" s="18"/>
      <c r="R58" s="112"/>
      <c r="S58" s="112"/>
      <c r="T58" s="113"/>
      <c r="U58" s="112"/>
      <c r="V58" s="115"/>
      <c r="W58" s="115"/>
      <c r="X58" s="114"/>
    </row>
    <row r="59" spans="2:32" ht="15.75">
      <c r="B59" s="18"/>
      <c r="C59" s="18"/>
      <c r="D59" s="18"/>
      <c r="E59" s="83"/>
      <c r="F59" s="83"/>
      <c r="G59" s="83"/>
      <c r="H59" s="83"/>
      <c r="I59" s="83"/>
      <c r="J59" s="83"/>
      <c r="K59" s="18"/>
      <c r="L59" s="18"/>
      <c r="M59" s="18"/>
      <c r="N59" s="18"/>
      <c r="O59" s="18"/>
      <c r="P59" s="18"/>
      <c r="Q59" s="18"/>
      <c r="R59" s="112"/>
      <c r="S59" s="112"/>
      <c r="T59" s="113"/>
      <c r="U59" s="112"/>
      <c r="V59" s="115"/>
      <c r="W59" s="115"/>
      <c r="X59" s="114"/>
    </row>
    <row r="60" spans="2:32" ht="15.75">
      <c r="B60" s="18"/>
      <c r="C60" s="18"/>
      <c r="D60" s="18"/>
      <c r="E60" s="83"/>
      <c r="F60" s="83"/>
      <c r="G60" s="83"/>
      <c r="H60" s="83"/>
      <c r="I60" s="83"/>
      <c r="J60" s="83"/>
      <c r="K60" s="18"/>
      <c r="L60" s="18"/>
      <c r="M60" s="18"/>
      <c r="N60" s="18"/>
      <c r="O60" s="18"/>
      <c r="P60" s="18"/>
      <c r="Q60" s="18"/>
      <c r="R60" s="112"/>
      <c r="S60" s="112"/>
      <c r="T60" s="113"/>
      <c r="U60" s="113"/>
      <c r="V60" s="111"/>
      <c r="W60" s="111"/>
      <c r="X60" s="111"/>
    </row>
    <row r="61" spans="2:32" ht="15.75">
      <c r="B61" s="18"/>
      <c r="C61" s="18"/>
      <c r="D61" s="18"/>
      <c r="E61" s="83"/>
      <c r="F61" s="83"/>
      <c r="G61" s="83"/>
      <c r="H61" s="83"/>
      <c r="I61" s="83"/>
      <c r="J61" s="83"/>
      <c r="K61" s="18"/>
      <c r="L61" s="18"/>
      <c r="M61" s="18"/>
      <c r="N61" s="18"/>
      <c r="O61" s="18"/>
      <c r="P61" s="18"/>
      <c r="Q61" s="18"/>
      <c r="R61" s="112"/>
      <c r="S61" s="112"/>
      <c r="T61" s="113"/>
      <c r="U61" s="112"/>
      <c r="V61" s="114"/>
      <c r="W61" s="115"/>
      <c r="X61" s="114"/>
    </row>
    <row r="62" spans="2:32" ht="15.75">
      <c r="B62" s="18"/>
      <c r="C62" s="18"/>
      <c r="D62" s="18"/>
      <c r="E62" s="83"/>
      <c r="F62" s="83"/>
      <c r="G62" s="83"/>
      <c r="H62" s="83"/>
      <c r="I62" s="83"/>
      <c r="J62" s="83"/>
      <c r="K62" s="18"/>
      <c r="L62" s="18"/>
      <c r="M62" s="18"/>
      <c r="N62" s="18"/>
      <c r="O62" s="18"/>
      <c r="P62" s="18"/>
      <c r="Q62" s="18"/>
      <c r="R62" s="112"/>
      <c r="S62" s="112"/>
      <c r="T62" s="113"/>
      <c r="U62" s="113"/>
      <c r="V62" s="113"/>
      <c r="W62" s="113"/>
      <c r="X62" s="113"/>
    </row>
    <row r="63" spans="2:32" ht="15.75">
      <c r="B63" s="18"/>
      <c r="C63" s="18"/>
      <c r="D63" s="18"/>
      <c r="E63" s="83"/>
      <c r="F63" s="83"/>
      <c r="G63" s="83"/>
      <c r="H63" s="83"/>
      <c r="I63" s="83"/>
      <c r="J63" s="83"/>
      <c r="K63" s="18"/>
      <c r="L63" s="18"/>
      <c r="M63" s="18"/>
      <c r="N63" s="18"/>
      <c r="O63" s="18"/>
      <c r="P63" s="18"/>
      <c r="Q63" s="18"/>
      <c r="R63" s="112"/>
      <c r="S63" s="112"/>
      <c r="T63" s="113"/>
      <c r="U63" s="113"/>
      <c r="V63" s="113"/>
      <c r="W63" s="113"/>
      <c r="X63" s="113"/>
    </row>
    <row r="64" spans="2:32" ht="15.75">
      <c r="B64" s="18"/>
      <c r="C64" s="18"/>
      <c r="D64" s="18"/>
      <c r="E64" s="83"/>
      <c r="F64" s="83"/>
      <c r="G64" s="83"/>
      <c r="H64" s="83"/>
      <c r="I64" s="83"/>
      <c r="J64" s="83"/>
      <c r="K64" s="18"/>
      <c r="L64" s="18"/>
      <c r="M64" s="18"/>
      <c r="N64" s="18"/>
      <c r="O64" s="18"/>
      <c r="P64" s="18"/>
      <c r="Q64" s="18"/>
      <c r="R64" s="112"/>
      <c r="S64" s="112"/>
      <c r="T64" s="113"/>
      <c r="U64" s="112"/>
      <c r="V64" s="114"/>
      <c r="W64" s="115"/>
      <c r="X64" s="114"/>
    </row>
    <row r="65" spans="2:24" ht="15.75">
      <c r="B65" s="18"/>
      <c r="C65" s="18"/>
      <c r="D65" s="18"/>
      <c r="E65" s="83"/>
      <c r="F65" s="83"/>
      <c r="G65" s="83"/>
      <c r="H65" s="83"/>
      <c r="I65" s="83"/>
      <c r="J65" s="83"/>
      <c r="K65" s="18"/>
      <c r="L65" s="18"/>
      <c r="M65" s="18"/>
      <c r="N65" s="18"/>
      <c r="O65" s="18"/>
      <c r="P65" s="18"/>
      <c r="Q65" s="18"/>
      <c r="R65" s="112"/>
      <c r="S65" s="112"/>
      <c r="T65" s="113"/>
      <c r="U65" s="113"/>
      <c r="V65" s="111"/>
      <c r="W65" s="115"/>
      <c r="X65" s="114"/>
    </row>
    <row r="66" spans="2:24" ht="15.75">
      <c r="B66" s="18"/>
      <c r="C66" s="18"/>
      <c r="D66" s="18"/>
      <c r="E66" s="83"/>
      <c r="F66" s="83"/>
      <c r="G66" s="83"/>
      <c r="H66" s="83"/>
      <c r="I66" s="83"/>
      <c r="J66" s="83"/>
      <c r="K66" s="18"/>
      <c r="L66" s="18"/>
      <c r="M66" s="18"/>
      <c r="N66" s="18"/>
      <c r="O66" s="18"/>
      <c r="P66" s="18"/>
      <c r="Q66" s="18"/>
      <c r="R66" s="112"/>
      <c r="S66" s="112"/>
      <c r="T66" s="431"/>
      <c r="U66" s="431"/>
      <c r="V66" s="113"/>
      <c r="W66" s="115"/>
      <c r="X66" s="114"/>
    </row>
    <row r="67" spans="2:24" ht="15.75">
      <c r="B67" s="18"/>
      <c r="C67" s="18"/>
      <c r="D67" s="18"/>
      <c r="E67" s="83"/>
      <c r="F67" s="83"/>
      <c r="G67" s="83"/>
      <c r="H67" s="83"/>
      <c r="I67" s="83"/>
      <c r="J67" s="83"/>
      <c r="K67" s="18"/>
      <c r="L67" s="18"/>
      <c r="M67" s="18"/>
      <c r="N67" s="18"/>
      <c r="O67" s="18"/>
      <c r="P67" s="18"/>
      <c r="Q67" s="18"/>
      <c r="R67" s="112"/>
      <c r="S67" s="112"/>
      <c r="T67" s="113"/>
      <c r="U67" s="113"/>
      <c r="V67" s="113"/>
      <c r="W67" s="115"/>
      <c r="X67" s="115"/>
    </row>
    <row r="68" spans="2:24" ht="15.75">
      <c r="B68" s="18"/>
      <c r="C68" s="18"/>
      <c r="D68" s="18"/>
      <c r="E68" s="83"/>
      <c r="F68" s="83"/>
      <c r="G68" s="83"/>
      <c r="H68" s="83"/>
      <c r="I68" s="83"/>
      <c r="J68" s="83"/>
      <c r="K68" s="18"/>
      <c r="L68" s="18"/>
      <c r="M68" s="18"/>
      <c r="N68" s="18"/>
      <c r="O68" s="18"/>
      <c r="P68" s="18"/>
      <c r="Q68" s="18"/>
      <c r="R68" s="112"/>
      <c r="S68" s="112"/>
      <c r="T68" s="113"/>
      <c r="U68" s="112"/>
      <c r="V68" s="113"/>
      <c r="W68" s="115"/>
      <c r="X68" s="115"/>
    </row>
    <row r="69" spans="2:24" ht="15.75">
      <c r="B69" s="18"/>
      <c r="C69" s="18"/>
      <c r="D69" s="18"/>
      <c r="E69" s="83"/>
      <c r="F69" s="83"/>
      <c r="G69" s="83"/>
      <c r="H69" s="83"/>
      <c r="I69" s="83"/>
      <c r="J69" s="83"/>
      <c r="K69" s="18"/>
      <c r="L69" s="18"/>
      <c r="M69" s="18"/>
      <c r="N69" s="18"/>
      <c r="O69" s="18"/>
      <c r="P69" s="18"/>
      <c r="Q69" s="18"/>
      <c r="R69" s="112"/>
      <c r="S69" s="112"/>
      <c r="T69" s="113"/>
      <c r="U69" s="113"/>
      <c r="V69" s="111"/>
      <c r="W69" s="111"/>
      <c r="X69" s="111"/>
    </row>
    <row r="70" spans="2:24" ht="15.75">
      <c r="B70" s="18"/>
      <c r="C70" s="18"/>
      <c r="D70" s="18"/>
      <c r="E70" s="83"/>
      <c r="F70" s="83"/>
      <c r="G70" s="83"/>
      <c r="H70" s="83"/>
      <c r="I70" s="83"/>
      <c r="J70" s="83"/>
      <c r="K70" s="18"/>
      <c r="L70" s="18"/>
      <c r="M70" s="18"/>
      <c r="N70" s="18"/>
      <c r="O70" s="18"/>
      <c r="P70" s="18"/>
      <c r="Q70" s="18"/>
      <c r="R70" s="112"/>
      <c r="S70" s="112"/>
      <c r="T70" s="113"/>
      <c r="U70" s="112"/>
      <c r="V70" s="113"/>
      <c r="W70" s="115"/>
      <c r="X70" s="114"/>
    </row>
    <row r="71" spans="2:24" ht="15.75">
      <c r="B71" s="18"/>
      <c r="C71" s="18"/>
      <c r="D71" s="18"/>
      <c r="E71" s="83"/>
      <c r="F71" s="83"/>
      <c r="G71" s="83"/>
      <c r="H71" s="83"/>
      <c r="I71" s="83"/>
      <c r="J71" s="83"/>
      <c r="K71" s="18"/>
      <c r="L71" s="18"/>
      <c r="M71" s="18"/>
      <c r="N71" s="18"/>
      <c r="O71" s="18"/>
      <c r="P71" s="18"/>
      <c r="Q71" s="18"/>
      <c r="R71" s="112"/>
      <c r="S71" s="112"/>
      <c r="T71" s="113"/>
      <c r="U71" s="113"/>
      <c r="V71" s="113"/>
      <c r="W71" s="113"/>
      <c r="X71" s="113"/>
    </row>
    <row r="72" spans="2:24" ht="15.75">
      <c r="B72" s="18"/>
      <c r="C72" s="18"/>
      <c r="D72" s="18"/>
      <c r="E72" s="83"/>
      <c r="F72" s="83"/>
      <c r="G72" s="83"/>
      <c r="H72" s="83"/>
      <c r="I72" s="83"/>
      <c r="J72" s="83"/>
      <c r="K72" s="18"/>
      <c r="L72" s="18"/>
      <c r="M72" s="18"/>
      <c r="N72" s="18"/>
      <c r="O72" s="18"/>
      <c r="P72" s="18"/>
      <c r="Q72" s="18"/>
      <c r="R72" s="112"/>
      <c r="S72" s="112"/>
      <c r="T72" s="113"/>
      <c r="U72" s="113"/>
      <c r="V72" s="111"/>
      <c r="W72" s="113"/>
      <c r="X72" s="113"/>
    </row>
    <row r="73" spans="2:24" ht="15.75">
      <c r="B73" s="18"/>
      <c r="C73" s="18"/>
      <c r="D73" s="18"/>
      <c r="E73" s="83"/>
      <c r="F73" s="83"/>
      <c r="G73" s="83"/>
      <c r="H73" s="83"/>
      <c r="I73" s="83"/>
      <c r="J73" s="83"/>
      <c r="K73" s="18"/>
      <c r="L73" s="18"/>
      <c r="M73" s="18"/>
      <c r="N73" s="18"/>
      <c r="O73" s="18"/>
      <c r="P73" s="18"/>
      <c r="Q73" s="18"/>
      <c r="R73" s="112"/>
      <c r="S73" s="112"/>
      <c r="T73" s="431"/>
      <c r="U73" s="431"/>
      <c r="V73" s="114"/>
      <c r="W73" s="114"/>
      <c r="X73" s="114"/>
    </row>
    <row r="74" spans="2:24" ht="15.75">
      <c r="B74" s="18"/>
      <c r="C74" s="18"/>
      <c r="D74" s="18"/>
      <c r="E74" s="83"/>
      <c r="F74" s="83"/>
      <c r="G74" s="83"/>
      <c r="H74" s="83"/>
      <c r="I74" s="83"/>
      <c r="J74" s="83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11"/>
      <c r="X74" s="111"/>
    </row>
    <row r="75" spans="2:24" ht="15.75">
      <c r="B75" s="18"/>
      <c r="C75" s="18"/>
      <c r="W75" s="113"/>
      <c r="X75" s="113"/>
    </row>
    <row r="76" spans="2:24" ht="15.75">
      <c r="B76" s="18"/>
      <c r="C76" s="18"/>
      <c r="W76" s="113"/>
      <c r="X76" s="113"/>
    </row>
    <row r="77" spans="2:24" ht="15.75">
      <c r="B77" s="18"/>
      <c r="C77" s="18"/>
      <c r="W77" s="113"/>
      <c r="X77" s="113"/>
    </row>
    <row r="78" spans="2:24" ht="15.75">
      <c r="B78" s="18"/>
      <c r="C78" s="18"/>
      <c r="W78" s="111"/>
      <c r="X78" s="111"/>
    </row>
    <row r="79" spans="2:24" ht="15.75">
      <c r="B79" s="18"/>
      <c r="C79" s="18"/>
      <c r="W79" s="113"/>
      <c r="X79" s="113"/>
    </row>
    <row r="80" spans="2:24" ht="15.75">
      <c r="B80" s="18"/>
      <c r="C80" s="18"/>
      <c r="W80" s="113"/>
      <c r="X80" s="113"/>
    </row>
    <row r="81" spans="2:24" ht="15.75">
      <c r="B81" s="18"/>
      <c r="C81" s="18"/>
      <c r="W81" s="111"/>
      <c r="X81" s="111"/>
    </row>
    <row r="82" spans="2:24" ht="15.75">
      <c r="B82" s="18"/>
      <c r="C82" s="18"/>
      <c r="W82" s="114"/>
      <c r="X82" s="114"/>
    </row>
    <row r="83" spans="2:24" ht="15.75">
      <c r="B83" s="18"/>
      <c r="C83" s="18"/>
      <c r="W83" s="18"/>
      <c r="X83" s="18"/>
    </row>
  </sheetData>
  <mergeCells count="14">
    <mergeCell ref="B1:W1"/>
    <mergeCell ref="F4:O4"/>
    <mergeCell ref="F8:Q8"/>
    <mergeCell ref="T16:U16"/>
    <mergeCell ref="E27:H27"/>
    <mergeCell ref="O27:R27"/>
    <mergeCell ref="F18:P18"/>
    <mergeCell ref="T18:U18"/>
    <mergeCell ref="T73:U73"/>
    <mergeCell ref="E33:G33"/>
    <mergeCell ref="T38:U38"/>
    <mergeCell ref="T48:U48"/>
    <mergeCell ref="T54:U54"/>
    <mergeCell ref="T66:U66"/>
  </mergeCells>
  <pageMargins left="0.7" right="0.7" top="0.75" bottom="0.75" header="0.3" footer="0.3"/>
  <pageSetup orientation="portrait" r:id="rId1"/>
  <headerFooter>
    <oddFooter xml:space="preserve">&amp;C_x000D_&amp;1#&amp;"Calibri"&amp;12&amp;K000000 Public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8C8AF-B96E-4B42-B266-DD578E366D3B}">
  <sheetPr codeName="Sheet8">
    <tabColor rgb="FF92D050"/>
  </sheetPr>
  <dimension ref="A1:AD126"/>
  <sheetViews>
    <sheetView zoomScale="90" zoomScaleNormal="90" workbookViewId="0">
      <selection activeCell="K15" sqref="K15"/>
    </sheetView>
  </sheetViews>
  <sheetFormatPr defaultColWidth="8.85546875" defaultRowHeight="15"/>
  <cols>
    <col min="1" max="1" width="7.42578125" style="61" customWidth="1"/>
    <col min="2" max="2" width="14.42578125" style="61" customWidth="1"/>
    <col min="3" max="4" width="13" style="61" customWidth="1"/>
    <col min="5" max="5" width="14.5703125" style="61" customWidth="1"/>
    <col min="6" max="6" width="13.5703125" style="61" customWidth="1"/>
    <col min="7" max="7" width="15" style="61" bestFit="1" customWidth="1"/>
    <col min="8" max="8" width="14.140625" style="61" customWidth="1"/>
    <col min="9" max="9" width="15" style="61" customWidth="1"/>
    <col min="10" max="10" width="14" style="61" customWidth="1"/>
    <col min="11" max="11" width="15" style="61" bestFit="1" customWidth="1"/>
    <col min="12" max="12" width="13" style="61" customWidth="1"/>
    <col min="13" max="14" width="14.140625" style="61" customWidth="1"/>
    <col min="15" max="15" width="14.5703125" style="61" customWidth="1"/>
    <col min="16" max="16" width="25.85546875" style="61" customWidth="1"/>
    <col min="17" max="17" width="13" style="61" customWidth="1"/>
    <col min="18" max="18" width="15" style="61" bestFit="1" customWidth="1"/>
    <col min="19" max="19" width="13" style="61" customWidth="1"/>
    <col min="20" max="20" width="15.5703125" style="61" customWidth="1"/>
    <col min="21" max="21" width="16.5703125" style="61" customWidth="1"/>
    <col min="22" max="23" width="14" style="61" customWidth="1"/>
    <col min="24" max="24" width="29.140625" style="61" bestFit="1" customWidth="1"/>
    <col min="25" max="25" width="15.7109375" style="61" bestFit="1" customWidth="1"/>
    <col min="26" max="26" width="12.85546875" style="61" customWidth="1"/>
    <col min="27" max="28" width="8.85546875" style="61"/>
    <col min="29" max="29" width="12.42578125" style="61" customWidth="1"/>
    <col min="30" max="16384" width="8.85546875" style="61"/>
  </cols>
  <sheetData>
    <row r="1" spans="1:25">
      <c r="A1" s="50"/>
      <c r="B1" s="50"/>
      <c r="C1" s="50"/>
      <c r="D1" s="50"/>
      <c r="E1" s="50"/>
      <c r="F1" s="50"/>
      <c r="G1" s="50"/>
      <c r="H1" s="50"/>
      <c r="I1" s="50"/>
    </row>
    <row r="2" spans="1:25">
      <c r="A2" s="36"/>
      <c r="B2" s="453"/>
      <c r="C2" s="453"/>
      <c r="D2" s="453"/>
      <c r="F2" s="36"/>
    </row>
    <row r="3" spans="1:25">
      <c r="E3" s="454" t="s">
        <v>65</v>
      </c>
      <c r="F3" s="454"/>
      <c r="G3" s="454"/>
      <c r="H3" s="454"/>
      <c r="I3" s="454"/>
      <c r="M3" s="85"/>
      <c r="N3" s="85"/>
      <c r="O3" s="85"/>
      <c r="P3" s="454" t="s">
        <v>66</v>
      </c>
      <c r="Q3" s="454"/>
      <c r="R3" s="454"/>
      <c r="S3" s="454"/>
      <c r="T3" s="454"/>
    </row>
    <row r="4" spans="1:25" ht="15.75" customHeight="1">
      <c r="D4" s="18"/>
      <c r="E4" s="128">
        <f>'Hypothetical Summary'!$L$4</f>
        <v>2024</v>
      </c>
      <c r="F4" s="123">
        <f>'Hypothetical Summary'!$L$3</f>
        <v>45536</v>
      </c>
      <c r="G4" s="123">
        <f>'Hypothetical Summary'!$L$3</f>
        <v>45536</v>
      </c>
      <c r="H4" s="32" t="s">
        <v>22</v>
      </c>
      <c r="I4" s="32" t="s">
        <v>22</v>
      </c>
      <c r="L4" s="83"/>
      <c r="O4" s="18"/>
      <c r="P4" s="128">
        <f>'Hypothetical Summary'!$L$4</f>
        <v>2024</v>
      </c>
      <c r="Q4" s="123">
        <f>'Hypothetical Summary'!$L$3</f>
        <v>45536</v>
      </c>
      <c r="R4" s="123">
        <f>'Hypothetical Summary'!$L$3</f>
        <v>45536</v>
      </c>
      <c r="S4" s="234" t="s">
        <v>22</v>
      </c>
      <c r="T4" s="32" t="s">
        <v>22</v>
      </c>
    </row>
    <row r="5" spans="1:25" ht="30.6" customHeight="1">
      <c r="D5" s="18"/>
      <c r="E5" s="32" t="s">
        <v>42</v>
      </c>
      <c r="F5" s="32" t="s">
        <v>27</v>
      </c>
      <c r="G5" s="32" t="s">
        <v>43</v>
      </c>
      <c r="H5" s="32" t="s">
        <v>200</v>
      </c>
      <c r="I5" s="32" t="s">
        <v>43</v>
      </c>
      <c r="L5" s="19"/>
      <c r="M5" s="94"/>
      <c r="N5" s="94"/>
      <c r="O5" s="19"/>
      <c r="P5" s="32" t="s">
        <v>42</v>
      </c>
      <c r="Q5" s="32" t="s">
        <v>27</v>
      </c>
      <c r="R5" s="32" t="s">
        <v>43</v>
      </c>
      <c r="S5" s="32" t="s">
        <v>200</v>
      </c>
      <c r="T5" s="32" t="s">
        <v>43</v>
      </c>
      <c r="U5" s="32"/>
      <c r="V5" s="32"/>
    </row>
    <row r="6" spans="1:25" ht="42" customHeight="1">
      <c r="B6" s="25"/>
      <c r="D6" s="25"/>
      <c r="E6" s="18"/>
      <c r="F6" s="18"/>
      <c r="G6" s="18"/>
      <c r="J6" s="83"/>
      <c r="K6" s="83"/>
      <c r="L6" s="83"/>
      <c r="O6" s="25"/>
      <c r="P6" s="18"/>
      <c r="Q6" s="18"/>
      <c r="R6" s="18"/>
      <c r="U6" s="83"/>
      <c r="V6" s="83"/>
    </row>
    <row r="7" spans="1:25" ht="15.75">
      <c r="D7" s="26" t="s">
        <v>44</v>
      </c>
      <c r="E7" s="133">
        <f>'Res Bill Impact'!Y39</f>
        <v>1534680927.2168498</v>
      </c>
      <c r="F7" s="27">
        <v>0.39032988059834578</v>
      </c>
      <c r="G7" s="255">
        <f t="shared" ref="G7:G12" si="0">F7*E7</f>
        <v>599031823.0771116</v>
      </c>
      <c r="H7" s="33">
        <f>(Y10/SUM(SUM(E7:E8),F9/F7*SUM(E9:E10),F11/F7*SUM(E11:E12),SUM(P7:P8)*(1+(Q7/F7-1)),SUM(P9:P10)*(1+(Q9/F9-1))*F9/F7,SUM(P11:P12)*(1+(Q11/F11-1))*F11/F7))</f>
        <v>0.39172356702990935</v>
      </c>
      <c r="I7" s="255">
        <f t="shared" ref="I7:I12" si="1">E7*H7</f>
        <v>601170687.0621531</v>
      </c>
      <c r="J7" s="33"/>
      <c r="K7" s="255"/>
      <c r="L7" s="29"/>
      <c r="O7" s="26" t="s">
        <v>44</v>
      </c>
      <c r="P7" s="133">
        <f>'Res Bill Impact'!Y50</f>
        <v>1302723574.1165709</v>
      </c>
      <c r="Q7" s="27">
        <v>0.25377425063865128</v>
      </c>
      <c r="R7" s="255">
        <f t="shared" ref="R7:R12" si="2">Q7*P7</f>
        <v>330597698.81073827</v>
      </c>
      <c r="S7" s="33">
        <f t="shared" ref="S7:S12" si="3">H7*(1+(Q7/F7-1))</f>
        <v>0.25468036043801667</v>
      </c>
      <c r="T7" s="255">
        <f t="shared" ref="T7:T12" si="4">P7*S7</f>
        <v>331778109.40710962</v>
      </c>
      <c r="U7" s="33"/>
      <c r="V7" s="255"/>
      <c r="W7" s="29"/>
      <c r="X7" s="61" t="s">
        <v>49</v>
      </c>
    </row>
    <row r="8" spans="1:25" ht="15.75">
      <c r="D8" s="30" t="s">
        <v>45</v>
      </c>
      <c r="E8" s="133">
        <f>'Res Bill Impact'!Y40</f>
        <v>2163342894.5695081</v>
      </c>
      <c r="F8" s="27">
        <v>0.39032988059834578</v>
      </c>
      <c r="G8" s="255">
        <f t="shared" si="0"/>
        <v>844417373.73059583</v>
      </c>
      <c r="H8" s="33">
        <f>H7</f>
        <v>0.39172356702990935</v>
      </c>
      <c r="I8" s="255">
        <f t="shared" si="1"/>
        <v>847432395.36957681</v>
      </c>
      <c r="J8" s="33"/>
      <c r="K8" s="255"/>
      <c r="L8" s="29"/>
      <c r="O8" s="30" t="s">
        <v>45</v>
      </c>
      <c r="P8" s="133">
        <f>'Res Bill Impact'!Y51</f>
        <v>1671858631.647109</v>
      </c>
      <c r="Q8" s="27">
        <v>0.25377425063865128</v>
      </c>
      <c r="R8" s="255">
        <f t="shared" si="2"/>
        <v>424274671.42000604</v>
      </c>
      <c r="S8" s="33">
        <f t="shared" si="3"/>
        <v>0.25468036043801667</v>
      </c>
      <c r="T8" s="255">
        <f t="shared" si="4"/>
        <v>425789558.90929508</v>
      </c>
      <c r="U8" s="33"/>
      <c r="V8" s="255"/>
      <c r="W8" s="29"/>
      <c r="X8" s="61" t="s">
        <v>21</v>
      </c>
      <c r="Y8" s="38">
        <f>SUM(G7:G12)+SUM(R7:R12)</f>
        <v>4326034790.6883259</v>
      </c>
    </row>
    <row r="9" spans="1:25" ht="15.75">
      <c r="D9" s="26" t="s">
        <v>46</v>
      </c>
      <c r="E9" s="133">
        <f>'Res Bill Impact'!Y41</f>
        <v>1444163839.0009103</v>
      </c>
      <c r="F9" s="27">
        <v>0.48870337537721481</v>
      </c>
      <c r="G9" s="255">
        <f t="shared" si="0"/>
        <v>705767742.71746147</v>
      </c>
      <c r="H9" s="33">
        <f>F9/F$7*H$7</f>
        <v>0.49044830779765486</v>
      </c>
      <c r="I9" s="255">
        <f t="shared" si="1"/>
        <v>708287711.02056134</v>
      </c>
      <c r="J9" s="33"/>
      <c r="K9" s="255"/>
      <c r="L9" s="29"/>
      <c r="O9" s="26" t="s">
        <v>46</v>
      </c>
      <c r="P9" s="133">
        <f>'Res Bill Impact'!Y52</f>
        <v>1052520221.993717</v>
      </c>
      <c r="Q9" s="27">
        <v>0.31773230388269358</v>
      </c>
      <c r="R9" s="255">
        <f t="shared" si="2"/>
        <v>334419675.01718777</v>
      </c>
      <c r="S9" s="33">
        <f t="shared" si="3"/>
        <v>0.3188667781384486</v>
      </c>
      <c r="T9" s="255">
        <f t="shared" si="4"/>
        <v>335613732.11270124</v>
      </c>
      <c r="U9" s="33"/>
      <c r="V9" s="255"/>
      <c r="W9" s="29"/>
      <c r="X9" s="61" t="s">
        <v>199</v>
      </c>
      <c r="Y9" s="38">
        <f>('Hypothetical SAR and RAR'!U20-('Hypothetical SAR and RAR'!O10*'Hypothetical SAR and RAR'!O20))*1000</f>
        <v>15446257.870425673</v>
      </c>
    </row>
    <row r="10" spans="1:25" ht="15.75">
      <c r="D10" s="30" t="s">
        <v>45</v>
      </c>
      <c r="E10" s="133">
        <f>'Res Bill Impact'!Y42</f>
        <v>1640323344.0529723</v>
      </c>
      <c r="F10" s="27">
        <v>0.48870337537721481</v>
      </c>
      <c r="G10" s="255">
        <f t="shared" si="0"/>
        <v>801631554.94872797</v>
      </c>
      <c r="H10" s="33">
        <f>H9</f>
        <v>0.49044830779765486</v>
      </c>
      <c r="I10" s="255">
        <f t="shared" si="1"/>
        <v>804493808.33177066</v>
      </c>
      <c r="J10" s="33"/>
      <c r="K10" s="255"/>
      <c r="L10" s="29"/>
      <c r="O10" s="30" t="s">
        <v>45</v>
      </c>
      <c r="P10" s="133">
        <f>'Res Bill Impact'!Y53</f>
        <v>899795983.8293581</v>
      </c>
      <c r="Q10" s="27">
        <v>0.31773230388269358</v>
      </c>
      <c r="R10" s="255">
        <f t="shared" si="2"/>
        <v>285894250.96649683</v>
      </c>
      <c r="S10" s="33">
        <f t="shared" si="3"/>
        <v>0.3188667781384486</v>
      </c>
      <c r="T10" s="255">
        <f t="shared" si="4"/>
        <v>286915046.34558302</v>
      </c>
      <c r="U10" s="33"/>
      <c r="V10" s="255"/>
      <c r="W10" s="29"/>
      <c r="X10" s="61" t="s">
        <v>22</v>
      </c>
      <c r="Y10" s="38">
        <f>Y8+Y9</f>
        <v>4341481048.5587511</v>
      </c>
    </row>
    <row r="11" spans="1:25" ht="15.75" hidden="1">
      <c r="D11" s="26" t="s">
        <v>47</v>
      </c>
      <c r="E11" s="133">
        <f>'Res Bill Impact'!Y43</f>
        <v>0</v>
      </c>
      <c r="F11" s="27">
        <v>0.48870337537721481</v>
      </c>
      <c r="G11" s="255">
        <f t="shared" si="0"/>
        <v>0</v>
      </c>
      <c r="H11" s="33">
        <f>F11/F$7*H$7</f>
        <v>0.49044830779765486</v>
      </c>
      <c r="I11" s="255">
        <f t="shared" si="1"/>
        <v>0</v>
      </c>
      <c r="J11" s="33"/>
      <c r="K11" s="255"/>
      <c r="L11" s="29"/>
      <c r="O11" s="26" t="s">
        <v>47</v>
      </c>
      <c r="P11" s="133">
        <v>0</v>
      </c>
      <c r="Q11" s="27">
        <v>0.31773230388269358</v>
      </c>
      <c r="R11" s="255">
        <f t="shared" si="2"/>
        <v>0</v>
      </c>
      <c r="S11" s="33">
        <f t="shared" si="3"/>
        <v>0.3188667781384486</v>
      </c>
      <c r="T11" s="255">
        <f t="shared" si="4"/>
        <v>0</v>
      </c>
      <c r="U11" s="33"/>
      <c r="V11" s="255"/>
      <c r="W11" s="29"/>
      <c r="Y11" s="38"/>
    </row>
    <row r="12" spans="1:25" ht="15.75" hidden="1">
      <c r="D12" s="30" t="s">
        <v>45</v>
      </c>
      <c r="E12" s="133">
        <f>'Res Bill Impact'!Y44</f>
        <v>0</v>
      </c>
      <c r="F12" s="27">
        <v>0.48870337537721481</v>
      </c>
      <c r="G12" s="255">
        <f t="shared" si="0"/>
        <v>0</v>
      </c>
      <c r="H12" s="33">
        <f>H11</f>
        <v>0.49044830779765486</v>
      </c>
      <c r="I12" s="255">
        <f t="shared" si="1"/>
        <v>0</v>
      </c>
      <c r="J12" s="33"/>
      <c r="K12" s="255"/>
      <c r="L12" s="29"/>
      <c r="O12" s="30" t="s">
        <v>45</v>
      </c>
      <c r="P12" s="133">
        <v>0</v>
      </c>
      <c r="Q12" s="27">
        <v>0.31773230388269358</v>
      </c>
      <c r="R12" s="255">
        <f t="shared" si="2"/>
        <v>0</v>
      </c>
      <c r="S12" s="33">
        <f t="shared" si="3"/>
        <v>0.3188667781384486</v>
      </c>
      <c r="T12" s="255">
        <f t="shared" si="4"/>
        <v>0</v>
      </c>
      <c r="U12" s="33"/>
      <c r="V12" s="255"/>
      <c r="W12" s="29"/>
      <c r="Y12" s="38"/>
    </row>
    <row r="13" spans="1:25" ht="15.75">
      <c r="D13" s="30"/>
      <c r="E13" s="95"/>
      <c r="F13" s="27"/>
      <c r="G13" s="28"/>
      <c r="H13" s="18"/>
      <c r="I13" s="31"/>
      <c r="J13" s="18"/>
      <c r="K13" s="31"/>
      <c r="L13" s="29"/>
      <c r="O13" s="30"/>
      <c r="P13" s="28"/>
      <c r="Q13" s="27"/>
      <c r="R13" s="28"/>
      <c r="S13" s="18"/>
      <c r="T13" s="31"/>
      <c r="U13" s="18"/>
      <c r="V13" s="31"/>
    </row>
    <row r="14" spans="1:25" ht="15.75">
      <c r="D14" s="30"/>
      <c r="E14" s="95"/>
      <c r="F14" s="27"/>
      <c r="G14" s="28"/>
      <c r="H14" s="28"/>
      <c r="I14" s="28"/>
      <c r="J14" s="28"/>
      <c r="K14" s="28"/>
      <c r="L14" s="29"/>
      <c r="O14" s="30"/>
      <c r="P14" s="28"/>
      <c r="Q14" s="27"/>
      <c r="R14" s="28"/>
      <c r="S14" s="28"/>
      <c r="T14" s="28"/>
      <c r="U14" s="28"/>
      <c r="V14" s="28"/>
    </row>
    <row r="15" spans="1:25" ht="15.75">
      <c r="D15" s="30"/>
      <c r="E15" s="95"/>
      <c r="F15" s="27"/>
      <c r="G15" s="28"/>
      <c r="H15" s="28"/>
      <c r="I15" s="28"/>
      <c r="J15" s="28"/>
      <c r="K15" s="28"/>
      <c r="L15" s="29"/>
      <c r="O15" s="96"/>
      <c r="P15" s="28"/>
      <c r="Q15" s="27"/>
      <c r="R15" s="28"/>
      <c r="S15" s="28"/>
      <c r="T15" s="28"/>
      <c r="U15" s="28"/>
      <c r="V15" s="28"/>
    </row>
    <row r="16" spans="1:25" ht="15.75">
      <c r="P16" s="28"/>
      <c r="Q16" s="27"/>
    </row>
    <row r="17" spans="2:30">
      <c r="O17" s="37"/>
    </row>
    <row r="19" spans="2:30">
      <c r="B19" s="39"/>
      <c r="P19" s="61" t="str">
        <f>'Res Bill Impact'!P19</f>
        <v>2023 Recorded Average Monthly Usage (kWh) - Bundled/Basic/non-medical/non-FERA</v>
      </c>
      <c r="X19" s="61" t="s">
        <v>355</v>
      </c>
    </row>
    <row r="20" spans="2:30">
      <c r="B20" s="40" t="s">
        <v>156</v>
      </c>
      <c r="C20" s="40"/>
      <c r="E20" s="41"/>
      <c r="F20" s="41"/>
      <c r="H20" s="40" t="s">
        <v>39</v>
      </c>
      <c r="I20" s="40"/>
      <c r="J20" s="40"/>
      <c r="K20" s="40"/>
      <c r="L20" s="40" t="s">
        <v>231</v>
      </c>
      <c r="M20" s="40"/>
      <c r="N20" s="40"/>
      <c r="P20" s="49" t="s">
        <v>33</v>
      </c>
      <c r="Q20" s="97" t="s">
        <v>154</v>
      </c>
      <c r="R20" s="97" t="s">
        <v>155</v>
      </c>
      <c r="S20" s="97" t="s">
        <v>154</v>
      </c>
      <c r="T20" s="97" t="s">
        <v>155</v>
      </c>
      <c r="U20" s="455" t="s">
        <v>180</v>
      </c>
      <c r="V20" s="456"/>
      <c r="X20" s="49" t="s">
        <v>33</v>
      </c>
      <c r="Y20" s="97" t="s">
        <v>154</v>
      </c>
      <c r="Z20" s="97" t="s">
        <v>155</v>
      </c>
      <c r="AA20" s="97" t="s">
        <v>154</v>
      </c>
      <c r="AB20" s="97" t="s">
        <v>155</v>
      </c>
      <c r="AC20" s="455" t="s">
        <v>180</v>
      </c>
      <c r="AD20" s="456"/>
    </row>
    <row r="21" spans="2:30">
      <c r="B21" s="42" t="s">
        <v>27</v>
      </c>
      <c r="C21" s="98">
        <v>45292</v>
      </c>
      <c r="D21" s="98">
        <f>F4</f>
        <v>45536</v>
      </c>
      <c r="E21" s="99" t="s">
        <v>22</v>
      </c>
      <c r="F21" s="100"/>
      <c r="H21" s="43" t="s">
        <v>33</v>
      </c>
      <c r="I21" s="43" t="s">
        <v>352</v>
      </c>
      <c r="J21" s="43" t="s">
        <v>353</v>
      </c>
      <c r="L21" s="43" t="s">
        <v>33</v>
      </c>
      <c r="M21" s="43" t="s">
        <v>352</v>
      </c>
      <c r="N21" s="43" t="s">
        <v>353</v>
      </c>
      <c r="P21" s="62"/>
      <c r="Q21" s="457" t="s">
        <v>50</v>
      </c>
      <c r="R21" s="458"/>
      <c r="S21" s="457" t="s">
        <v>51</v>
      </c>
      <c r="T21" s="458"/>
      <c r="U21" s="80" t="s">
        <v>50</v>
      </c>
      <c r="V21" s="80" t="s">
        <v>51</v>
      </c>
      <c r="X21" s="62"/>
      <c r="Y21" s="457" t="s">
        <v>50</v>
      </c>
      <c r="Z21" s="458"/>
      <c r="AA21" s="457" t="s">
        <v>51</v>
      </c>
      <c r="AB21" s="458"/>
      <c r="AC21" s="80" t="s">
        <v>50</v>
      </c>
      <c r="AD21" s="80" t="s">
        <v>51</v>
      </c>
    </row>
    <row r="22" spans="2:30">
      <c r="B22" s="44" t="s">
        <v>29</v>
      </c>
      <c r="C22" s="100">
        <v>0.42009000000000002</v>
      </c>
      <c r="D22" s="100">
        <f>F7</f>
        <v>0.39032988059834578</v>
      </c>
      <c r="E22" s="100">
        <f>H7</f>
        <v>0.39172356702990935</v>
      </c>
      <c r="F22" s="100"/>
      <c r="H22" s="61" t="s">
        <v>207</v>
      </c>
      <c r="I22" s="38">
        <f>13.5*$R$33</f>
        <v>410.90625</v>
      </c>
      <c r="J22" s="38">
        <f>11*$R$33</f>
        <v>334.8125</v>
      </c>
      <c r="L22" s="61" t="s">
        <v>207</v>
      </c>
      <c r="M22" s="38">
        <f>15.2*$R$33</f>
        <v>462.65</v>
      </c>
      <c r="N22" s="38">
        <f>26*$R$33</f>
        <v>791.375</v>
      </c>
      <c r="P22" s="118" t="s">
        <v>207</v>
      </c>
      <c r="Q22" s="144">
        <f>'Res Bill Impact'!Q22</f>
        <v>515.75</v>
      </c>
      <c r="R22" s="144">
        <f>'Res Bill Impact'!R22</f>
        <v>438</v>
      </c>
      <c r="S22" s="144">
        <f>'Res Bill Impact'!S22</f>
        <v>555.75</v>
      </c>
      <c r="T22" s="144">
        <f>'Res Bill Impact'!T22</f>
        <v>522</v>
      </c>
      <c r="U22" s="119">
        <f>'Res Bill Impact'!U22</f>
        <v>4.9623493485253585E-2</v>
      </c>
      <c r="V22" s="119">
        <f>'Res Bill Impact'!V22</f>
        <v>2.6968336469549364E-2</v>
      </c>
      <c r="X22" s="118" t="s">
        <v>207</v>
      </c>
      <c r="Y22" s="144">
        <f>'Res Bill Impact'!Y22</f>
        <v>603.25</v>
      </c>
      <c r="Z22" s="144">
        <f>'Res Bill Impact'!Z22</f>
        <v>622.25</v>
      </c>
      <c r="AA22" s="144">
        <f>'Res Bill Impact'!AA22</f>
        <v>662.25</v>
      </c>
      <c r="AB22" s="144">
        <f>'Res Bill Impact'!AB22</f>
        <v>778.625</v>
      </c>
      <c r="AC22" s="119">
        <f>'Res Bill Impact'!AC22</f>
        <v>0.21765600938622864</v>
      </c>
      <c r="AD22" s="119">
        <f>'Res Bill Impact'!AD22</f>
        <v>0.20820565676145356</v>
      </c>
    </row>
    <row r="23" spans="2:30">
      <c r="B23" s="44" t="s">
        <v>30</v>
      </c>
      <c r="C23" s="100">
        <v>0.52566000000000002</v>
      </c>
      <c r="D23" s="100">
        <f>F9</f>
        <v>0.48870337537721481</v>
      </c>
      <c r="E23" s="100">
        <f>H9</f>
        <v>0.49044830779765486</v>
      </c>
      <c r="F23" s="100"/>
      <c r="H23" s="61" t="s">
        <v>208</v>
      </c>
      <c r="I23" s="38">
        <f>9.8*$R$33</f>
        <v>298.28750000000002</v>
      </c>
      <c r="J23" s="38">
        <f>11*$R$33</f>
        <v>334.8125</v>
      </c>
      <c r="L23" s="61" t="s">
        <v>208</v>
      </c>
      <c r="M23" s="38">
        <f>8.5*$R$33</f>
        <v>258.71875</v>
      </c>
      <c r="N23" s="38">
        <f>26*$R$33</f>
        <v>791.375</v>
      </c>
      <c r="P23" s="101" t="s">
        <v>208</v>
      </c>
      <c r="Q23" s="144">
        <f>'Res Bill Impact'!Q23</f>
        <v>391</v>
      </c>
      <c r="R23" s="144">
        <f>'Res Bill Impact'!R23</f>
        <v>463.25</v>
      </c>
      <c r="S23" s="144">
        <f>'Res Bill Impact'!S23</f>
        <v>378.25</v>
      </c>
      <c r="T23" s="144">
        <f>'Res Bill Impact'!T23</f>
        <v>484.5</v>
      </c>
      <c r="U23" s="119">
        <f>'Res Bill Impact'!U23</f>
        <v>2.9516720711876408E-4</v>
      </c>
      <c r="V23" s="119">
        <f>'Res Bill Impact'!V23</f>
        <v>9.3407578702322928E-5</v>
      </c>
      <c r="X23" s="101" t="s">
        <v>208</v>
      </c>
      <c r="Y23" s="144">
        <f>'Res Bill Impact'!Y23</f>
        <v>506.75</v>
      </c>
      <c r="Z23" s="144">
        <f>'Res Bill Impact'!Z23</f>
        <v>641.125</v>
      </c>
      <c r="AA23" s="144">
        <f>'Res Bill Impact'!AA23</f>
        <v>504.5</v>
      </c>
      <c r="AB23" s="144">
        <f>'Res Bill Impact'!AB23</f>
        <v>698.375</v>
      </c>
      <c r="AC23" s="119">
        <f>'Res Bill Impact'!AC23</f>
        <v>1.4024345530541907E-3</v>
      </c>
      <c r="AD23" s="119">
        <f>'Res Bill Impact'!AD23</f>
        <v>5.8268830128791686E-4</v>
      </c>
    </row>
    <row r="24" spans="2:30">
      <c r="B24" s="44" t="s">
        <v>67</v>
      </c>
      <c r="C24" s="100">
        <v>0.52566000000000002</v>
      </c>
      <c r="D24" s="100">
        <f>F11</f>
        <v>0.48870337537721481</v>
      </c>
      <c r="E24" s="100">
        <f>H11</f>
        <v>0.49044830779765486</v>
      </c>
      <c r="F24" s="100"/>
      <c r="H24" s="61" t="s">
        <v>209</v>
      </c>
      <c r="I24" s="38">
        <f>17.7*$R$33</f>
        <v>538.74374999999998</v>
      </c>
      <c r="J24" s="38">
        <f>10.4*$R$33</f>
        <v>316.55</v>
      </c>
      <c r="L24" s="61" t="s">
        <v>209</v>
      </c>
      <c r="M24" s="38">
        <f>19.9*$R$33</f>
        <v>605.70624999999995</v>
      </c>
      <c r="N24" s="38">
        <f>26.7*$R$33</f>
        <v>812.68124999999998</v>
      </c>
      <c r="P24" s="101" t="s">
        <v>209</v>
      </c>
      <c r="Q24" s="144">
        <f>'Res Bill Impact'!Q24</f>
        <v>755.5</v>
      </c>
      <c r="R24" s="144">
        <f>'Res Bill Impact'!R24</f>
        <v>425.875</v>
      </c>
      <c r="S24" s="144">
        <f>'Res Bill Impact'!S24</f>
        <v>813.75</v>
      </c>
      <c r="T24" s="144">
        <f>'Res Bill Impact'!T24</f>
        <v>453</v>
      </c>
      <c r="U24" s="119">
        <f>'Res Bill Impact'!U24</f>
        <v>0.28343045543496437</v>
      </c>
      <c r="V24" s="119">
        <f>'Res Bill Impact'!V24</f>
        <v>0.37610128471706866</v>
      </c>
      <c r="X24" s="101" t="s">
        <v>209</v>
      </c>
      <c r="Y24" s="144">
        <f>'Res Bill Impact'!Y24</f>
        <v>758</v>
      </c>
      <c r="Z24" s="144">
        <f>'Res Bill Impact'!Z24</f>
        <v>587.25</v>
      </c>
      <c r="AA24" s="144">
        <f>'Res Bill Impact'!AA24</f>
        <v>831.5</v>
      </c>
      <c r="AB24" s="144">
        <f>'Res Bill Impact'!AB24</f>
        <v>671.125</v>
      </c>
      <c r="AC24" s="119">
        <f>'Res Bill Impact'!AC24</f>
        <v>0.24920253721492996</v>
      </c>
      <c r="AD24" s="119">
        <f>'Res Bill Impact'!AD24</f>
        <v>0.324604233128026</v>
      </c>
    </row>
    <row r="25" spans="2:30">
      <c r="H25" s="61" t="s">
        <v>210</v>
      </c>
      <c r="I25" s="38">
        <f>15*$R$33</f>
        <v>456.5625</v>
      </c>
      <c r="J25" s="38">
        <f>10.2*$R$33</f>
        <v>310.46249999999998</v>
      </c>
      <c r="L25" s="61" t="s">
        <v>210</v>
      </c>
      <c r="M25" s="38">
        <f>17.8*$R$33</f>
        <v>541.78750000000002</v>
      </c>
      <c r="N25" s="38">
        <f>23.7*$R$33</f>
        <v>721.36874999999998</v>
      </c>
      <c r="P25" s="101" t="s">
        <v>210</v>
      </c>
      <c r="Q25" s="144">
        <f>'Res Bill Impact'!Q25</f>
        <v>631</v>
      </c>
      <c r="R25" s="144">
        <f>'Res Bill Impact'!R25</f>
        <v>416.125</v>
      </c>
      <c r="S25" s="144">
        <f>'Res Bill Impact'!S25</f>
        <v>676.5</v>
      </c>
      <c r="T25" s="144">
        <f>'Res Bill Impact'!T25</f>
        <v>444.375</v>
      </c>
      <c r="U25" s="119">
        <f>'Res Bill Impact'!U25</f>
        <v>0.36323137503610858</v>
      </c>
      <c r="V25" s="119">
        <f>'Res Bill Impact'!V25</f>
        <v>0.30877736268500672</v>
      </c>
      <c r="X25" s="101" t="s">
        <v>210</v>
      </c>
      <c r="Y25" s="144">
        <f>'Res Bill Impact'!Y25</f>
        <v>657</v>
      </c>
      <c r="Z25" s="144">
        <f>'Res Bill Impact'!Z25</f>
        <v>569</v>
      </c>
      <c r="AA25" s="144">
        <f>'Res Bill Impact'!AA25</f>
        <v>674.5</v>
      </c>
      <c r="AB25" s="144">
        <f>'Res Bill Impact'!AB25</f>
        <v>605.875</v>
      </c>
      <c r="AC25" s="119">
        <f>'Res Bill Impact'!AC25</f>
        <v>0.24477891031751853</v>
      </c>
      <c r="AD25" s="119">
        <f>'Res Bill Impact'!AD25</f>
        <v>0.24856194576899485</v>
      </c>
    </row>
    <row r="26" spans="2:30">
      <c r="B26" s="40" t="s">
        <v>198</v>
      </c>
      <c r="C26" s="40"/>
      <c r="D26" s="40"/>
      <c r="E26" s="41"/>
      <c r="F26" s="41"/>
      <c r="H26" s="61" t="s">
        <v>211</v>
      </c>
      <c r="I26" s="38">
        <f>6.5*$R$33</f>
        <v>197.84375</v>
      </c>
      <c r="J26" s="38">
        <f>7.5*$R$33</f>
        <v>228.28125</v>
      </c>
      <c r="L26" s="61" t="s">
        <v>211</v>
      </c>
      <c r="M26" s="38">
        <f>7.1*$R$33</f>
        <v>216.10624999999999</v>
      </c>
      <c r="N26" s="38">
        <f>12.9*$R$33</f>
        <v>392.64375000000001</v>
      </c>
      <c r="P26" s="101" t="s">
        <v>211</v>
      </c>
      <c r="Q26" s="144">
        <f>'Res Bill Impact'!Q26</f>
        <v>244.5</v>
      </c>
      <c r="R26" s="144">
        <f>'Res Bill Impact'!R26</f>
        <v>293.625</v>
      </c>
      <c r="S26" s="144">
        <f>'Res Bill Impact'!S26</f>
        <v>257</v>
      </c>
      <c r="T26" s="144">
        <f>'Res Bill Impact'!T26</f>
        <v>310.875</v>
      </c>
      <c r="U26" s="119">
        <f>'Res Bill Impact'!U26</f>
        <v>4.7950662117167697E-2</v>
      </c>
      <c r="V26" s="119">
        <f>'Res Bill Impact'!V26</f>
        <v>1.9893005013107496E-2</v>
      </c>
      <c r="X26" s="101" t="s">
        <v>211</v>
      </c>
      <c r="Y26" s="144">
        <f>'Res Bill Impact'!Y26</f>
        <v>232</v>
      </c>
      <c r="Z26" s="144">
        <f>'Res Bill Impact'!Z26</f>
        <v>314.5</v>
      </c>
      <c r="AA26" s="144">
        <f>'Res Bill Impact'!AA26</f>
        <v>247</v>
      </c>
      <c r="AB26" s="144">
        <f>'Res Bill Impact'!AB26</f>
        <v>337.375</v>
      </c>
      <c r="AC26" s="119">
        <f>'Res Bill Impact'!AC26</f>
        <v>3.9561487130600571E-2</v>
      </c>
      <c r="AD26" s="119">
        <f>'Res Bill Impact'!AD26</f>
        <v>2.5843250990789719E-2</v>
      </c>
    </row>
    <row r="27" spans="2:30">
      <c r="B27" s="42" t="s">
        <v>27</v>
      </c>
      <c r="C27" s="98">
        <f>$C$21</f>
        <v>45292</v>
      </c>
      <c r="D27" s="98">
        <f>D21</f>
        <v>45536</v>
      </c>
      <c r="E27" s="99" t="s">
        <v>22</v>
      </c>
      <c r="F27" s="41"/>
      <c r="H27" s="61" t="s">
        <v>212</v>
      </c>
      <c r="I27" s="38">
        <f>7.1*$R$33</f>
        <v>216.10624999999999</v>
      </c>
      <c r="J27" s="38">
        <f>8.1*$R$33</f>
        <v>246.54374999999999</v>
      </c>
      <c r="L27" s="61" t="s">
        <v>212</v>
      </c>
      <c r="M27" s="38">
        <f>10.4*$R$33</f>
        <v>316.55</v>
      </c>
      <c r="N27" s="38">
        <f>19.1*$R$33</f>
        <v>581.35625000000005</v>
      </c>
      <c r="P27" s="101" t="s">
        <v>212</v>
      </c>
      <c r="Q27" s="144">
        <f>'Res Bill Impact'!Q27</f>
        <v>270.75</v>
      </c>
      <c r="R27" s="144">
        <f>'Res Bill Impact'!R27</f>
        <v>333.625</v>
      </c>
      <c r="S27" s="144">
        <f>'Res Bill Impact'!S27</f>
        <v>284</v>
      </c>
      <c r="T27" s="144">
        <f>'Res Bill Impact'!T27</f>
        <v>355.25</v>
      </c>
      <c r="U27" s="119">
        <f>'Res Bill Impact'!U27</f>
        <v>1.5948585738580461E-3</v>
      </c>
      <c r="V27" s="119">
        <f>'Res Bill Impact'!V27</f>
        <v>9.2705266080500949E-4</v>
      </c>
      <c r="X27" s="101" t="s">
        <v>212</v>
      </c>
      <c r="Y27" s="144">
        <f>'Res Bill Impact'!Y27</f>
        <v>370.75</v>
      </c>
      <c r="Z27" s="144">
        <f>'Res Bill Impact'!Z27</f>
        <v>495.125</v>
      </c>
      <c r="AA27" s="144">
        <f>'Res Bill Impact'!AA27</f>
        <v>404.25</v>
      </c>
      <c r="AB27" s="144">
        <f>'Res Bill Impact'!AB27</f>
        <v>570</v>
      </c>
      <c r="AC27" s="119">
        <f>'Res Bill Impact'!AC27</f>
        <v>1.8002493216983208E-3</v>
      </c>
      <c r="AD27" s="119">
        <f>'Res Bill Impact'!AD27</f>
        <v>1.0731420222212136E-3</v>
      </c>
    </row>
    <row r="28" spans="2:30">
      <c r="B28" s="44" t="s">
        <v>29</v>
      </c>
      <c r="C28" s="100">
        <v>0.27311999999999997</v>
      </c>
      <c r="D28" s="100">
        <f>Q7</f>
        <v>0.25377425063865128</v>
      </c>
      <c r="E28" s="100">
        <f>S7</f>
        <v>0.25468036043801667</v>
      </c>
      <c r="F28" s="41"/>
      <c r="H28" s="61" t="s">
        <v>213</v>
      </c>
      <c r="I28" s="38">
        <f>19.2*$R$33</f>
        <v>584.4</v>
      </c>
      <c r="J28" s="38">
        <f>9.8*$R$33</f>
        <v>298.28750000000002</v>
      </c>
      <c r="L28" s="61" t="s">
        <v>213</v>
      </c>
      <c r="M28" s="38">
        <f>22.4*$R$33</f>
        <v>681.8</v>
      </c>
      <c r="N28" s="38">
        <f>19*$R$33</f>
        <v>578.3125</v>
      </c>
      <c r="P28" s="101" t="s">
        <v>213</v>
      </c>
      <c r="Q28" s="144">
        <f>'Res Bill Impact'!Q28</f>
        <v>808.75</v>
      </c>
      <c r="R28" s="144">
        <f>'Res Bill Impact'!R28</f>
        <v>385.75</v>
      </c>
      <c r="S28" s="144">
        <f>'Res Bill Impact'!S28</f>
        <v>875</v>
      </c>
      <c r="T28" s="144">
        <f>'Res Bill Impact'!T28</f>
        <v>423.25</v>
      </c>
      <c r="U28" s="119">
        <f>'Res Bill Impact'!U28</f>
        <v>0.13006339904912287</v>
      </c>
      <c r="V28" s="119">
        <f>'Res Bill Impact'!V28</f>
        <v>0.23509680911283401</v>
      </c>
      <c r="X28" s="101" t="s">
        <v>213</v>
      </c>
      <c r="Y28" s="144">
        <f>'Res Bill Impact'!Y28</f>
        <v>830.25</v>
      </c>
      <c r="Z28" s="144">
        <f>'Res Bill Impact'!Z28</f>
        <v>473.75</v>
      </c>
      <c r="AA28" s="144">
        <f>'Res Bill Impact'!AA28</f>
        <v>892.5</v>
      </c>
      <c r="AB28" s="144">
        <f>'Res Bill Impact'!AB28</f>
        <v>508.5</v>
      </c>
      <c r="AC28" s="119">
        <f>'Res Bill Impact'!AC28</f>
        <v>6.4832807802302564E-2</v>
      </c>
      <c r="AD28" s="119">
        <f>'Res Bill Impact'!AD28</f>
        <v>0.12409650372378818</v>
      </c>
    </row>
    <row r="29" spans="2:30">
      <c r="B29" s="44" t="s">
        <v>30</v>
      </c>
      <c r="C29" s="100">
        <v>0.34175</v>
      </c>
      <c r="D29" s="100">
        <f>Q9</f>
        <v>0.31773230388269358</v>
      </c>
      <c r="E29" s="100">
        <f>S9</f>
        <v>0.3188667781384486</v>
      </c>
      <c r="F29" s="100"/>
      <c r="H29" s="61" t="s">
        <v>214</v>
      </c>
      <c r="I29" s="38">
        <f>9.8*$R$33</f>
        <v>298.28750000000002</v>
      </c>
      <c r="J29" s="38">
        <f>9.7*$R$33</f>
        <v>295.24374999999998</v>
      </c>
      <c r="L29" s="61" t="s">
        <v>214</v>
      </c>
      <c r="M29" s="38">
        <f>8.5*$R$33</f>
        <v>258.71875</v>
      </c>
      <c r="N29" s="38">
        <f>14.6*$R$33</f>
        <v>444.38749999999999</v>
      </c>
      <c r="P29" s="101" t="s">
        <v>214</v>
      </c>
      <c r="Q29" s="144">
        <f>'Res Bill Impact'!Q29</f>
        <v>406.5</v>
      </c>
      <c r="R29" s="144">
        <f>'Res Bill Impact'!R29</f>
        <v>388.625</v>
      </c>
      <c r="S29" s="144">
        <f>'Res Bill Impact'!S29</f>
        <v>379.75</v>
      </c>
      <c r="T29" s="144">
        <f>'Res Bill Impact'!T29</f>
        <v>381.375</v>
      </c>
      <c r="U29" s="119">
        <f>'Res Bill Impact'!U29</f>
        <v>0.10412734542816621</v>
      </c>
      <c r="V29" s="119">
        <f>'Res Bill Impact'!V29</f>
        <v>2.8480181440124805E-2</v>
      </c>
      <c r="X29" s="101" t="s">
        <v>214</v>
      </c>
      <c r="Y29" s="144">
        <f>'Res Bill Impact'!Y29</f>
        <v>316.25</v>
      </c>
      <c r="Z29" s="144">
        <f>'Res Bill Impact'!Z29</f>
        <v>367.625</v>
      </c>
      <c r="AA29" s="144">
        <f>'Res Bill Impact'!AA29</f>
        <v>319.75</v>
      </c>
      <c r="AB29" s="144">
        <f>'Res Bill Impact'!AB29</f>
        <v>394.5</v>
      </c>
      <c r="AC29" s="119">
        <f>'Res Bill Impact'!AC29</f>
        <v>6.2144349930336587E-2</v>
      </c>
      <c r="AD29" s="119">
        <f>'Res Bill Impact'!AD29</f>
        <v>3.5832402447290863E-2</v>
      </c>
    </row>
    <row r="30" spans="2:30">
      <c r="B30" s="44" t="s">
        <v>67</v>
      </c>
      <c r="C30" s="100">
        <v>0.34175</v>
      </c>
      <c r="D30" s="100">
        <f>Q11</f>
        <v>0.31773230388269358</v>
      </c>
      <c r="E30" s="100">
        <f>S12</f>
        <v>0.3188667781384486</v>
      </c>
      <c r="F30" s="100"/>
      <c r="H30" s="61" t="s">
        <v>215</v>
      </c>
      <c r="I30" s="38">
        <f>10.5*$R$33</f>
        <v>319.59375</v>
      </c>
      <c r="J30" s="38">
        <f>11.1*$R$33</f>
        <v>337.85624999999999</v>
      </c>
      <c r="L30" s="61" t="s">
        <v>215</v>
      </c>
      <c r="M30" s="38">
        <f>12*$R$33</f>
        <v>365.25</v>
      </c>
      <c r="N30" s="38">
        <f>24*$R$33</f>
        <v>730.5</v>
      </c>
      <c r="P30" s="101" t="s">
        <v>215</v>
      </c>
      <c r="Q30" s="144">
        <f>'Res Bill Impact'!Q30</f>
        <v>356.25</v>
      </c>
      <c r="R30" s="144">
        <f>'Res Bill Impact'!R30</f>
        <v>354</v>
      </c>
      <c r="S30" s="144">
        <f>'Res Bill Impact'!S30</f>
        <v>481.5</v>
      </c>
      <c r="T30" s="144">
        <f>'Res Bill Impact'!T30</f>
        <v>538.375</v>
      </c>
      <c r="U30" s="119">
        <f>'Res Bill Impact'!U30</f>
        <v>1.8145941613797928E-2</v>
      </c>
      <c r="V30" s="119">
        <f>'Res Bill Impact'!V30</f>
        <v>3.6253377538450447E-3</v>
      </c>
      <c r="X30" s="101" t="s">
        <v>215</v>
      </c>
      <c r="Y30" s="144">
        <f>'Res Bill Impact'!Y30</f>
        <v>377.5</v>
      </c>
      <c r="Z30" s="144">
        <f>'Res Bill Impact'!Z30</f>
        <v>416.5</v>
      </c>
      <c r="AA30" s="144">
        <f>'Res Bill Impact'!AA30</f>
        <v>564.5</v>
      </c>
      <c r="AB30" s="144">
        <f>'Res Bill Impact'!AB30</f>
        <v>725.375</v>
      </c>
      <c r="AC30" s="119">
        <f>'Res Bill Impact'!AC30</f>
        <v>0.10630728899318032</v>
      </c>
      <c r="AD30" s="119">
        <f>'Res Bill Impact'!AD30</f>
        <v>3.0740467995332636E-2</v>
      </c>
    </row>
    <row r="31" spans="2:30">
      <c r="B31" s="39"/>
      <c r="C31" s="103"/>
      <c r="D31" s="103"/>
      <c r="E31" s="146"/>
      <c r="F31" s="146"/>
      <c r="H31" s="61" t="s">
        <v>216</v>
      </c>
      <c r="I31" s="38">
        <f>5.9*$R$33</f>
        <v>179.58125000000001</v>
      </c>
      <c r="J31" s="38">
        <f>7.8*$R$33</f>
        <v>237.41249999999999</v>
      </c>
      <c r="L31" s="61" t="s">
        <v>216</v>
      </c>
      <c r="M31" s="38">
        <f>6.7*$R$33</f>
        <v>203.93125000000001</v>
      </c>
      <c r="N31" s="38">
        <f>15.7*$R$33</f>
        <v>477.86874999999998</v>
      </c>
      <c r="P31" s="102" t="s">
        <v>216</v>
      </c>
      <c r="Q31" s="136">
        <f>'Res Bill Impact'!Q31</f>
        <v>214.25</v>
      </c>
      <c r="R31" s="136">
        <f>'Res Bill Impact'!R31</f>
        <v>225</v>
      </c>
      <c r="S31" s="136">
        <f>'Res Bill Impact'!S31</f>
        <v>293.5</v>
      </c>
      <c r="T31" s="136">
        <f>'Res Bill Impact'!T31</f>
        <v>344.375</v>
      </c>
      <c r="U31" s="119">
        <f>'Res Bill Impact'!U31</f>
        <v>1.5373020544419515E-3</v>
      </c>
      <c r="V31" s="119">
        <f>'Res Bill Impact'!V31</f>
        <v>3.7222568956564774E-5</v>
      </c>
      <c r="X31" s="102" t="s">
        <v>216</v>
      </c>
      <c r="Y31" s="136">
        <f>'Res Bill Impact'!Y31</f>
        <v>210</v>
      </c>
      <c r="Z31" s="136">
        <f>'Res Bill Impact'!Z31</f>
        <v>203.625</v>
      </c>
      <c r="AA31" s="136">
        <f>'Res Bill Impact'!AA31</f>
        <v>375.5</v>
      </c>
      <c r="AB31" s="136">
        <f>'Res Bill Impact'!AB31</f>
        <v>441.625</v>
      </c>
      <c r="AC31" s="119">
        <f>'Res Bill Impact'!AC31</f>
        <v>1.2313925350150327E-2</v>
      </c>
      <c r="AD31" s="119">
        <f>'Res Bill Impact'!AD31</f>
        <v>4.5970886081509019E-4</v>
      </c>
    </row>
    <row r="32" spans="2:30">
      <c r="B32" s="39"/>
      <c r="C32" s="46"/>
      <c r="D32" s="46"/>
      <c r="E32" s="47"/>
      <c r="F32" s="47"/>
    </row>
    <row r="33" spans="2:18">
      <c r="B33" s="39"/>
      <c r="C33" s="46"/>
      <c r="D33" s="46"/>
      <c r="E33" s="47"/>
      <c r="F33" s="47"/>
      <c r="Q33" s="63" t="s">
        <v>48</v>
      </c>
      <c r="R33" s="61">
        <f>365.25/12</f>
        <v>30.4375</v>
      </c>
    </row>
    <row r="34" spans="2:18">
      <c r="B34" s="39"/>
      <c r="C34" s="444" t="s">
        <v>254</v>
      </c>
      <c r="D34" s="444"/>
      <c r="E34" s="444"/>
      <c r="F34" s="444"/>
      <c r="G34" s="444"/>
      <c r="H34" s="444"/>
      <c r="J34" s="39"/>
      <c r="K34" s="444" t="s">
        <v>263</v>
      </c>
      <c r="L34" s="444"/>
      <c r="M34" s="444"/>
      <c r="N34" s="444"/>
      <c r="O34" s="444"/>
      <c r="P34" s="444"/>
    </row>
    <row r="35" spans="2:18">
      <c r="B35" s="39"/>
      <c r="C35" s="450">
        <f>$C$21</f>
        <v>45292</v>
      </c>
      <c r="D35" s="450"/>
      <c r="E35" s="449">
        <f>D27</f>
        <v>45536</v>
      </c>
      <c r="F35" s="450"/>
      <c r="G35" s="451" t="str">
        <f>E21</f>
        <v>Proposed</v>
      </c>
      <c r="H35" s="451"/>
      <c r="I35" s="169"/>
      <c r="J35" s="39"/>
      <c r="K35" s="446">
        <f>$C$21</f>
        <v>45292</v>
      </c>
      <c r="L35" s="446"/>
      <c r="M35" s="445">
        <f>$D$21</f>
        <v>45536</v>
      </c>
      <c r="N35" s="446"/>
      <c r="O35" s="447" t="str">
        <f>$E$21</f>
        <v>Proposed</v>
      </c>
      <c r="P35" s="447"/>
    </row>
    <row r="36" spans="2:18">
      <c r="B36" s="39"/>
      <c r="C36" s="46" t="s">
        <v>154</v>
      </c>
      <c r="D36" s="46" t="s">
        <v>155</v>
      </c>
      <c r="E36" s="46" t="s">
        <v>154</v>
      </c>
      <c r="F36" s="46" t="s">
        <v>155</v>
      </c>
      <c r="G36" s="46" t="s">
        <v>154</v>
      </c>
      <c r="H36" s="46" t="s">
        <v>155</v>
      </c>
      <c r="I36" s="103"/>
      <c r="J36" s="39"/>
      <c r="K36" s="103" t="s">
        <v>154</v>
      </c>
      <c r="L36" s="103" t="s">
        <v>155</v>
      </c>
      <c r="M36" s="103" t="s">
        <v>154</v>
      </c>
      <c r="N36" s="103" t="s">
        <v>155</v>
      </c>
      <c r="O36" s="103" t="s">
        <v>154</v>
      </c>
      <c r="P36" s="103" t="s">
        <v>155</v>
      </c>
    </row>
    <row r="37" spans="2:18">
      <c r="B37" s="61" t="s">
        <v>207</v>
      </c>
      <c r="C37" s="46">
        <f>IF(I22&lt;Q22,$C$22*I22+$C$23*(Q22-I22),$C$22*Q22)</f>
        <v>227.72977218750003</v>
      </c>
      <c r="D37" s="46">
        <f>IF(J22&lt;R22,$C$22*J22+$C$23*(R22-J22),$C$22*R22)</f>
        <v>194.89292437500001</v>
      </c>
      <c r="E37" s="46">
        <f>IF(I22&lt;Q22,$D$22*I22+$D$23*(Q22-I22),$D$22*Q22)</f>
        <v>211.62648201181889</v>
      </c>
      <c r="F37" s="46">
        <f>IF(J22&lt;R22,$D$22*J22+$D$23*(R22-J22),$D$22*R22)</f>
        <v>181.11540269456998</v>
      </c>
      <c r="G37" s="46">
        <f>IF(I22&lt;Q22,$E$22*I22+$E$23*(Q22-I22),$E$22*Q22)</f>
        <v>212.38210173554407</v>
      </c>
      <c r="H37" s="46">
        <f>IF(J22&lt;R22,$E$22*J22+$E$23*(R22-J22),$E$22*R22)</f>
        <v>181.76208154707203</v>
      </c>
      <c r="I37" s="103"/>
      <c r="J37" s="61" t="s">
        <v>207</v>
      </c>
      <c r="K37" s="103">
        <f>IF(M22&lt;Y22,$C$22*M22+$C$23*(Y22-M22),$C$22*Y22)</f>
        <v>268.26243450000004</v>
      </c>
      <c r="L37" s="103">
        <f>IF(N22&lt;Z22,$C$22*N22+$C$23*(Z22-N22),$C$22*Z22)</f>
        <v>261.4010025</v>
      </c>
      <c r="M37" s="103">
        <f>IF(M22&lt;Y22,$D$22*M22+$D$23*(Y22-M22),$D$22*Y22)</f>
        <v>249.29781383686105</v>
      </c>
      <c r="N37" s="103">
        <f>IF(N22&lt;Z22,$D$22*N22+$D$23*(Z22-N22),$D$22*Z22)</f>
        <v>242.88276820232065</v>
      </c>
      <c r="O37" s="103">
        <f>IF(M22&lt;Y22,$E$22*M22+$E$23*(Y22-M22),$E$22*Y22)</f>
        <v>250.18794036273783</v>
      </c>
      <c r="P37" s="103">
        <f>IF(N22&lt;Z22,$E$22*N22+$E$23*(Z22-N22),$E$22*Z22)</f>
        <v>243.74998958436109</v>
      </c>
    </row>
    <row r="38" spans="2:18">
      <c r="B38" s="61" t="s">
        <v>208</v>
      </c>
      <c r="C38" s="46">
        <f t="shared" ref="C38:C46" si="5">IF(I23&lt;Q23,$C$22*I23+$C$23*(Q23-I23),$C$22*Q23)</f>
        <v>174.042848625</v>
      </c>
      <c r="D38" s="46">
        <f t="shared" ref="D38:D46" si="6">IF(J23&lt;R23,$C$22*J23+$C$23*(R23-J23),$C$22*R23)</f>
        <v>208.16583937500002</v>
      </c>
      <c r="E38" s="46">
        <f t="shared" ref="E38:E46" si="7">IF(I23&lt;Q23,$D$22*I23+$D$23*(Q23-I23),$D$22*Q23)</f>
        <v>161.73943594863908</v>
      </c>
      <c r="F38" s="46">
        <f t="shared" ref="F38:F46" si="8">IF(J23&lt;R23,$D$22*J23+$D$23*(R23-J23),$D$22*R23)</f>
        <v>193.45516292284466</v>
      </c>
      <c r="G38" s="46">
        <f t="shared" ref="G38:G46" si="9">IF(I23&lt;Q23,$E$22*I23+$E$23*(Q23-I23),$E$22*Q23)</f>
        <v>162.31693223712415</v>
      </c>
      <c r="H38" s="46">
        <f t="shared" ref="H38:H46" si="10">IF(J23&lt;R23,$E$22*J23+$E$23*(R23-J23),$E$22*R23)</f>
        <v>194.14590131896281</v>
      </c>
      <c r="I38" s="103"/>
      <c r="J38" s="61" t="s">
        <v>208</v>
      </c>
      <c r="K38" s="103">
        <f t="shared" ref="K38:K46" si="11">IF(M23&lt;Y23,$C$22*M23+$C$23*(Y23-M23),$C$22*Y23)</f>
        <v>239.0652665625</v>
      </c>
      <c r="L38" s="103">
        <f t="shared" ref="L38:L46" si="12">IF(N23&lt;Z23,$C$22*N23+$C$23*(Z23-N23),$C$22*Z23)</f>
        <v>269.33020125000002</v>
      </c>
      <c r="M38" s="103">
        <f t="shared" ref="M38:M46" si="13">IF(M23&lt;Y23,$D$22*M23+$D$23*(Y23-M23),$D$22*Y23)</f>
        <v>222.19936787008308</v>
      </c>
      <c r="N38" s="103">
        <f t="shared" ref="N38:N46" si="14">IF(N23&lt;Z23,$D$22*N23+$D$23*(Z23-N23),$D$22*Z23)</f>
        <v>250.25024469861444</v>
      </c>
      <c r="O38" s="103">
        <f t="shared" ref="O38:O46" si="15">IF(M23&lt;Y23,$E$22*M23+$E$23*(Y23-M23),$E$22*Y23)</f>
        <v>222.99273845095644</v>
      </c>
      <c r="P38" s="103">
        <f t="shared" ref="P38:P46" si="16">IF(N23&lt;Z23,$E$22*N23+$E$23*(Z23-N23),$E$22*Z23)</f>
        <v>251.14377191205062</v>
      </c>
    </row>
    <row r="39" spans="2:18">
      <c r="B39" s="61" t="s">
        <v>209</v>
      </c>
      <c r="C39" s="46">
        <f t="shared" si="5"/>
        <v>340.26095231250002</v>
      </c>
      <c r="D39" s="46">
        <f t="shared" si="6"/>
        <v>190.44726900000001</v>
      </c>
      <c r="E39" s="46">
        <f t="shared" si="7"/>
        <v>316.21729461971245</v>
      </c>
      <c r="F39" s="46">
        <f t="shared" si="8"/>
        <v>176.98642021652037</v>
      </c>
      <c r="G39" s="46">
        <f t="shared" si="9"/>
        <v>317.34635948213514</v>
      </c>
      <c r="H39" s="46">
        <f t="shared" si="10"/>
        <v>177.61835639329641</v>
      </c>
      <c r="I39" s="103"/>
      <c r="J39" s="61" t="s">
        <v>209</v>
      </c>
      <c r="K39" s="103">
        <f t="shared" si="11"/>
        <v>334.50587118750002</v>
      </c>
      <c r="L39" s="103">
        <f t="shared" si="12"/>
        <v>246.69785250000001</v>
      </c>
      <c r="M39" s="103">
        <f t="shared" si="13"/>
        <v>310.85171791402547</v>
      </c>
      <c r="N39" s="103">
        <f t="shared" si="14"/>
        <v>229.22122238137857</v>
      </c>
      <c r="O39" s="103">
        <f t="shared" si="15"/>
        <v>311.96162479796914</v>
      </c>
      <c r="P39" s="103">
        <f t="shared" si="16"/>
        <v>230.03966473831426</v>
      </c>
    </row>
    <row r="40" spans="2:18">
      <c r="B40" s="61" t="s">
        <v>210</v>
      </c>
      <c r="C40" s="46">
        <f t="shared" si="5"/>
        <v>283.49215687499998</v>
      </c>
      <c r="D40" s="46">
        <f t="shared" si="6"/>
        <v>185.96474137499999</v>
      </c>
      <c r="E40" s="46">
        <f t="shared" si="7"/>
        <v>263.45818115304519</v>
      </c>
      <c r="F40" s="46">
        <f t="shared" si="8"/>
        <v>172.82041095605888</v>
      </c>
      <c r="G40" s="46">
        <f t="shared" si="9"/>
        <v>264.39886776354638</v>
      </c>
      <c r="H40" s="46">
        <f t="shared" si="10"/>
        <v>173.43747225169295</v>
      </c>
      <c r="I40" s="103"/>
      <c r="J40" s="61" t="s">
        <v>210</v>
      </c>
      <c r="K40" s="103">
        <f t="shared" si="11"/>
        <v>288.16211362500002</v>
      </c>
      <c r="L40" s="103">
        <f t="shared" si="12"/>
        <v>239.03121000000002</v>
      </c>
      <c r="M40" s="103">
        <f t="shared" si="13"/>
        <v>267.7805878203236</v>
      </c>
      <c r="N40" s="103">
        <f t="shared" si="14"/>
        <v>222.09770206045874</v>
      </c>
      <c r="O40" s="103">
        <f t="shared" si="15"/>
        <v>268.73670773435435</v>
      </c>
      <c r="P40" s="103">
        <f t="shared" si="16"/>
        <v>222.89070964001843</v>
      </c>
    </row>
    <row r="41" spans="2:18">
      <c r="B41" s="61" t="s">
        <v>211</v>
      </c>
      <c r="C41" s="46">
        <f t="shared" si="5"/>
        <v>107.6375053125</v>
      </c>
      <c r="D41" s="46">
        <f t="shared" si="6"/>
        <v>130.2472659375</v>
      </c>
      <c r="E41" s="46">
        <f t="shared" si="7"/>
        <v>100.02539417207215</v>
      </c>
      <c r="F41" s="46">
        <f t="shared" si="8"/>
        <v>121.038704240146</v>
      </c>
      <c r="G41" s="46">
        <f t="shared" si="9"/>
        <v>100.38253832525795</v>
      </c>
      <c r="H41" s="46">
        <f t="shared" si="10"/>
        <v>121.4708771486995</v>
      </c>
      <c r="I41" s="103"/>
      <c r="J41" s="61" t="s">
        <v>211</v>
      </c>
      <c r="K41" s="103">
        <f t="shared" si="11"/>
        <v>99.138783187499996</v>
      </c>
      <c r="L41" s="103">
        <f t="shared" si="12"/>
        <v>132.11830499999999</v>
      </c>
      <c r="M41" s="103">
        <f t="shared" si="13"/>
        <v>92.120056031457864</v>
      </c>
      <c r="N41" s="103">
        <f t="shared" si="14"/>
        <v>122.75874744817975</v>
      </c>
      <c r="O41" s="103">
        <f t="shared" si="15"/>
        <v>92.448973899516332</v>
      </c>
      <c r="P41" s="103">
        <f t="shared" si="16"/>
        <v>123.19706183090649</v>
      </c>
    </row>
    <row r="42" spans="2:18" ht="15" customHeight="1">
      <c r="B42" s="61" t="s">
        <v>212</v>
      </c>
      <c r="C42" s="46">
        <f t="shared" si="5"/>
        <v>119.5081081875</v>
      </c>
      <c r="D42" s="46">
        <f t="shared" si="6"/>
        <v>149.3456938125</v>
      </c>
      <c r="E42" s="46">
        <f t="shared" si="7"/>
        <v>111.05731182732494</v>
      </c>
      <c r="F42" s="46">
        <f t="shared" si="8"/>
        <v>138.79029330683551</v>
      </c>
      <c r="G42" s="46">
        <f t="shared" si="9"/>
        <v>111.45384582667546</v>
      </c>
      <c r="H42" s="46">
        <f t="shared" si="10"/>
        <v>139.28584888233476</v>
      </c>
      <c r="I42" s="103"/>
      <c r="J42" s="61" t="s">
        <v>212</v>
      </c>
      <c r="K42" s="103">
        <f t="shared" si="11"/>
        <v>161.47026149999999</v>
      </c>
      <c r="L42" s="103">
        <f t="shared" si="12"/>
        <v>207.99706125</v>
      </c>
      <c r="M42" s="103">
        <f t="shared" si="13"/>
        <v>150.04664664885141</v>
      </c>
      <c r="N42" s="103">
        <f t="shared" si="14"/>
        <v>193.26208213125597</v>
      </c>
      <c r="O42" s="103">
        <f t="shared" si="15"/>
        <v>150.5823934259507</v>
      </c>
      <c r="P42" s="103">
        <f t="shared" si="16"/>
        <v>193.95213112568388</v>
      </c>
    </row>
    <row r="43" spans="2:18" ht="15" customHeight="1">
      <c r="B43" s="61" t="s">
        <v>213</v>
      </c>
      <c r="C43" s="46">
        <f t="shared" si="5"/>
        <v>363.43241699999999</v>
      </c>
      <c r="D43" s="46">
        <f t="shared" si="6"/>
        <v>171.283133625</v>
      </c>
      <c r="E43" s="46">
        <f t="shared" si="7"/>
        <v>337.74938448755142</v>
      </c>
      <c r="F43" s="46">
        <f t="shared" si="8"/>
        <v>159.17374322790872</v>
      </c>
      <c r="G43" s="46">
        <f t="shared" si="9"/>
        <v>338.95533042668291</v>
      </c>
      <c r="H43" s="46">
        <f t="shared" si="10"/>
        <v>159.74207862118647</v>
      </c>
      <c r="I43" s="103"/>
      <c r="J43" s="61" t="s">
        <v>213</v>
      </c>
      <c r="K43" s="103">
        <f t="shared" si="11"/>
        <v>364.45158900000001</v>
      </c>
      <c r="L43" s="103">
        <f t="shared" si="12"/>
        <v>199.01763750000001</v>
      </c>
      <c r="M43" s="103">
        <f t="shared" si="13"/>
        <v>338.67492866669971</v>
      </c>
      <c r="N43" s="103">
        <f t="shared" si="14"/>
        <v>184.91878093346631</v>
      </c>
      <c r="O43" s="103">
        <f t="shared" si="15"/>
        <v>339.88417929355404</v>
      </c>
      <c r="P43" s="103">
        <f t="shared" si="16"/>
        <v>185.57903988041954</v>
      </c>
    </row>
    <row r="44" spans="2:18" ht="15" customHeight="1">
      <c r="B44" s="61" t="s">
        <v>214</v>
      </c>
      <c r="C44" s="46">
        <f t="shared" si="5"/>
        <v>182.190578625</v>
      </c>
      <c r="D44" s="46">
        <f t="shared" si="6"/>
        <v>173.11573481250002</v>
      </c>
      <c r="E44" s="46">
        <f t="shared" si="7"/>
        <v>169.31433826698591</v>
      </c>
      <c r="F44" s="46">
        <f t="shared" si="8"/>
        <v>160.87818975685138</v>
      </c>
      <c r="G44" s="46">
        <f t="shared" si="9"/>
        <v>169.91888100798781</v>
      </c>
      <c r="H44" s="46">
        <f t="shared" si="10"/>
        <v>161.45261093581655</v>
      </c>
      <c r="I44" s="103"/>
      <c r="J44" s="61" t="s">
        <v>214</v>
      </c>
      <c r="K44" s="103">
        <f t="shared" si="11"/>
        <v>138.92703656250001</v>
      </c>
      <c r="L44" s="103">
        <f t="shared" si="12"/>
        <v>154.43558625</v>
      </c>
      <c r="M44" s="103">
        <f t="shared" si="13"/>
        <v>129.10137486072367</v>
      </c>
      <c r="N44" s="103">
        <f t="shared" si="14"/>
        <v>143.49502235496686</v>
      </c>
      <c r="O44" s="103">
        <f t="shared" si="15"/>
        <v>129.56233581550319</v>
      </c>
      <c r="P44" s="103">
        <f t="shared" si="16"/>
        <v>144.00737632937043</v>
      </c>
    </row>
    <row r="45" spans="2:18">
      <c r="B45" s="61" t="s">
        <v>215</v>
      </c>
      <c r="C45" s="46">
        <f t="shared" si="5"/>
        <v>153.52686281250001</v>
      </c>
      <c r="D45" s="46">
        <f t="shared" si="6"/>
        <v>150.41615568750001</v>
      </c>
      <c r="E45" s="46">
        <f t="shared" si="7"/>
        <v>142.6610233811486</v>
      </c>
      <c r="F45" s="46">
        <f t="shared" si="8"/>
        <v>139.76489483815078</v>
      </c>
      <c r="G45" s="46">
        <f t="shared" si="9"/>
        <v>143.17039953317288</v>
      </c>
      <c r="H45" s="46">
        <f t="shared" si="10"/>
        <v>140.26393026235721</v>
      </c>
      <c r="I45" s="103"/>
      <c r="J45" s="61" t="s">
        <v>215</v>
      </c>
      <c r="K45" s="103">
        <f t="shared" si="11"/>
        <v>159.8772075</v>
      </c>
      <c r="L45" s="103">
        <f t="shared" si="12"/>
        <v>174.96748500000001</v>
      </c>
      <c r="M45" s="103">
        <f t="shared" si="13"/>
        <v>148.55460523691667</v>
      </c>
      <c r="N45" s="103">
        <f t="shared" si="14"/>
        <v>162.57239526921103</v>
      </c>
      <c r="O45" s="103">
        <f t="shared" si="15"/>
        <v>149.08502462819567</v>
      </c>
      <c r="P45" s="103">
        <f t="shared" si="16"/>
        <v>163.15286566795723</v>
      </c>
    </row>
    <row r="46" spans="2:18">
      <c r="B46" s="61" t="s">
        <v>216</v>
      </c>
      <c r="C46" s="46">
        <f t="shared" si="5"/>
        <v>93.6642624375</v>
      </c>
      <c r="D46" s="46">
        <f t="shared" si="6"/>
        <v>94.520250000000004</v>
      </c>
      <c r="E46" s="46">
        <f t="shared" si="7"/>
        <v>87.038663015310505</v>
      </c>
      <c r="F46" s="46">
        <f t="shared" si="8"/>
        <v>87.8242231346278</v>
      </c>
      <c r="G46" s="46">
        <f t="shared" si="9"/>
        <v>87.349437592649849</v>
      </c>
      <c r="H46" s="46">
        <f t="shared" si="10"/>
        <v>88.137802581729602</v>
      </c>
      <c r="I46" s="103"/>
      <c r="J46" s="61" t="s">
        <v>216</v>
      </c>
      <c r="K46" s="103">
        <f t="shared" si="11"/>
        <v>88.859577937500006</v>
      </c>
      <c r="L46" s="103">
        <f t="shared" si="12"/>
        <v>85.540826250000009</v>
      </c>
      <c r="M46" s="103">
        <f t="shared" si="13"/>
        <v>82.566279072091874</v>
      </c>
      <c r="N46" s="103">
        <f t="shared" si="14"/>
        <v>79.480921936838158</v>
      </c>
      <c r="O46" s="103">
        <f t="shared" si="15"/>
        <v>82.861084846815217</v>
      </c>
      <c r="P46" s="103">
        <f t="shared" si="16"/>
        <v>79.764711336465297</v>
      </c>
    </row>
    <row r="47" spans="2:18" s="48" customFormat="1">
      <c r="B47" s="61" t="s">
        <v>206</v>
      </c>
      <c r="C47" s="104">
        <f t="shared" ref="C47:H47" si="17">SUMPRODUCT(C37:C46,$U$22:$U$31)</f>
        <v>285.28772596749945</v>
      </c>
      <c r="D47" s="104">
        <f t="shared" si="17"/>
        <v>180.92162173057432</v>
      </c>
      <c r="E47" s="104">
        <f t="shared" si="17"/>
        <v>265.12628822543587</v>
      </c>
      <c r="F47" s="104">
        <f t="shared" si="17"/>
        <v>168.13272961916059</v>
      </c>
      <c r="G47" s="104">
        <f t="shared" si="17"/>
        <v>266.0729308703294</v>
      </c>
      <c r="H47" s="104">
        <f t="shared" si="17"/>
        <v>168.73305338533694</v>
      </c>
      <c r="I47" s="145"/>
      <c r="J47" s="61" t="s">
        <v>206</v>
      </c>
      <c r="K47" s="145">
        <f t="shared" ref="K47:P47" si="18">SUMPRODUCT(K37:K46,$AC$22:$AC$31)</f>
        <v>267.18496166515718</v>
      </c>
      <c r="L47" s="145">
        <f t="shared" si="18"/>
        <v>225.01582380574106</v>
      </c>
      <c r="M47" s="145">
        <f t="shared" si="18"/>
        <v>248.28871237792072</v>
      </c>
      <c r="N47" s="145">
        <f t="shared" si="18"/>
        <v>209.07519731208387</v>
      </c>
      <c r="O47" s="145">
        <f t="shared" si="18"/>
        <v>249.17523587189731</v>
      </c>
      <c r="P47" s="145">
        <f t="shared" si="18"/>
        <v>209.82170758494243</v>
      </c>
    </row>
    <row r="48" spans="2:18">
      <c r="B48" s="39"/>
      <c r="C48" s="46"/>
      <c r="D48" s="46"/>
      <c r="E48" s="47"/>
      <c r="F48" s="182"/>
      <c r="G48" s="184"/>
      <c r="H48" s="184"/>
      <c r="I48" s="184"/>
      <c r="J48" s="39"/>
      <c r="K48" s="103"/>
      <c r="L48" s="103"/>
      <c r="M48" s="146"/>
      <c r="N48" s="182"/>
      <c r="O48" s="184"/>
      <c r="P48" s="184"/>
    </row>
    <row r="49" spans="2:16">
      <c r="B49" s="39"/>
      <c r="C49" s="46"/>
      <c r="D49" s="46"/>
      <c r="E49" s="47"/>
      <c r="F49" s="46"/>
      <c r="G49" s="184"/>
      <c r="H49" s="184"/>
      <c r="I49" s="184"/>
      <c r="J49" s="39"/>
      <c r="K49" s="103"/>
      <c r="L49" s="103"/>
      <c r="M49" s="146"/>
      <c r="N49" s="103"/>
      <c r="O49" s="184"/>
      <c r="P49" s="184"/>
    </row>
    <row r="50" spans="2:16">
      <c r="B50" s="39"/>
      <c r="C50" s="444" t="s">
        <v>255</v>
      </c>
      <c r="D50" s="444"/>
      <c r="E50" s="444"/>
      <c r="F50" s="444"/>
      <c r="G50" s="444"/>
      <c r="H50" s="444"/>
      <c r="J50" s="39"/>
      <c r="K50" s="444" t="s">
        <v>264</v>
      </c>
      <c r="L50" s="444"/>
      <c r="M50" s="444"/>
      <c r="N50" s="444"/>
      <c r="O50" s="444"/>
      <c r="P50" s="444"/>
    </row>
    <row r="51" spans="2:16">
      <c r="B51" s="39"/>
      <c r="C51" s="450">
        <f>$C$21</f>
        <v>45292</v>
      </c>
      <c r="D51" s="450"/>
      <c r="E51" s="449">
        <f>D27</f>
        <v>45536</v>
      </c>
      <c r="F51" s="449"/>
      <c r="G51" s="451" t="str">
        <f>E27</f>
        <v>Proposed</v>
      </c>
      <c r="H51" s="451"/>
      <c r="I51" s="169"/>
      <c r="J51" s="39"/>
      <c r="K51" s="446">
        <f>$C$21</f>
        <v>45292</v>
      </c>
      <c r="L51" s="446"/>
      <c r="M51" s="445">
        <f>$D$21</f>
        <v>45536</v>
      </c>
      <c r="N51" s="445"/>
      <c r="O51" s="447" t="str">
        <f>$E$21</f>
        <v>Proposed</v>
      </c>
      <c r="P51" s="447"/>
    </row>
    <row r="52" spans="2:16">
      <c r="B52" s="39"/>
      <c r="C52" s="46" t="s">
        <v>154</v>
      </c>
      <c r="D52" s="46" t="s">
        <v>155</v>
      </c>
      <c r="E52" s="46" t="s">
        <v>154</v>
      </c>
      <c r="F52" s="46" t="s">
        <v>155</v>
      </c>
      <c r="G52" s="46" t="s">
        <v>154</v>
      </c>
      <c r="H52" s="46" t="s">
        <v>155</v>
      </c>
      <c r="I52" s="103"/>
      <c r="J52" s="39"/>
      <c r="K52" s="103" t="s">
        <v>154</v>
      </c>
      <c r="L52" s="103" t="s">
        <v>155</v>
      </c>
      <c r="M52" s="103" t="s">
        <v>154</v>
      </c>
      <c r="N52" s="103" t="s">
        <v>155</v>
      </c>
      <c r="O52" s="103" t="s">
        <v>154</v>
      </c>
      <c r="P52" s="103" t="s">
        <v>155</v>
      </c>
    </row>
    <row r="53" spans="2:16">
      <c r="B53" s="61" t="s">
        <v>207</v>
      </c>
      <c r="C53" s="46">
        <f>IF(I22&lt;S22,$C$28*I22+$C$29*(S22-I22),$C$28*S22)</f>
        <v>161.7270665625</v>
      </c>
      <c r="D53" s="46">
        <f>IF(J22&lt;T22,$C$28*J22+$C$29*(T22-J22),$C$28*T22)</f>
        <v>155.415318125</v>
      </c>
      <c r="E53" s="46">
        <f>IF(I22&lt;S22,$D$28*I22+$D$29*(S22-I22),$D$28*S22)</f>
        <v>150.2989640669972</v>
      </c>
      <c r="F53" s="46">
        <f>IF(J22&lt;T22,$D$28*J22+$D$29*(T22-J22),$D$28*T22)</f>
        <v>144.44230692499514</v>
      </c>
      <c r="G53" s="46">
        <f>IF(I22&lt;S22,$E$28*I22+$E$29*(S22-I22),$E$28*S22)</f>
        <v>150.83561175222471</v>
      </c>
      <c r="H53" s="46">
        <f>IF(J22&lt;T22,$E$28*J22+$E$29*(T22-J22),$E$28*T22)</f>
        <v>144.9580432119443</v>
      </c>
      <c r="I53" s="103"/>
      <c r="J53" s="61" t="s">
        <v>207</v>
      </c>
      <c r="K53" s="103">
        <f>IF(M22&lt;AA22,$C$28*M22+$C$29*(AA22-M22),$C$28*AA22)</f>
        <v>194.57226799999998</v>
      </c>
      <c r="L53" s="103">
        <f>IF(N22&lt;AB22,$C$28*N22+$C$29*(AB22-N22),$C$28*AB22)</f>
        <v>212.65805999999998</v>
      </c>
      <c r="M53" s="103">
        <f>IF(M22&lt;AA22,$D$28*M22+$D$29*(AA22-M22),$D$28*AA22)</f>
        <v>180.82802491295766</v>
      </c>
      <c r="N53" s="103">
        <f>IF(N22&lt;AB22,$D$28*N22+$D$29*(AB22-N22),$D$28*AB22)</f>
        <v>197.59497590351984</v>
      </c>
      <c r="O53" s="103">
        <f>IF(M22&lt;AA22,$E$28*M22+$E$29*(AA22-M22),$E$28*AA22)</f>
        <v>181.47367767308276</v>
      </c>
      <c r="P53" s="103">
        <f>IF(N22&lt;AB22,$E$28*N22+$E$29*(AB22-N22),$E$28*AB22)</f>
        <v>198.30049564605073</v>
      </c>
    </row>
    <row r="54" spans="2:16">
      <c r="B54" s="61" t="s">
        <v>208</v>
      </c>
      <c r="C54" s="46">
        <f t="shared" ref="C54:C62" si="19">IF(I23&lt;S23,$C$28*I23+$C$29*(S23-I23),$C$28*S23)</f>
        <v>108.79546637499999</v>
      </c>
      <c r="D54" s="46">
        <f t="shared" ref="D54:D62" si="20">IF(J23&lt;T23,$C$28*J23+$C$29*(T23-J23),$C$28*T23)</f>
        <v>142.59969312499999</v>
      </c>
      <c r="E54" s="46">
        <f t="shared" ref="E54:E62" si="21">IF(I23&lt;S23,$D$28*I23+$D$29*(S23-I23),$D$28*S23)</f>
        <v>101.10435613659658</v>
      </c>
      <c r="F54" s="46">
        <f t="shared" ref="F54:F62" si="22">IF(J23&lt;T23,$D$28*J23+$D$29*(T23-J23),$D$28*T23)</f>
        <v>132.52734552939413</v>
      </c>
      <c r="G54" s="46">
        <f t="shared" ref="G54:G62" si="23">IF(I23&lt;S23,$E$28*I23+$E$29*(S23-I23),$E$28*S23)</f>
        <v>101.4653527610506</v>
      </c>
      <c r="H54" s="46">
        <f t="shared" ref="H54:H62" si="24">IF(J23&lt;T23,$E$28*J23+$E$29*(T23-J23),$E$28*T23)</f>
        <v>133.00053903175248</v>
      </c>
      <c r="I54" s="103"/>
      <c r="J54" s="61" t="s">
        <v>208</v>
      </c>
      <c r="K54" s="103">
        <f t="shared" ref="K54:K62" si="25">IF(M23&lt;AA23,$C$28*M23+$C$29*(AA23-M23),$C$28*AA23)</f>
        <v>154.6570071875</v>
      </c>
      <c r="L54" s="103">
        <f t="shared" ref="L54:L62" si="26">IF(N23&lt;AB23,$C$28*N23+$C$29*(AB23-N23),$C$28*AB23)</f>
        <v>190.74017999999998</v>
      </c>
      <c r="M54" s="103">
        <f t="shared" ref="M54:M62" si="27">IF(M23&lt;AA23,$D$28*M23+$D$29*(AA23-M23),$D$28*AA23)</f>
        <v>143.74879972108684</v>
      </c>
      <c r="N54" s="103">
        <f t="shared" ref="N54:N62" si="28">IF(N23&lt;AB23,$D$28*N23+$D$29*(AB23-N23),$D$28*AB23)</f>
        <v>177.22959228976808</v>
      </c>
      <c r="O54" s="103">
        <f t="shared" ref="O54:O62" si="29">IF(M23&lt;AA23,$E$28*M23+$E$29*(AA23-M23),$E$28*AA23)</f>
        <v>144.26205981641368</v>
      </c>
      <c r="P54" s="103">
        <f t="shared" ref="P54:P62" si="30">IF(N23&lt;AB23,$E$28*N23+$E$29*(AB23-N23),$E$28*AB23)</f>
        <v>177.86239672089988</v>
      </c>
    </row>
    <row r="55" spans="2:16">
      <c r="B55" s="61" t="s">
        <v>209</v>
      </c>
      <c r="C55" s="46">
        <f t="shared" si="19"/>
        <v>241.12507893749998</v>
      </c>
      <c r="D55" s="46">
        <f t="shared" si="20"/>
        <v>133.08792349999999</v>
      </c>
      <c r="E55" s="46">
        <f t="shared" si="21"/>
        <v>224.09766083714689</v>
      </c>
      <c r="F55" s="46">
        <f t="shared" si="22"/>
        <v>123.68681190445861</v>
      </c>
      <c r="G55" s="46">
        <f t="shared" si="23"/>
        <v>224.89780933916549</v>
      </c>
      <c r="H55" s="46">
        <f t="shared" si="24"/>
        <v>124.12843997364548</v>
      </c>
      <c r="I55" s="103"/>
      <c r="J55" s="61" t="s">
        <v>209</v>
      </c>
      <c r="K55" s="103">
        <f t="shared" si="25"/>
        <v>242.59550506249997</v>
      </c>
      <c r="L55" s="103">
        <f t="shared" si="26"/>
        <v>183.29765999999998</v>
      </c>
      <c r="M55" s="103">
        <f t="shared" si="27"/>
        <v>225.45461809071054</v>
      </c>
      <c r="N55" s="103">
        <f t="shared" si="28"/>
        <v>170.31424395986483</v>
      </c>
      <c r="O55" s="103">
        <f t="shared" si="29"/>
        <v>226.25961165585778</v>
      </c>
      <c r="P55" s="103">
        <f t="shared" si="30"/>
        <v>170.92235689896393</v>
      </c>
    </row>
    <row r="56" spans="2:16">
      <c r="B56" s="61" t="s">
        <v>210</v>
      </c>
      <c r="C56" s="46">
        <f t="shared" si="19"/>
        <v>199.85999062499997</v>
      </c>
      <c r="D56" s="46">
        <f t="shared" si="20"/>
        <v>130.558114875</v>
      </c>
      <c r="E56" s="46">
        <f t="shared" si="21"/>
        <v>185.74505489240914</v>
      </c>
      <c r="F56" s="46">
        <f t="shared" si="22"/>
        <v>121.33571543259347</v>
      </c>
      <c r="G56" s="46">
        <f t="shared" si="23"/>
        <v>186.40826407930703</v>
      </c>
      <c r="H56" s="46">
        <f t="shared" si="24"/>
        <v>121.76894882995276</v>
      </c>
      <c r="I56" s="103"/>
      <c r="J56" s="61" t="s">
        <v>210</v>
      </c>
      <c r="K56" s="103">
        <f t="shared" si="25"/>
        <v>193.32749887499997</v>
      </c>
      <c r="L56" s="103">
        <f t="shared" si="26"/>
        <v>165.47657999999998</v>
      </c>
      <c r="M56" s="103">
        <f t="shared" si="27"/>
        <v>179.65876519692026</v>
      </c>
      <c r="N56" s="103">
        <f t="shared" si="28"/>
        <v>153.75547410569285</v>
      </c>
      <c r="O56" s="103">
        <f t="shared" si="29"/>
        <v>180.30024307451083</v>
      </c>
      <c r="P56" s="103">
        <f t="shared" si="30"/>
        <v>154.30446338038334</v>
      </c>
    </row>
    <row r="57" spans="2:16">
      <c r="B57" s="61" t="s">
        <v>211</v>
      </c>
      <c r="C57" s="46">
        <f t="shared" si="19"/>
        <v>74.251733437499993</v>
      </c>
      <c r="D57" s="46">
        <f t="shared" si="20"/>
        <v>90.574589062499996</v>
      </c>
      <c r="E57" s="46">
        <f t="shared" si="21"/>
        <v>69.003501001351253</v>
      </c>
      <c r="F57" s="46">
        <f t="shared" si="22"/>
        <v>84.174605627415843</v>
      </c>
      <c r="G57" s="46">
        <f t="shared" si="23"/>
        <v>69.249880404661468</v>
      </c>
      <c r="H57" s="46">
        <f t="shared" si="24"/>
        <v>84.475153988113476</v>
      </c>
      <c r="I57" s="103"/>
      <c r="J57" s="61" t="s">
        <v>211</v>
      </c>
      <c r="K57" s="103">
        <f t="shared" si="25"/>
        <v>69.580878062500005</v>
      </c>
      <c r="L57" s="103">
        <f t="shared" si="26"/>
        <v>92.143859999999989</v>
      </c>
      <c r="M57" s="103">
        <f t="shared" si="27"/>
        <v>64.658144015154988</v>
      </c>
      <c r="N57" s="103">
        <f t="shared" si="28"/>
        <v>85.617087809214979</v>
      </c>
      <c r="O57" s="103">
        <f t="shared" si="29"/>
        <v>64.889008170022834</v>
      </c>
      <c r="P57" s="103">
        <f t="shared" si="30"/>
        <v>85.922786602775872</v>
      </c>
    </row>
    <row r="58" spans="2:16">
      <c r="B58" s="61" t="s">
        <v>212</v>
      </c>
      <c r="C58" s="46">
        <f t="shared" si="19"/>
        <v>82.225628062499993</v>
      </c>
      <c r="D58" s="46">
        <f t="shared" si="20"/>
        <v>104.48638993750001</v>
      </c>
      <c r="E58" s="46">
        <f t="shared" si="21"/>
        <v>76.414239258814661</v>
      </c>
      <c r="F58" s="46">
        <f t="shared" si="22"/>
        <v>97.105942664841052</v>
      </c>
      <c r="G58" s="46">
        <f t="shared" si="23"/>
        <v>76.687078961145431</v>
      </c>
      <c r="H58" s="46">
        <f t="shared" si="24"/>
        <v>97.452662814753012</v>
      </c>
      <c r="I58" s="103"/>
      <c r="J58" s="61" t="s">
        <v>212</v>
      </c>
      <c r="K58" s="103">
        <f t="shared" si="25"/>
        <v>116.427611</v>
      </c>
      <c r="L58" s="103">
        <f t="shared" si="26"/>
        <v>155.67839999999998</v>
      </c>
      <c r="M58" s="103">
        <f t="shared" si="27"/>
        <v>108.19736209017729</v>
      </c>
      <c r="N58" s="103">
        <f t="shared" si="28"/>
        <v>144.65132286403121</v>
      </c>
      <c r="O58" s="103">
        <f t="shared" si="29"/>
        <v>108.58368453939612</v>
      </c>
      <c r="P58" s="103">
        <f t="shared" si="30"/>
        <v>145.16780544966952</v>
      </c>
    </row>
    <row r="59" spans="2:16">
      <c r="B59" s="61" t="s">
        <v>213</v>
      </c>
      <c r="C59" s="46">
        <f t="shared" si="19"/>
        <v>258.923878</v>
      </c>
      <c r="D59" s="46">
        <f t="shared" si="20"/>
        <v>124.17421637499999</v>
      </c>
      <c r="E59" s="46">
        <f t="shared" si="21"/>
        <v>240.63867958153855</v>
      </c>
      <c r="F59" s="46">
        <f t="shared" si="22"/>
        <v>115.40230981131779</v>
      </c>
      <c r="G59" s="46">
        <f t="shared" si="23"/>
        <v>241.49788836701009</v>
      </c>
      <c r="H59" s="46">
        <f t="shared" si="24"/>
        <v>115.81435777728078</v>
      </c>
      <c r="I59" s="103"/>
      <c r="J59" s="61" t="s">
        <v>213</v>
      </c>
      <c r="K59" s="103">
        <f t="shared" si="25"/>
        <v>258.21994099999995</v>
      </c>
      <c r="L59" s="103">
        <f t="shared" si="26"/>
        <v>138.88151999999999</v>
      </c>
      <c r="M59" s="103">
        <f t="shared" si="27"/>
        <v>239.96948051351598</v>
      </c>
      <c r="N59" s="103">
        <f t="shared" si="28"/>
        <v>129.04420644975417</v>
      </c>
      <c r="O59" s="103">
        <f t="shared" si="29"/>
        <v>240.82629990041087</v>
      </c>
      <c r="P59" s="103">
        <f t="shared" si="30"/>
        <v>129.50496328273147</v>
      </c>
    </row>
    <row r="60" spans="2:16">
      <c r="B60" s="61" t="s">
        <v>214</v>
      </c>
      <c r="C60" s="46">
        <f t="shared" si="19"/>
        <v>109.30809137499999</v>
      </c>
      <c r="D60" s="46">
        <f t="shared" si="20"/>
        <v>110.07232768749999</v>
      </c>
      <c r="E60" s="46">
        <f t="shared" si="21"/>
        <v>101.58095459242061</v>
      </c>
      <c r="F60" s="46">
        <f t="shared" si="22"/>
        <v>102.29194191079155</v>
      </c>
      <c r="G60" s="46">
        <f t="shared" si="23"/>
        <v>101.94365292825827</v>
      </c>
      <c r="H60" s="46">
        <f t="shared" si="24"/>
        <v>102.65717885160893</v>
      </c>
      <c r="I60" s="103"/>
      <c r="J60" s="61" t="s">
        <v>214</v>
      </c>
      <c r="K60" s="103">
        <f t="shared" si="25"/>
        <v>91.518694687500002</v>
      </c>
      <c r="L60" s="103">
        <f t="shared" si="26"/>
        <v>107.74583999999999</v>
      </c>
      <c r="M60" s="103">
        <f t="shared" si="27"/>
        <v>85.047756578759206</v>
      </c>
      <c r="N60" s="103">
        <f t="shared" si="28"/>
        <v>100.11394187694793</v>
      </c>
      <c r="O60" s="103">
        <f t="shared" si="29"/>
        <v>85.351422555335319</v>
      </c>
      <c r="P60" s="103">
        <f t="shared" si="30"/>
        <v>100.47140219279758</v>
      </c>
    </row>
    <row r="61" spans="2:16">
      <c r="B61" s="61" t="s">
        <v>215</v>
      </c>
      <c r="C61" s="46">
        <f t="shared" si="19"/>
        <v>142.61890593749999</v>
      </c>
      <c r="D61" s="46">
        <f t="shared" si="20"/>
        <v>160.80258181249999</v>
      </c>
      <c r="E61" s="46">
        <f t="shared" si="21"/>
        <v>132.54751024055381</v>
      </c>
      <c r="F61" s="46">
        <f t="shared" si="22"/>
        <v>149.45050107651269</v>
      </c>
      <c r="G61" s="46">
        <f t="shared" si="23"/>
        <v>133.02077574171557</v>
      </c>
      <c r="H61" s="46">
        <f t="shared" si="24"/>
        <v>149.98411929508572</v>
      </c>
      <c r="I61" s="103"/>
      <c r="J61" s="61" t="s">
        <v>215</v>
      </c>
      <c r="K61" s="103">
        <f t="shared" si="25"/>
        <v>167.85076749999999</v>
      </c>
      <c r="L61" s="103">
        <f t="shared" si="26"/>
        <v>198.11441999999997</v>
      </c>
      <c r="M61" s="103">
        <f t="shared" si="27"/>
        <v>155.99920659439408</v>
      </c>
      <c r="N61" s="103">
        <f t="shared" si="28"/>
        <v>184.08149705701166</v>
      </c>
      <c r="O61" s="103">
        <f t="shared" si="29"/>
        <v>156.55620719407148</v>
      </c>
      <c r="P61" s="103">
        <f t="shared" si="30"/>
        <v>184.73876645272634</v>
      </c>
    </row>
    <row r="62" spans="2:16">
      <c r="B62" s="61" t="s">
        <v>216</v>
      </c>
      <c r="C62" s="46">
        <f t="shared" si="19"/>
        <v>87.978963812499984</v>
      </c>
      <c r="D62" s="46">
        <f t="shared" si="20"/>
        <v>101.396536375</v>
      </c>
      <c r="E62" s="46">
        <f t="shared" si="21"/>
        <v>81.768764040438896</v>
      </c>
      <c r="F62" s="46">
        <f t="shared" si="22"/>
        <v>94.234620833801415</v>
      </c>
      <c r="G62" s="46">
        <f t="shared" si="23"/>
        <v>82.060722259968969</v>
      </c>
      <c r="H62" s="46">
        <f t="shared" si="24"/>
        <v>94.571088829124449</v>
      </c>
      <c r="I62" s="103"/>
      <c r="J62" s="61" t="s">
        <v>216</v>
      </c>
      <c r="K62" s="103">
        <f t="shared" si="25"/>
        <v>114.33132331249999</v>
      </c>
      <c r="L62" s="103">
        <f t="shared" si="26"/>
        <v>120.61661999999998</v>
      </c>
      <c r="M62" s="103">
        <f t="shared" si="27"/>
        <v>106.26543436232734</v>
      </c>
      <c r="N62" s="103">
        <f t="shared" si="28"/>
        <v>112.07305343829437</v>
      </c>
      <c r="O62" s="103">
        <f t="shared" si="29"/>
        <v>106.64485879631624</v>
      </c>
      <c r="P62" s="103">
        <f t="shared" si="30"/>
        <v>112.47321417843911</v>
      </c>
    </row>
    <row r="63" spans="2:16">
      <c r="B63" s="61" t="s">
        <v>206</v>
      </c>
      <c r="C63" s="104">
        <f t="shared" ref="C63:H63" si="31">SUMPRODUCT(C53:C62,$V$22:$V$31)</f>
        <v>222.83029094180941</v>
      </c>
      <c r="D63" s="104">
        <f t="shared" si="31"/>
        <v>129.38578683902486</v>
      </c>
      <c r="E63" s="104">
        <f t="shared" si="31"/>
        <v>207.09357315956723</v>
      </c>
      <c r="F63" s="104">
        <f t="shared" si="31"/>
        <v>120.24607110182826</v>
      </c>
      <c r="G63" s="104">
        <f t="shared" si="31"/>
        <v>207.83300797438093</v>
      </c>
      <c r="H63" s="104">
        <f t="shared" si="31"/>
        <v>120.67541388615864</v>
      </c>
      <c r="I63" s="145"/>
      <c r="J63" s="61" t="s">
        <v>206</v>
      </c>
      <c r="K63" s="145">
        <f t="shared" ref="K63:P63" si="32">SUMPRODUCT(K53:K62,$AD$22:$AD$31)</f>
        <v>209.86158714336503</v>
      </c>
      <c r="L63" s="145">
        <f t="shared" si="32"/>
        <v>174.80757399722708</v>
      </c>
      <c r="M63" s="145">
        <f t="shared" si="32"/>
        <v>195.03130062694115</v>
      </c>
      <c r="N63" s="145">
        <f t="shared" si="32"/>
        <v>162.42553125771414</v>
      </c>
      <c r="O63" s="145">
        <f t="shared" si="32"/>
        <v>195.72766667761931</v>
      </c>
      <c r="P63" s="145">
        <f t="shared" si="32"/>
        <v>163.0054772733929</v>
      </c>
    </row>
    <row r="64" spans="2:16">
      <c r="B64" s="39"/>
      <c r="C64" s="46"/>
      <c r="D64" s="46"/>
      <c r="E64" s="47"/>
      <c r="F64" s="46"/>
      <c r="G64" s="184"/>
      <c r="H64" s="184"/>
      <c r="I64" s="184"/>
      <c r="J64" s="39"/>
      <c r="K64" s="103"/>
      <c r="L64" s="103"/>
      <c r="M64" s="146"/>
      <c r="N64" s="103"/>
      <c r="O64" s="184"/>
      <c r="P64" s="184"/>
    </row>
    <row r="65" spans="2:16">
      <c r="B65" s="39"/>
      <c r="C65" s="46"/>
      <c r="D65" s="46"/>
      <c r="E65" s="47"/>
      <c r="G65" s="184"/>
      <c r="H65" s="184"/>
      <c r="I65" s="184"/>
      <c r="J65" s="39"/>
      <c r="K65" s="103"/>
      <c r="L65" s="103"/>
      <c r="M65" s="146"/>
      <c r="O65" s="184"/>
      <c r="P65" s="184"/>
    </row>
    <row r="66" spans="2:16">
      <c r="B66" s="39"/>
      <c r="C66" s="444" t="s">
        <v>232</v>
      </c>
      <c r="D66" s="444"/>
      <c r="E66" s="444"/>
      <c r="F66" s="444"/>
      <c r="G66" s="444"/>
      <c r="H66" s="444"/>
      <c r="J66" s="39"/>
      <c r="K66" s="444" t="s">
        <v>234</v>
      </c>
      <c r="L66" s="444"/>
      <c r="M66" s="444"/>
      <c r="N66" s="444"/>
      <c r="O66" s="444"/>
      <c r="P66" s="444"/>
    </row>
    <row r="67" spans="2:16">
      <c r="B67" s="39"/>
      <c r="C67" s="449">
        <f>$C$27</f>
        <v>45292</v>
      </c>
      <c r="D67" s="450"/>
      <c r="E67" s="449">
        <f>$D$27</f>
        <v>45536</v>
      </c>
      <c r="F67" s="450"/>
      <c r="G67" s="451" t="str">
        <f>$E$21</f>
        <v>Proposed</v>
      </c>
      <c r="H67" s="451"/>
      <c r="I67" s="169"/>
      <c r="J67" s="39"/>
      <c r="K67" s="445">
        <f>$C$27</f>
        <v>45292</v>
      </c>
      <c r="L67" s="446"/>
      <c r="M67" s="445">
        <f>$D$21</f>
        <v>45536</v>
      </c>
      <c r="N67" s="446"/>
      <c r="O67" s="447" t="str">
        <f>$E$21</f>
        <v>Proposed</v>
      </c>
      <c r="P67" s="447"/>
    </row>
    <row r="68" spans="2:16">
      <c r="B68" s="39"/>
      <c r="C68" s="103" t="s">
        <v>154</v>
      </c>
      <c r="D68" s="103" t="s">
        <v>155</v>
      </c>
      <c r="E68" s="103" t="s">
        <v>154</v>
      </c>
      <c r="F68" s="103" t="s">
        <v>155</v>
      </c>
      <c r="G68" s="103" t="s">
        <v>154</v>
      </c>
      <c r="H68" s="103" t="s">
        <v>155</v>
      </c>
      <c r="I68" s="103"/>
      <c r="J68" s="39"/>
      <c r="K68" s="103" t="s">
        <v>154</v>
      </c>
      <c r="L68" s="103" t="s">
        <v>155</v>
      </c>
      <c r="M68" s="103" t="s">
        <v>154</v>
      </c>
      <c r="N68" s="103" t="s">
        <v>155</v>
      </c>
      <c r="O68" s="103" t="s">
        <v>154</v>
      </c>
      <c r="P68" s="103" t="s">
        <v>155</v>
      </c>
    </row>
    <row r="69" spans="2:16" ht="15" customHeight="1">
      <c r="B69" s="61" t="s">
        <v>207</v>
      </c>
      <c r="C69" s="103">
        <f>C$22*I22</f>
        <v>172.61760656250001</v>
      </c>
      <c r="D69" s="103">
        <f>C$22*J22</f>
        <v>140.651383125</v>
      </c>
      <c r="E69" s="103">
        <f>D$22*I22</f>
        <v>160.38898749961402</v>
      </c>
      <c r="F69" s="103">
        <f>D$22*J22</f>
        <v>130.68732314783364</v>
      </c>
      <c r="G69" s="103">
        <f>E$22*I22</f>
        <v>160.96166196488369</v>
      </c>
      <c r="H69" s="103">
        <f>E$22*J22</f>
        <v>131.15394678620152</v>
      </c>
      <c r="I69" s="103"/>
      <c r="J69" s="61" t="s">
        <v>207</v>
      </c>
      <c r="K69" s="103">
        <f>$C$22*M22</f>
        <v>194.35463849999999</v>
      </c>
      <c r="L69" s="103">
        <f>$C$22*N22</f>
        <v>332.44872375</v>
      </c>
      <c r="M69" s="103">
        <f>$D$22*M22</f>
        <v>180.58611925882465</v>
      </c>
      <c r="N69" s="103">
        <f>$D$22*N22</f>
        <v>308.89730925851592</v>
      </c>
      <c r="O69" s="103">
        <f>$E$22*M22</f>
        <v>181.23090828638755</v>
      </c>
      <c r="P69" s="103">
        <f>$E$22*N22</f>
        <v>310.0002378582945</v>
      </c>
    </row>
    <row r="70" spans="2:16" ht="15" customHeight="1">
      <c r="B70" s="61" t="s">
        <v>208</v>
      </c>
      <c r="C70" s="103">
        <f t="shared" ref="C70:C78" si="33">C$22*I23</f>
        <v>125.30759587500002</v>
      </c>
      <c r="D70" s="103">
        <f t="shared" ref="D70:D78" si="34">C$22*J23</f>
        <v>140.651383125</v>
      </c>
      <c r="E70" s="103">
        <f t="shared" ref="E70:E78" si="35">D$22*I23</f>
        <v>116.43052425897908</v>
      </c>
      <c r="F70" s="103">
        <f t="shared" ref="F70:F78" si="36">D$22*J23</f>
        <v>130.68732314783364</v>
      </c>
      <c r="G70" s="103">
        <f t="shared" ref="G70:G78" si="37">E$22*I23</f>
        <v>116.8462435004341</v>
      </c>
      <c r="H70" s="103">
        <f t="shared" ref="H70:H78" si="38">E$22*J23</f>
        <v>131.15394678620152</v>
      </c>
      <c r="I70" s="103"/>
      <c r="J70" s="61" t="s">
        <v>208</v>
      </c>
      <c r="K70" s="103">
        <f t="shared" ref="K70:L78" si="39">$C$22*M23</f>
        <v>108.6851596875</v>
      </c>
      <c r="L70" s="103">
        <f t="shared" si="39"/>
        <v>332.44872375</v>
      </c>
      <c r="M70" s="103">
        <f t="shared" ref="M70:N78" si="40">$D$22*M23</f>
        <v>100.98565879605327</v>
      </c>
      <c r="N70" s="103">
        <f t="shared" si="40"/>
        <v>308.89730925851592</v>
      </c>
      <c r="O70" s="103">
        <f t="shared" ref="O70:P78" si="41">$E$22*M23</f>
        <v>101.34623160751936</v>
      </c>
      <c r="P70" s="103">
        <f t="shared" si="41"/>
        <v>310.0002378582945</v>
      </c>
    </row>
    <row r="71" spans="2:16">
      <c r="B71" s="61" t="s">
        <v>209</v>
      </c>
      <c r="C71" s="103">
        <f t="shared" si="33"/>
        <v>226.32086193750001</v>
      </c>
      <c r="D71" s="103">
        <f t="shared" si="34"/>
        <v>132.9794895</v>
      </c>
      <c r="E71" s="103">
        <f t="shared" si="35"/>
        <v>210.28778361060503</v>
      </c>
      <c r="F71" s="103">
        <f t="shared" si="36"/>
        <v>123.55892370340636</v>
      </c>
      <c r="G71" s="103">
        <f t="shared" si="37"/>
        <v>211.03862346506972</v>
      </c>
      <c r="H71" s="103">
        <f t="shared" si="38"/>
        <v>124.00009514331781</v>
      </c>
      <c r="I71" s="103"/>
      <c r="J71" s="61" t="s">
        <v>209</v>
      </c>
      <c r="K71" s="103">
        <f t="shared" si="39"/>
        <v>254.45113856250001</v>
      </c>
      <c r="L71" s="103">
        <f t="shared" si="39"/>
        <v>341.3992663125</v>
      </c>
      <c r="M71" s="103">
        <f t="shared" si="40"/>
        <v>236.42524824017175</v>
      </c>
      <c r="N71" s="103">
        <f t="shared" si="40"/>
        <v>317.21377527701441</v>
      </c>
      <c r="O71" s="103">
        <f t="shared" si="41"/>
        <v>237.26941282231002</v>
      </c>
      <c r="P71" s="103">
        <f t="shared" si="41"/>
        <v>318.3463981083255</v>
      </c>
    </row>
    <row r="72" spans="2:16" s="48" customFormat="1">
      <c r="B72" s="61" t="s">
        <v>210</v>
      </c>
      <c r="C72" s="103">
        <f t="shared" si="33"/>
        <v>191.797340625</v>
      </c>
      <c r="D72" s="103">
        <f t="shared" si="34"/>
        <v>130.42219162499998</v>
      </c>
      <c r="E72" s="103">
        <f t="shared" si="35"/>
        <v>178.20998611068225</v>
      </c>
      <c r="F72" s="103">
        <f t="shared" si="36"/>
        <v>121.18279055526392</v>
      </c>
      <c r="G72" s="103">
        <f t="shared" si="37"/>
        <v>178.84629107209298</v>
      </c>
      <c r="H72" s="103">
        <f t="shared" si="38"/>
        <v>121.61547792902323</v>
      </c>
      <c r="I72" s="103"/>
      <c r="J72" s="61" t="s">
        <v>210</v>
      </c>
      <c r="K72" s="103">
        <f t="shared" si="39"/>
        <v>227.59951087500002</v>
      </c>
      <c r="L72" s="103">
        <f t="shared" si="39"/>
        <v>303.03979818750003</v>
      </c>
      <c r="M72" s="103">
        <f t="shared" si="40"/>
        <v>211.47585018467626</v>
      </c>
      <c r="N72" s="103">
        <f t="shared" si="40"/>
        <v>281.57177805487794</v>
      </c>
      <c r="O72" s="103">
        <f t="shared" si="41"/>
        <v>212.23093207221703</v>
      </c>
      <c r="P72" s="103">
        <f t="shared" si="41"/>
        <v>282.57713989390692</v>
      </c>
    </row>
    <row r="73" spans="2:16">
      <c r="B73" s="61" t="s">
        <v>211</v>
      </c>
      <c r="C73" s="103">
        <f t="shared" si="33"/>
        <v>83.1121809375</v>
      </c>
      <c r="D73" s="103">
        <f t="shared" si="34"/>
        <v>95.898670312500002</v>
      </c>
      <c r="E73" s="103">
        <f t="shared" si="35"/>
        <v>77.224327314628979</v>
      </c>
      <c r="F73" s="103">
        <f t="shared" si="36"/>
        <v>89.104993055341126</v>
      </c>
      <c r="G73" s="103">
        <f t="shared" si="37"/>
        <v>77.500059464573624</v>
      </c>
      <c r="H73" s="103">
        <f t="shared" si="38"/>
        <v>89.423145536046491</v>
      </c>
      <c r="I73" s="103"/>
      <c r="J73" s="61" t="s">
        <v>211</v>
      </c>
      <c r="K73" s="103">
        <f t="shared" si="39"/>
        <v>90.784074562499995</v>
      </c>
      <c r="L73" s="103">
        <f t="shared" si="39"/>
        <v>164.94571293750002</v>
      </c>
      <c r="M73" s="103">
        <f t="shared" si="40"/>
        <v>84.352726759056253</v>
      </c>
      <c r="N73" s="103">
        <f t="shared" si="40"/>
        <v>153.26058805518673</v>
      </c>
      <c r="O73" s="103">
        <f t="shared" si="41"/>
        <v>84.653911107457347</v>
      </c>
      <c r="P73" s="103">
        <f t="shared" si="41"/>
        <v>153.80781032199997</v>
      </c>
    </row>
    <row r="74" spans="2:16">
      <c r="B74" s="61" t="s">
        <v>212</v>
      </c>
      <c r="C74" s="103">
        <f t="shared" si="33"/>
        <v>90.784074562499995</v>
      </c>
      <c r="D74" s="103">
        <f t="shared" si="34"/>
        <v>103.5705639375</v>
      </c>
      <c r="E74" s="103">
        <f t="shared" si="35"/>
        <v>84.352726759056253</v>
      </c>
      <c r="F74" s="103">
        <f t="shared" si="36"/>
        <v>96.233392499768414</v>
      </c>
      <c r="G74" s="103">
        <f t="shared" si="37"/>
        <v>84.653911107457347</v>
      </c>
      <c r="H74" s="103">
        <f t="shared" si="38"/>
        <v>96.576997178930213</v>
      </c>
      <c r="I74" s="103"/>
      <c r="J74" s="61" t="s">
        <v>212</v>
      </c>
      <c r="K74" s="103">
        <f t="shared" si="39"/>
        <v>132.9794895</v>
      </c>
      <c r="L74" s="103">
        <f t="shared" si="39"/>
        <v>244.22194706250002</v>
      </c>
      <c r="M74" s="103">
        <f t="shared" si="40"/>
        <v>123.55892370340636</v>
      </c>
      <c r="N74" s="103">
        <f t="shared" si="40"/>
        <v>226.92071564760207</v>
      </c>
      <c r="O74" s="103">
        <f t="shared" si="41"/>
        <v>124.00009514331781</v>
      </c>
      <c r="P74" s="103">
        <f t="shared" si="41"/>
        <v>227.73094396513176</v>
      </c>
    </row>
    <row r="75" spans="2:16">
      <c r="B75" s="61" t="s">
        <v>213</v>
      </c>
      <c r="C75" s="103">
        <f t="shared" si="33"/>
        <v>245.500596</v>
      </c>
      <c r="D75" s="103">
        <f t="shared" si="34"/>
        <v>125.30759587500002</v>
      </c>
      <c r="E75" s="103">
        <f t="shared" si="35"/>
        <v>228.10878222167327</v>
      </c>
      <c r="F75" s="103">
        <f t="shared" si="36"/>
        <v>116.43052425897908</v>
      </c>
      <c r="G75" s="103">
        <f t="shared" si="37"/>
        <v>228.92325257227901</v>
      </c>
      <c r="H75" s="103">
        <f t="shared" si="38"/>
        <v>116.8462435004341</v>
      </c>
      <c r="I75" s="103"/>
      <c r="J75" s="61" t="s">
        <v>213</v>
      </c>
      <c r="K75" s="103">
        <f t="shared" si="39"/>
        <v>286.41736199999997</v>
      </c>
      <c r="L75" s="103">
        <f t="shared" si="39"/>
        <v>242.94329812500001</v>
      </c>
      <c r="M75" s="103">
        <f t="shared" si="40"/>
        <v>266.12691259195213</v>
      </c>
      <c r="N75" s="103">
        <f t="shared" si="40"/>
        <v>225.73264907353084</v>
      </c>
      <c r="O75" s="103">
        <f t="shared" si="41"/>
        <v>267.07712800099216</v>
      </c>
      <c r="P75" s="103">
        <f t="shared" si="41"/>
        <v>226.53863535798445</v>
      </c>
    </row>
    <row r="76" spans="2:16">
      <c r="B76" s="61" t="s">
        <v>214</v>
      </c>
      <c r="C76" s="103">
        <f t="shared" si="33"/>
        <v>125.30759587500002</v>
      </c>
      <c r="D76" s="103">
        <f t="shared" si="34"/>
        <v>124.0289469375</v>
      </c>
      <c r="E76" s="103">
        <f t="shared" si="35"/>
        <v>116.43052425897908</v>
      </c>
      <c r="F76" s="103">
        <f t="shared" si="36"/>
        <v>115.24245768490785</v>
      </c>
      <c r="G76" s="103">
        <f t="shared" si="37"/>
        <v>116.8462435004341</v>
      </c>
      <c r="H76" s="103">
        <f t="shared" si="38"/>
        <v>115.65393489328679</v>
      </c>
      <c r="I76" s="103"/>
      <c r="J76" s="61" t="s">
        <v>214</v>
      </c>
      <c r="K76" s="103">
        <f t="shared" si="39"/>
        <v>108.6851596875</v>
      </c>
      <c r="L76" s="103">
        <f t="shared" si="39"/>
        <v>186.682744875</v>
      </c>
      <c r="M76" s="103">
        <f t="shared" si="40"/>
        <v>100.98565879605327</v>
      </c>
      <c r="N76" s="103">
        <f t="shared" si="40"/>
        <v>173.45771981439739</v>
      </c>
      <c r="O76" s="103">
        <f t="shared" si="41"/>
        <v>101.34623160751936</v>
      </c>
      <c r="P76" s="103">
        <f t="shared" si="41"/>
        <v>174.07705664350382</v>
      </c>
    </row>
    <row r="77" spans="2:16">
      <c r="B77" s="61" t="s">
        <v>215</v>
      </c>
      <c r="C77" s="103">
        <f t="shared" si="33"/>
        <v>134.25813843750001</v>
      </c>
      <c r="D77" s="103">
        <f t="shared" si="34"/>
        <v>141.9300320625</v>
      </c>
      <c r="E77" s="103">
        <f t="shared" si="35"/>
        <v>124.74699027747756</v>
      </c>
      <c r="F77" s="103">
        <f t="shared" si="36"/>
        <v>131.87538972190487</v>
      </c>
      <c r="G77" s="103">
        <f t="shared" si="37"/>
        <v>125.19240375046509</v>
      </c>
      <c r="H77" s="103">
        <f t="shared" si="38"/>
        <v>132.3462553933488</v>
      </c>
      <c r="I77" s="103"/>
      <c r="J77" s="61" t="s">
        <v>215</v>
      </c>
      <c r="K77" s="103">
        <f t="shared" si="39"/>
        <v>153.4378725</v>
      </c>
      <c r="L77" s="103">
        <f t="shared" si="39"/>
        <v>306.87574499999999</v>
      </c>
      <c r="M77" s="103">
        <f t="shared" si="40"/>
        <v>142.56798888854578</v>
      </c>
      <c r="N77" s="103">
        <f t="shared" si="40"/>
        <v>285.13597777709157</v>
      </c>
      <c r="O77" s="103">
        <f t="shared" si="41"/>
        <v>143.0770328576744</v>
      </c>
      <c r="P77" s="103">
        <f t="shared" si="41"/>
        <v>286.15406571534879</v>
      </c>
    </row>
    <row r="78" spans="2:16">
      <c r="B78" s="61" t="s">
        <v>216</v>
      </c>
      <c r="C78" s="103">
        <f t="shared" si="33"/>
        <v>75.440287312500004</v>
      </c>
      <c r="D78" s="103">
        <f t="shared" si="34"/>
        <v>99.734617125</v>
      </c>
      <c r="E78" s="103">
        <f t="shared" si="35"/>
        <v>70.095927870201692</v>
      </c>
      <c r="F78" s="103">
        <f t="shared" si="36"/>
        <v>92.66919277755477</v>
      </c>
      <c r="G78" s="103">
        <f t="shared" si="37"/>
        <v>70.346207821689916</v>
      </c>
      <c r="H78" s="103">
        <f t="shared" si="38"/>
        <v>93.000071357488352</v>
      </c>
      <c r="I78" s="103"/>
      <c r="J78" s="61" t="s">
        <v>216</v>
      </c>
      <c r="K78" s="103">
        <f t="shared" si="39"/>
        <v>85.669478812500003</v>
      </c>
      <c r="L78" s="103">
        <f t="shared" si="39"/>
        <v>200.74788318750001</v>
      </c>
      <c r="M78" s="103">
        <f t="shared" si="40"/>
        <v>79.600460462771409</v>
      </c>
      <c r="N78" s="103">
        <f t="shared" si="40"/>
        <v>186.52645212918074</v>
      </c>
      <c r="O78" s="103">
        <f t="shared" si="41"/>
        <v>79.884676678868203</v>
      </c>
      <c r="P78" s="103">
        <f t="shared" si="41"/>
        <v>187.19245132212399</v>
      </c>
    </row>
    <row r="79" spans="2:16">
      <c r="B79" s="61" t="s">
        <v>206</v>
      </c>
      <c r="C79" s="145">
        <f t="shared" ref="C79:H79" si="42">SUMPRODUCT(C69:C78,$U$22:$U$31)</f>
        <v>194.07678812503914</v>
      </c>
      <c r="D79" s="145">
        <f t="shared" si="42"/>
        <v>128.79009623521574</v>
      </c>
      <c r="E79" s="145">
        <f t="shared" si="42"/>
        <v>180.3279524286628</v>
      </c>
      <c r="F79" s="145">
        <f t="shared" si="42"/>
        <v>119.66631646966415</v>
      </c>
      <c r="G79" s="145">
        <f t="shared" si="42"/>
        <v>180.97181966256821</v>
      </c>
      <c r="H79" s="145">
        <f t="shared" si="42"/>
        <v>120.09358921989097</v>
      </c>
      <c r="I79" s="145"/>
      <c r="J79" s="61" t="s">
        <v>206</v>
      </c>
      <c r="K79" s="145">
        <f t="shared" ref="K79:P79" si="43">SUMPRODUCT(K69:K78,$AC$22:$AC$31)</f>
        <v>208.09715986487114</v>
      </c>
      <c r="L79" s="145">
        <f t="shared" si="43"/>
        <v>301.49327009415828</v>
      </c>
      <c r="M79" s="145">
        <f t="shared" si="43"/>
        <v>193.35508953536151</v>
      </c>
      <c r="N79" s="145">
        <f t="shared" si="43"/>
        <v>280.13480948619969</v>
      </c>
      <c r="O79" s="145">
        <f t="shared" si="43"/>
        <v>194.04547061596469</v>
      </c>
      <c r="P79" s="145">
        <f t="shared" si="43"/>
        <v>281.13504057891299</v>
      </c>
    </row>
    <row r="80" spans="2:16">
      <c r="B80" s="39"/>
      <c r="C80" s="103"/>
      <c r="D80" s="103"/>
      <c r="E80" s="146"/>
      <c r="F80" s="182"/>
      <c r="G80" s="184"/>
      <c r="H80" s="184"/>
      <c r="I80" s="184"/>
      <c r="J80" s="39"/>
      <c r="K80" s="103"/>
      <c r="L80" s="103"/>
      <c r="M80" s="146"/>
      <c r="N80" s="182"/>
      <c r="O80" s="184"/>
      <c r="P80" s="184"/>
    </row>
    <row r="81" spans="2:16">
      <c r="B81" s="39"/>
      <c r="C81" s="103"/>
      <c r="D81" s="103"/>
      <c r="E81" s="146"/>
      <c r="F81" s="103"/>
      <c r="G81" s="184"/>
      <c r="H81" s="184"/>
      <c r="I81" s="184"/>
      <c r="J81" s="39"/>
      <c r="K81" s="103"/>
      <c r="L81" s="103"/>
      <c r="M81" s="146"/>
      <c r="N81" s="103"/>
      <c r="O81" s="184"/>
      <c r="P81" s="184"/>
    </row>
    <row r="82" spans="2:16">
      <c r="B82" s="39"/>
      <c r="C82" s="444" t="s">
        <v>233</v>
      </c>
      <c r="D82" s="444"/>
      <c r="E82" s="444"/>
      <c r="F82" s="444"/>
      <c r="G82" s="444"/>
      <c r="H82" s="444"/>
      <c r="J82" s="39"/>
      <c r="K82" s="444" t="s">
        <v>235</v>
      </c>
      <c r="L82" s="444"/>
      <c r="M82" s="444"/>
      <c r="N82" s="444"/>
      <c r="O82" s="444"/>
      <c r="P82" s="444"/>
    </row>
    <row r="83" spans="2:16">
      <c r="B83" s="39"/>
      <c r="C83" s="449">
        <f>$C$27</f>
        <v>45292</v>
      </c>
      <c r="D83" s="450"/>
      <c r="E83" s="449">
        <f>$D$27</f>
        <v>45536</v>
      </c>
      <c r="F83" s="450"/>
      <c r="G83" s="451" t="str">
        <f>$E$21</f>
        <v>Proposed</v>
      </c>
      <c r="H83" s="451"/>
      <c r="I83" s="169"/>
      <c r="J83" s="39"/>
      <c r="K83" s="445">
        <f>$C$27</f>
        <v>45292</v>
      </c>
      <c r="L83" s="446"/>
      <c r="M83" s="445">
        <f>$D$21</f>
        <v>45536</v>
      </c>
      <c r="N83" s="446"/>
      <c r="O83" s="451" t="str">
        <f>$E$21</f>
        <v>Proposed</v>
      </c>
      <c r="P83" s="451"/>
    </row>
    <row r="84" spans="2:16">
      <c r="B84" s="39"/>
      <c r="C84" s="103" t="s">
        <v>154</v>
      </c>
      <c r="D84" s="103" t="s">
        <v>155</v>
      </c>
      <c r="E84" s="103" t="s">
        <v>154</v>
      </c>
      <c r="F84" s="103" t="s">
        <v>155</v>
      </c>
      <c r="G84" s="103" t="s">
        <v>154</v>
      </c>
      <c r="H84" s="103" t="s">
        <v>155</v>
      </c>
      <c r="I84" s="103"/>
      <c r="J84" s="39"/>
      <c r="K84" s="103" t="s">
        <v>154</v>
      </c>
      <c r="L84" s="103" t="s">
        <v>155</v>
      </c>
      <c r="M84" s="103" t="s">
        <v>154</v>
      </c>
      <c r="N84" s="103" t="s">
        <v>155</v>
      </c>
      <c r="O84" s="103" t="s">
        <v>154</v>
      </c>
      <c r="P84" s="103" t="s">
        <v>155</v>
      </c>
    </row>
    <row r="85" spans="2:16">
      <c r="B85" s="61" t="s">
        <v>207</v>
      </c>
      <c r="C85" s="103">
        <f>C$28*I22</f>
        <v>112.22671499999998</v>
      </c>
      <c r="D85" s="103">
        <f>C$28*J22</f>
        <v>91.443989999999985</v>
      </c>
      <c r="E85" s="103">
        <f>D$28*I22</f>
        <v>104.27742567648831</v>
      </c>
      <c r="F85" s="103">
        <f>D$28*J22</f>
        <v>84.966791291953427</v>
      </c>
      <c r="G85" s="103">
        <f>E$28*I22</f>
        <v>104.64975185623379</v>
      </c>
      <c r="H85" s="103">
        <f>E$28*J22</f>
        <v>85.270168179153458</v>
      </c>
      <c r="I85" s="103"/>
      <c r="J85" s="61" t="s">
        <v>207</v>
      </c>
      <c r="K85" s="103">
        <f>$C$28*M22</f>
        <v>126.35896799999998</v>
      </c>
      <c r="L85" s="103">
        <f>$C$28*N22</f>
        <v>216.14033999999998</v>
      </c>
      <c r="M85" s="103">
        <f>$D$28*M22</f>
        <v>117.40865705797201</v>
      </c>
      <c r="N85" s="103">
        <f>$D$28*N22</f>
        <v>200.83059759916264</v>
      </c>
      <c r="O85" s="103">
        <f>$E$28*M22</f>
        <v>117.82786875664841</v>
      </c>
      <c r="P85" s="103">
        <f>$E$28*N22</f>
        <v>201.54767024163544</v>
      </c>
    </row>
    <row r="86" spans="2:16">
      <c r="B86" s="61" t="s">
        <v>208</v>
      </c>
      <c r="C86" s="103">
        <f t="shared" ref="C86:C94" si="44">C$28*I23</f>
        <v>81.468282000000002</v>
      </c>
      <c r="D86" s="103">
        <f t="shared" ref="D86:D94" si="45">C$28*J23</f>
        <v>91.443989999999985</v>
      </c>
      <c r="E86" s="103">
        <f t="shared" ref="E86:E94" si="46">D$28*I23</f>
        <v>75.697686787376696</v>
      </c>
      <c r="F86" s="103">
        <f t="shared" ref="F86:F94" si="47">D$28*J23</f>
        <v>84.966791291953427</v>
      </c>
      <c r="G86" s="103">
        <f t="shared" ref="G86:G94" si="48">E$28*I23</f>
        <v>75.967968014154906</v>
      </c>
      <c r="H86" s="103">
        <f t="shared" ref="H86:H94" si="49">E$28*J23</f>
        <v>85.270168179153458</v>
      </c>
      <c r="I86" s="103"/>
      <c r="J86" s="61" t="s">
        <v>208</v>
      </c>
      <c r="K86" s="103">
        <f t="shared" ref="K86:L94" si="50">$C$28*M23</f>
        <v>70.661265</v>
      </c>
      <c r="L86" s="103">
        <f t="shared" si="50"/>
        <v>216.14033999999998</v>
      </c>
      <c r="M86" s="103">
        <f t="shared" ref="M86:N94" si="51">$D$28*M23</f>
        <v>65.656156907418563</v>
      </c>
      <c r="N86" s="103">
        <f t="shared" si="51"/>
        <v>200.83059759916264</v>
      </c>
      <c r="O86" s="103">
        <f t="shared" ref="O86:P94" si="52">$E$28*M23</f>
        <v>65.890584502073125</v>
      </c>
      <c r="P86" s="103">
        <f t="shared" si="52"/>
        <v>201.54767024163544</v>
      </c>
    </row>
    <row r="87" spans="2:16">
      <c r="B87" s="61" t="s">
        <v>209</v>
      </c>
      <c r="C87" s="103">
        <f t="shared" si="44"/>
        <v>147.14169299999998</v>
      </c>
      <c r="D87" s="103">
        <f t="shared" si="45"/>
        <v>86.456136000000001</v>
      </c>
      <c r="E87" s="103">
        <f t="shared" si="46"/>
        <v>136.71929144250689</v>
      </c>
      <c r="F87" s="103">
        <f t="shared" si="47"/>
        <v>80.332239039665069</v>
      </c>
      <c r="G87" s="103">
        <f t="shared" si="48"/>
        <v>137.20745243372875</v>
      </c>
      <c r="H87" s="103">
        <f t="shared" si="49"/>
        <v>80.619068096654175</v>
      </c>
      <c r="I87" s="103"/>
      <c r="J87" s="61" t="s">
        <v>209</v>
      </c>
      <c r="K87" s="103">
        <f t="shared" si="50"/>
        <v>165.43049099999996</v>
      </c>
      <c r="L87" s="103">
        <f t="shared" si="50"/>
        <v>221.95950299999998</v>
      </c>
      <c r="M87" s="103">
        <f t="shared" si="51"/>
        <v>153.71264970089757</v>
      </c>
      <c r="N87" s="103">
        <f t="shared" si="51"/>
        <v>206.2375752268324</v>
      </c>
      <c r="O87" s="103">
        <f t="shared" si="52"/>
        <v>154.26148606955942</v>
      </c>
      <c r="P87" s="103">
        <f t="shared" si="52"/>
        <v>206.97395367121794</v>
      </c>
    </row>
    <row r="88" spans="2:16">
      <c r="B88" s="61" t="s">
        <v>210</v>
      </c>
      <c r="C88" s="103">
        <f t="shared" si="44"/>
        <v>124.69634999999998</v>
      </c>
      <c r="D88" s="103">
        <f t="shared" si="45"/>
        <v>84.793517999999992</v>
      </c>
      <c r="E88" s="103">
        <f t="shared" si="46"/>
        <v>115.86380630720923</v>
      </c>
      <c r="F88" s="103">
        <f t="shared" si="47"/>
        <v>78.787388288902264</v>
      </c>
      <c r="G88" s="103">
        <f t="shared" si="48"/>
        <v>116.27750206248199</v>
      </c>
      <c r="H88" s="103">
        <f t="shared" si="49"/>
        <v>79.068701402487747</v>
      </c>
      <c r="I88" s="103"/>
      <c r="J88" s="61" t="s">
        <v>210</v>
      </c>
      <c r="K88" s="103">
        <f t="shared" si="50"/>
        <v>147.97300199999998</v>
      </c>
      <c r="L88" s="103">
        <f t="shared" si="50"/>
        <v>197.02023299999996</v>
      </c>
      <c r="M88" s="103">
        <f t="shared" si="51"/>
        <v>137.49171681788829</v>
      </c>
      <c r="N88" s="103">
        <f t="shared" si="51"/>
        <v>183.06481396539056</v>
      </c>
      <c r="O88" s="103">
        <f t="shared" si="52"/>
        <v>137.98263578081196</v>
      </c>
      <c r="P88" s="103">
        <f t="shared" si="52"/>
        <v>183.71845325872152</v>
      </c>
    </row>
    <row r="89" spans="2:16">
      <c r="B89" s="61" t="s">
        <v>211</v>
      </c>
      <c r="C89" s="103">
        <f t="shared" si="44"/>
        <v>54.035084999999995</v>
      </c>
      <c r="D89" s="103">
        <f t="shared" si="45"/>
        <v>62.348174999999991</v>
      </c>
      <c r="E89" s="103">
        <f t="shared" si="46"/>
        <v>50.207649399790661</v>
      </c>
      <c r="F89" s="103">
        <f t="shared" si="47"/>
        <v>57.931903153604615</v>
      </c>
      <c r="G89" s="103">
        <f t="shared" si="48"/>
        <v>50.386917560408861</v>
      </c>
      <c r="H89" s="103">
        <f t="shared" si="49"/>
        <v>58.138751031240993</v>
      </c>
      <c r="I89" s="103"/>
      <c r="J89" s="61" t="s">
        <v>211</v>
      </c>
      <c r="K89" s="103">
        <f t="shared" si="50"/>
        <v>59.022938999999994</v>
      </c>
      <c r="L89" s="103">
        <f t="shared" si="50"/>
        <v>107.23886099999999</v>
      </c>
      <c r="M89" s="103">
        <f t="shared" si="51"/>
        <v>54.842201652079027</v>
      </c>
      <c r="N89" s="103">
        <f t="shared" si="51"/>
        <v>99.642873424199934</v>
      </c>
      <c r="O89" s="103">
        <f t="shared" si="52"/>
        <v>55.038017642908137</v>
      </c>
      <c r="P89" s="103">
        <f t="shared" si="52"/>
        <v>99.998651773734508</v>
      </c>
    </row>
    <row r="90" spans="2:16">
      <c r="B90" s="61" t="s">
        <v>212</v>
      </c>
      <c r="C90" s="103">
        <f t="shared" si="44"/>
        <v>59.022938999999994</v>
      </c>
      <c r="D90" s="103">
        <f t="shared" si="45"/>
        <v>67.336028999999996</v>
      </c>
      <c r="E90" s="103">
        <f t="shared" si="46"/>
        <v>54.842201652079027</v>
      </c>
      <c r="F90" s="103">
        <f t="shared" si="47"/>
        <v>62.566455405892981</v>
      </c>
      <c r="G90" s="103">
        <f t="shared" si="48"/>
        <v>55.038017642908137</v>
      </c>
      <c r="H90" s="103">
        <f t="shared" si="49"/>
        <v>62.789851113740269</v>
      </c>
      <c r="I90" s="103"/>
      <c r="J90" s="61" t="s">
        <v>212</v>
      </c>
      <c r="K90" s="103">
        <f t="shared" si="50"/>
        <v>86.456136000000001</v>
      </c>
      <c r="L90" s="103">
        <f t="shared" si="50"/>
        <v>158.78001900000001</v>
      </c>
      <c r="M90" s="103">
        <f t="shared" si="51"/>
        <v>80.332239039665069</v>
      </c>
      <c r="N90" s="103">
        <f t="shared" si="51"/>
        <v>147.53324669784644</v>
      </c>
      <c r="O90" s="103">
        <f t="shared" si="52"/>
        <v>80.619068096654175</v>
      </c>
      <c r="P90" s="103">
        <f t="shared" si="52"/>
        <v>148.06001929289374</v>
      </c>
    </row>
    <row r="91" spans="2:16">
      <c r="B91" s="61" t="s">
        <v>213</v>
      </c>
      <c r="C91" s="103">
        <f t="shared" si="44"/>
        <v>159.61132799999999</v>
      </c>
      <c r="D91" s="103">
        <f t="shared" si="45"/>
        <v>81.468282000000002</v>
      </c>
      <c r="E91" s="103">
        <f t="shared" si="46"/>
        <v>148.30567207322781</v>
      </c>
      <c r="F91" s="103">
        <f t="shared" si="47"/>
        <v>75.697686787376696</v>
      </c>
      <c r="G91" s="103">
        <f t="shared" si="48"/>
        <v>148.83520263997693</v>
      </c>
      <c r="H91" s="103">
        <f t="shared" si="49"/>
        <v>75.967968014154906</v>
      </c>
      <c r="I91" s="103"/>
      <c r="J91" s="61" t="s">
        <v>213</v>
      </c>
      <c r="K91" s="103">
        <f t="shared" si="50"/>
        <v>186.21321599999996</v>
      </c>
      <c r="L91" s="103">
        <f t="shared" si="50"/>
        <v>157.94870999999998</v>
      </c>
      <c r="M91" s="103">
        <f t="shared" si="51"/>
        <v>173.02328408543244</v>
      </c>
      <c r="N91" s="103">
        <f t="shared" si="51"/>
        <v>146.76082132246501</v>
      </c>
      <c r="O91" s="103">
        <f t="shared" si="52"/>
        <v>173.64106974663974</v>
      </c>
      <c r="P91" s="103">
        <f t="shared" si="52"/>
        <v>147.28483594581053</v>
      </c>
    </row>
    <row r="92" spans="2:16">
      <c r="B92" s="61" t="s">
        <v>214</v>
      </c>
      <c r="C92" s="103">
        <f t="shared" si="44"/>
        <v>81.468282000000002</v>
      </c>
      <c r="D92" s="103">
        <f t="shared" si="45"/>
        <v>80.636972999999983</v>
      </c>
      <c r="E92" s="103">
        <f t="shared" si="46"/>
        <v>75.697686787376696</v>
      </c>
      <c r="F92" s="103">
        <f t="shared" si="47"/>
        <v>74.925261411995294</v>
      </c>
      <c r="G92" s="103">
        <f t="shared" si="48"/>
        <v>75.967968014154906</v>
      </c>
      <c r="H92" s="103">
        <f t="shared" si="49"/>
        <v>75.192784667071678</v>
      </c>
      <c r="I92" s="103"/>
      <c r="J92" s="61" t="s">
        <v>214</v>
      </c>
      <c r="K92" s="103">
        <f t="shared" si="50"/>
        <v>70.661265</v>
      </c>
      <c r="L92" s="103">
        <f t="shared" si="50"/>
        <v>121.37111399999999</v>
      </c>
      <c r="M92" s="103">
        <f t="shared" si="51"/>
        <v>65.656156907418563</v>
      </c>
      <c r="N92" s="103">
        <f t="shared" si="51"/>
        <v>112.77410480568363</v>
      </c>
      <c r="O92" s="103">
        <f t="shared" si="52"/>
        <v>65.890584502073125</v>
      </c>
      <c r="P92" s="103">
        <f t="shared" si="52"/>
        <v>113.17676867414913</v>
      </c>
    </row>
    <row r="93" spans="2:16">
      <c r="B93" s="61" t="s">
        <v>215</v>
      </c>
      <c r="C93" s="103">
        <f t="shared" si="44"/>
        <v>87.287444999999991</v>
      </c>
      <c r="D93" s="103">
        <f t="shared" si="45"/>
        <v>92.27529899999999</v>
      </c>
      <c r="E93" s="103">
        <f t="shared" si="46"/>
        <v>81.104664415046457</v>
      </c>
      <c r="F93" s="103">
        <f t="shared" si="47"/>
        <v>85.739216667334816</v>
      </c>
      <c r="G93" s="103">
        <f t="shared" si="48"/>
        <v>81.394251443737389</v>
      </c>
      <c r="H93" s="103">
        <f t="shared" si="49"/>
        <v>86.045351526236672</v>
      </c>
      <c r="I93" s="103"/>
      <c r="J93" s="61" t="s">
        <v>215</v>
      </c>
      <c r="K93" s="103">
        <f t="shared" si="50"/>
        <v>99.757079999999988</v>
      </c>
      <c r="L93" s="103">
        <f t="shared" si="50"/>
        <v>199.51415999999998</v>
      </c>
      <c r="M93" s="103">
        <f t="shared" si="51"/>
        <v>92.691045045767382</v>
      </c>
      <c r="N93" s="103">
        <f t="shared" si="51"/>
        <v>185.38209009153476</v>
      </c>
      <c r="O93" s="103">
        <f t="shared" si="52"/>
        <v>93.022001649985583</v>
      </c>
      <c r="P93" s="103">
        <f t="shared" si="52"/>
        <v>186.04400329997117</v>
      </c>
    </row>
    <row r="94" spans="2:16">
      <c r="B94" s="61" t="s">
        <v>216</v>
      </c>
      <c r="C94" s="103">
        <f t="shared" si="44"/>
        <v>49.047230999999996</v>
      </c>
      <c r="D94" s="103">
        <f t="shared" si="45"/>
        <v>64.842101999999997</v>
      </c>
      <c r="E94" s="103">
        <f t="shared" si="46"/>
        <v>45.573097147502295</v>
      </c>
      <c r="F94" s="103">
        <f t="shared" si="47"/>
        <v>60.249179279748795</v>
      </c>
      <c r="G94" s="103">
        <f t="shared" si="48"/>
        <v>45.735817477909585</v>
      </c>
      <c r="H94" s="103">
        <f t="shared" si="49"/>
        <v>60.464301072490635</v>
      </c>
      <c r="I94" s="103"/>
      <c r="J94" s="61" t="s">
        <v>216</v>
      </c>
      <c r="K94" s="103">
        <f t="shared" si="50"/>
        <v>55.697702999999997</v>
      </c>
      <c r="L94" s="103">
        <f t="shared" si="50"/>
        <v>130.51551299999997</v>
      </c>
      <c r="M94" s="103">
        <f t="shared" si="51"/>
        <v>51.752500150553452</v>
      </c>
      <c r="N94" s="103">
        <f t="shared" si="51"/>
        <v>121.27078393487898</v>
      </c>
      <c r="O94" s="103">
        <f t="shared" si="52"/>
        <v>51.937284254575289</v>
      </c>
      <c r="P94" s="103">
        <f t="shared" si="52"/>
        <v>121.70378549206447</v>
      </c>
    </row>
    <row r="95" spans="2:16">
      <c r="B95" s="61" t="s">
        <v>206</v>
      </c>
      <c r="C95" s="145">
        <f t="shared" ref="C95:H95" si="53">SUMPRODUCT(C85:C94,$V$22:$V$31)</f>
        <v>138.17002251535351</v>
      </c>
      <c r="D95" s="145">
        <f t="shared" si="53"/>
        <v>84.262364615665746</v>
      </c>
      <c r="E95" s="145">
        <f t="shared" si="53"/>
        <v>128.38310605067153</v>
      </c>
      <c r="F95" s="145">
        <f t="shared" si="53"/>
        <v>78.293857781859188</v>
      </c>
      <c r="G95" s="145">
        <f t="shared" si="53"/>
        <v>128.84150240165167</v>
      </c>
      <c r="H95" s="145">
        <f t="shared" si="53"/>
        <v>78.573408727582489</v>
      </c>
      <c r="I95" s="145"/>
      <c r="J95" s="61" t="s">
        <v>206</v>
      </c>
      <c r="K95" s="145">
        <f t="shared" ref="K95:P95" si="54">SUMPRODUCT(K85:K94,$AD$22:$AD$31)</f>
        <v>147.18040070778909</v>
      </c>
      <c r="L95" s="145">
        <f t="shared" si="54"/>
        <v>199.23316399740136</v>
      </c>
      <c r="M95" s="145">
        <f t="shared" si="54"/>
        <v>136.75525738984919</v>
      </c>
      <c r="N95" s="145">
        <f t="shared" si="54"/>
        <v>185.12099771458713</v>
      </c>
      <c r="O95" s="145">
        <f t="shared" si="54"/>
        <v>137.24354679873849</v>
      </c>
      <c r="P95" s="145">
        <f t="shared" si="54"/>
        <v>185.78197868359933</v>
      </c>
    </row>
    <row r="98" spans="2:16">
      <c r="B98" s="377">
        <f>'Hypothetical Summary'!D3</f>
        <v>500</v>
      </c>
      <c r="C98" s="467" t="s">
        <v>256</v>
      </c>
      <c r="D98" s="444"/>
      <c r="E98" s="444"/>
      <c r="F98" s="444"/>
      <c r="G98" s="444"/>
      <c r="H98" s="444"/>
      <c r="J98" s="377">
        <f>'Hypothetical Summary'!D3</f>
        <v>500</v>
      </c>
      <c r="K98" s="467" t="s">
        <v>265</v>
      </c>
      <c r="L98" s="444"/>
      <c r="M98" s="444"/>
      <c r="N98" s="444"/>
      <c r="O98" s="444"/>
      <c r="P98" s="444"/>
    </row>
    <row r="99" spans="2:16">
      <c r="B99" s="39"/>
      <c r="C99" s="445">
        <f>$C$27</f>
        <v>45292</v>
      </c>
      <c r="D99" s="446"/>
      <c r="E99" s="445">
        <f>$D$27</f>
        <v>45536</v>
      </c>
      <c r="F99" s="446"/>
      <c r="G99" s="447" t="str">
        <f>$E$21</f>
        <v>Proposed</v>
      </c>
      <c r="H99" s="447"/>
      <c r="I99" s="169"/>
      <c r="J99" s="39"/>
      <c r="K99" s="445">
        <f>$C$27</f>
        <v>45292</v>
      </c>
      <c r="L99" s="446"/>
      <c r="M99" s="445">
        <f>$D$21</f>
        <v>45536</v>
      </c>
      <c r="N99" s="446"/>
      <c r="O99" s="447" t="str">
        <f>$E$21</f>
        <v>Proposed</v>
      </c>
      <c r="P99" s="447"/>
    </row>
    <row r="100" spans="2:16">
      <c r="B100" s="39"/>
      <c r="C100" s="103" t="s">
        <v>154</v>
      </c>
      <c r="D100" s="103" t="s">
        <v>155</v>
      </c>
      <c r="E100" s="103" t="s">
        <v>154</v>
      </c>
      <c r="F100" s="103" t="s">
        <v>155</v>
      </c>
      <c r="G100" s="103" t="s">
        <v>154</v>
      </c>
      <c r="H100" s="103" t="s">
        <v>155</v>
      </c>
      <c r="I100" s="103"/>
      <c r="J100" s="39"/>
      <c r="K100" s="103" t="s">
        <v>154</v>
      </c>
      <c r="L100" s="103" t="s">
        <v>155</v>
      </c>
      <c r="M100" s="103" t="s">
        <v>154</v>
      </c>
      <c r="N100" s="103" t="s">
        <v>155</v>
      </c>
      <c r="O100" s="103" t="s">
        <v>154</v>
      </c>
      <c r="P100" s="103" t="s">
        <v>155</v>
      </c>
    </row>
    <row r="101" spans="2:16">
      <c r="B101" s="61" t="s">
        <v>207</v>
      </c>
      <c r="C101" s="103">
        <f>$C$22*MIN(I22,$B$98)+IF($B$98-I22&gt;0,$C$23*($B$98-I22))</f>
        <v>219.4506271875</v>
      </c>
      <c r="D101" s="103">
        <f>$C$22*MIN(J22,$B$98)+IF($B$98-J22&gt;0,$C$23*($B$98-J22))</f>
        <v>227.48384437499999</v>
      </c>
      <c r="E101" s="103">
        <f>$D$22*MIN(I22,$B$98)+IF($B$98-I22&gt;0,$D$23*($B$98-I22))</f>
        <v>203.92940384962776</v>
      </c>
      <c r="F101" s="103">
        <f>$D$22*MIN(J22,$B$98)+IF($B$98-J22&gt;0,$D$23*($B$98-J22))</f>
        <v>211.4150119679573</v>
      </c>
      <c r="G101" s="103">
        <f>$E$22*MIN(I22,$B$98)+IF($B$98-I22&gt;0,$E$23*($B$98-I22))</f>
        <v>204.65754088773099</v>
      </c>
      <c r="H101" s="103">
        <f>$E$22*MIN(J22,$B$98)+IF($B$98-J22&gt;0,$E$23*($B$98-J22))</f>
        <v>212.16987663052663</v>
      </c>
      <c r="I101" s="103"/>
      <c r="J101" s="61" t="s">
        <v>207</v>
      </c>
      <c r="K101" s="103">
        <f t="shared" ref="K101:L103" si="55">$C$22*MIN(M22,$B$98)+IF($B$98-M22&gt;0,$C$23*($B$98-M22))</f>
        <v>213.98803950000001</v>
      </c>
      <c r="L101" s="103">
        <f t="shared" si="55"/>
        <v>210.04500000000002</v>
      </c>
      <c r="M101" s="103">
        <f>$D$22*MIN(M22,$B$98)+IF($B$98-M22&gt;0,$D$23*($B$98-M22))</f>
        <v>198.83919032916364</v>
      </c>
      <c r="N101" s="103">
        <f>$D$22*MIN(N22,$B$98)+IF($B$98-N22&gt;0,$D$23*($B$98-N22))</f>
        <v>195.16494029917288</v>
      </c>
      <c r="O101" s="103">
        <f>$E$22*MIN(M22,$B$98)+IF($B$98-M22&gt;0,$E$23*($B$98-M22))</f>
        <v>199.54915258262997</v>
      </c>
      <c r="P101" s="103">
        <f>$E$22*MIN(N22,$B$98)+IF($B$98-N22&gt;0,$E$23*($B$98-N22))</f>
        <v>195.86178351495468</v>
      </c>
    </row>
    <row r="102" spans="2:16">
      <c r="B102" s="61" t="s">
        <v>208</v>
      </c>
      <c r="C102" s="103">
        <f t="shared" ref="C102:D110" si="56">$C$22*MIN(I23,$B$98)+IF($B$98-I23&gt;0,$C$23*($B$98-I23))</f>
        <v>231.33978862500001</v>
      </c>
      <c r="D102" s="103">
        <f t="shared" si="56"/>
        <v>227.48384437499999</v>
      </c>
      <c r="E102" s="103">
        <f t="shared" ref="E102:F110" si="57">$D$22*MIN(I23,$B$98)+IF($B$98-I23&gt;0,$D$23*($B$98-I23))</f>
        <v>215.00810386475553</v>
      </c>
      <c r="F102" s="103">
        <f t="shared" si="57"/>
        <v>211.4150119679573</v>
      </c>
      <c r="G102" s="103">
        <f t="shared" ref="G102:H110" si="58">$E$22*MIN(I23,$B$98)+IF($B$98-I23&gt;0,$E$23*($B$98-I23))</f>
        <v>215.77579778706854</v>
      </c>
      <c r="H102" s="103">
        <f t="shared" si="58"/>
        <v>212.16987663052663</v>
      </c>
      <c r="I102" s="103"/>
      <c r="J102" s="61" t="s">
        <v>208</v>
      </c>
      <c r="K102" s="103">
        <f t="shared" si="55"/>
        <v>235.5170615625</v>
      </c>
      <c r="L102" s="103">
        <f t="shared" si="55"/>
        <v>210.04500000000002</v>
      </c>
      <c r="M102" s="103">
        <f t="shared" ref="M102:N110" si="59">$D$22*MIN(M23,$B$98)+IF($B$98-M23&gt;0,$D$23*($B$98-M23))</f>
        <v>218.90062008628689</v>
      </c>
      <c r="N102" s="103">
        <f t="shared" si="59"/>
        <v>195.16494029917288</v>
      </c>
      <c r="O102" s="103">
        <f t="shared" ref="O102:P110" si="60">$E$22*MIN(M23,$B$98)+IF($B$98-M23&gt;0,$E$23*($B$98-M23))</f>
        <v>219.68221237332227</v>
      </c>
      <c r="P102" s="103">
        <f t="shared" si="60"/>
        <v>195.86178351495468</v>
      </c>
    </row>
    <row r="103" spans="2:16">
      <c r="B103" s="61" t="s">
        <v>209</v>
      </c>
      <c r="C103" s="103">
        <f t="shared" si="56"/>
        <v>210.04500000000002</v>
      </c>
      <c r="D103" s="103">
        <f t="shared" si="56"/>
        <v>229.41181649999999</v>
      </c>
      <c r="E103" s="103">
        <f t="shared" si="57"/>
        <v>195.16494029917288</v>
      </c>
      <c r="F103" s="103">
        <f t="shared" si="57"/>
        <v>213.21155791635641</v>
      </c>
      <c r="G103" s="103">
        <f t="shared" si="58"/>
        <v>195.86178351495468</v>
      </c>
      <c r="H103" s="103">
        <f t="shared" si="58"/>
        <v>213.97283720879759</v>
      </c>
      <c r="I103" s="103"/>
      <c r="J103" s="61" t="s">
        <v>209</v>
      </c>
      <c r="K103" s="103">
        <f t="shared" si="55"/>
        <v>210.04500000000002</v>
      </c>
      <c r="L103" s="103">
        <f t="shared" si="55"/>
        <v>210.04500000000002</v>
      </c>
      <c r="M103" s="103">
        <f t="shared" si="59"/>
        <v>195.16494029917288</v>
      </c>
      <c r="N103" s="103">
        <f t="shared" si="59"/>
        <v>195.16494029917288</v>
      </c>
      <c r="O103" s="103">
        <f t="shared" si="60"/>
        <v>195.86178351495468</v>
      </c>
      <c r="P103" s="103">
        <f t="shared" si="60"/>
        <v>195.86178351495468</v>
      </c>
    </row>
    <row r="104" spans="2:16">
      <c r="B104" s="61" t="s">
        <v>210</v>
      </c>
      <c r="C104" s="103">
        <f t="shared" si="56"/>
        <v>214.63069687500001</v>
      </c>
      <c r="D104" s="103">
        <f t="shared" si="56"/>
        <v>230.05447387499999</v>
      </c>
      <c r="E104" s="103">
        <f t="shared" si="57"/>
        <v>199.43803897863</v>
      </c>
      <c r="F104" s="103">
        <f t="shared" si="57"/>
        <v>213.8104065658228</v>
      </c>
      <c r="G104" s="103">
        <f t="shared" si="58"/>
        <v>200.15013944205361</v>
      </c>
      <c r="H104" s="103">
        <f t="shared" si="58"/>
        <v>214.57382406822126</v>
      </c>
      <c r="I104" s="103"/>
      <c r="J104" s="61" t="s">
        <v>210</v>
      </c>
      <c r="K104" s="103">
        <f t="shared" ref="K104:L110" si="61">$C$22*MIN(M25,$B$98)+IF($B$98-M25&gt;0,$C$23*($B$98-M25))</f>
        <v>210.04500000000002</v>
      </c>
      <c r="L104" s="103">
        <f t="shared" si="61"/>
        <v>210.04500000000002</v>
      </c>
      <c r="M104" s="103">
        <f t="shared" si="59"/>
        <v>195.16494029917288</v>
      </c>
      <c r="N104" s="103">
        <f t="shared" si="59"/>
        <v>195.16494029917288</v>
      </c>
      <c r="O104" s="103">
        <f t="shared" si="60"/>
        <v>195.86178351495468</v>
      </c>
      <c r="P104" s="103">
        <f t="shared" si="60"/>
        <v>195.86178351495468</v>
      </c>
    </row>
    <row r="105" spans="2:16">
      <c r="B105" s="61" t="s">
        <v>211</v>
      </c>
      <c r="C105" s="103">
        <f t="shared" si="56"/>
        <v>241.94363531249999</v>
      </c>
      <c r="D105" s="103">
        <f t="shared" si="56"/>
        <v>238.7303484375</v>
      </c>
      <c r="E105" s="103">
        <f t="shared" si="57"/>
        <v>224.88910658095057</v>
      </c>
      <c r="F105" s="103">
        <f t="shared" si="57"/>
        <v>221.89486333361873</v>
      </c>
      <c r="G105" s="103">
        <f t="shared" si="58"/>
        <v>225.69208096755875</v>
      </c>
      <c r="H105" s="103">
        <f t="shared" si="58"/>
        <v>222.68714667044051</v>
      </c>
      <c r="I105" s="103"/>
      <c r="J105" s="61" t="s">
        <v>211</v>
      </c>
      <c r="K105" s="103">
        <f t="shared" si="61"/>
        <v>240.0156631875</v>
      </c>
      <c r="L105" s="103">
        <f t="shared" si="61"/>
        <v>221.3785993125</v>
      </c>
      <c r="M105" s="103">
        <f t="shared" si="59"/>
        <v>223.09256063255143</v>
      </c>
      <c r="N105" s="103">
        <f t="shared" si="59"/>
        <v>205.72594979802685</v>
      </c>
      <c r="O105" s="103">
        <f t="shared" si="60"/>
        <v>223.88912038928783</v>
      </c>
      <c r="P105" s="103">
        <f t="shared" si="60"/>
        <v>206.46050146600194</v>
      </c>
    </row>
    <row r="106" spans="2:16">
      <c r="B106" s="61" t="s">
        <v>212</v>
      </c>
      <c r="C106" s="103">
        <f t="shared" si="56"/>
        <v>240.0156631875</v>
      </c>
      <c r="D106" s="103">
        <f t="shared" si="56"/>
        <v>236.8023763125</v>
      </c>
      <c r="E106" s="103">
        <f t="shared" si="57"/>
        <v>223.09256063255143</v>
      </c>
      <c r="F106" s="103">
        <f t="shared" si="57"/>
        <v>220.09831738521962</v>
      </c>
      <c r="G106" s="103">
        <f t="shared" si="58"/>
        <v>223.88912038928783</v>
      </c>
      <c r="H106" s="103">
        <f t="shared" si="58"/>
        <v>220.88418609216956</v>
      </c>
      <c r="I106" s="103"/>
      <c r="J106" s="61" t="s">
        <v>212</v>
      </c>
      <c r="K106" s="103">
        <f t="shared" si="61"/>
        <v>229.41181649999999</v>
      </c>
      <c r="L106" s="103">
        <f t="shared" si="61"/>
        <v>210.04500000000002</v>
      </c>
      <c r="M106" s="103">
        <f t="shared" si="59"/>
        <v>213.21155791635641</v>
      </c>
      <c r="N106" s="103">
        <f t="shared" si="59"/>
        <v>195.16494029917288</v>
      </c>
      <c r="O106" s="103">
        <f t="shared" si="60"/>
        <v>213.97283720879759</v>
      </c>
      <c r="P106" s="103">
        <f t="shared" si="60"/>
        <v>195.86178351495468</v>
      </c>
    </row>
    <row r="107" spans="2:16">
      <c r="B107" s="61" t="s">
        <v>213</v>
      </c>
      <c r="C107" s="103">
        <f t="shared" si="56"/>
        <v>210.04500000000002</v>
      </c>
      <c r="D107" s="103">
        <f t="shared" si="56"/>
        <v>231.33978862500001</v>
      </c>
      <c r="E107" s="103">
        <f t="shared" si="57"/>
        <v>195.16494029917288</v>
      </c>
      <c r="F107" s="103">
        <f t="shared" si="57"/>
        <v>215.00810386475553</v>
      </c>
      <c r="G107" s="103">
        <f t="shared" si="58"/>
        <v>195.86178351495468</v>
      </c>
      <c r="H107" s="103">
        <f t="shared" si="58"/>
        <v>215.77579778706854</v>
      </c>
      <c r="I107" s="103"/>
      <c r="J107" s="61" t="s">
        <v>213</v>
      </c>
      <c r="K107" s="103">
        <f t="shared" si="61"/>
        <v>210.04500000000002</v>
      </c>
      <c r="L107" s="103">
        <f t="shared" si="61"/>
        <v>210.04500000000002</v>
      </c>
      <c r="M107" s="103">
        <f t="shared" si="59"/>
        <v>195.16494029917288</v>
      </c>
      <c r="N107" s="103">
        <f t="shared" si="59"/>
        <v>195.16494029917288</v>
      </c>
      <c r="O107" s="103">
        <f t="shared" si="60"/>
        <v>195.86178351495468</v>
      </c>
      <c r="P107" s="103">
        <f t="shared" si="60"/>
        <v>195.86178351495468</v>
      </c>
    </row>
    <row r="108" spans="2:16">
      <c r="B108" s="61" t="s">
        <v>214</v>
      </c>
      <c r="C108" s="103">
        <f t="shared" si="56"/>
        <v>231.33978862500001</v>
      </c>
      <c r="D108" s="103">
        <f t="shared" si="56"/>
        <v>231.66111731250001</v>
      </c>
      <c r="E108" s="103">
        <f t="shared" si="57"/>
        <v>215.00810386475553</v>
      </c>
      <c r="F108" s="103">
        <f t="shared" si="57"/>
        <v>215.30752818948869</v>
      </c>
      <c r="G108" s="103">
        <f t="shared" si="58"/>
        <v>215.77579778706854</v>
      </c>
      <c r="H108" s="103">
        <f t="shared" si="58"/>
        <v>216.07629121678036</v>
      </c>
      <c r="I108" s="103"/>
      <c r="J108" s="61" t="s">
        <v>214</v>
      </c>
      <c r="K108" s="103">
        <f t="shared" si="61"/>
        <v>235.5170615625</v>
      </c>
      <c r="L108" s="103">
        <f t="shared" si="61"/>
        <v>215.91601162500001</v>
      </c>
      <c r="M108" s="103">
        <f t="shared" si="59"/>
        <v>218.90062008628689</v>
      </c>
      <c r="N108" s="103">
        <f t="shared" si="59"/>
        <v>200.63573627756276</v>
      </c>
      <c r="O108" s="103">
        <f t="shared" si="60"/>
        <v>219.68221237332227</v>
      </c>
      <c r="P108" s="103">
        <f t="shared" si="60"/>
        <v>201.3521131609009</v>
      </c>
    </row>
    <row r="109" spans="2:16">
      <c r="B109" s="61" t="s">
        <v>215</v>
      </c>
      <c r="C109" s="103">
        <f t="shared" si="56"/>
        <v>229.09048781250002</v>
      </c>
      <c r="D109" s="103">
        <f t="shared" si="56"/>
        <v>227.16251568750002</v>
      </c>
      <c r="E109" s="103">
        <f t="shared" si="57"/>
        <v>212.91213359162322</v>
      </c>
      <c r="F109" s="103">
        <f t="shared" si="57"/>
        <v>211.11558764322416</v>
      </c>
      <c r="G109" s="103">
        <f t="shared" si="58"/>
        <v>213.67234377908576</v>
      </c>
      <c r="H109" s="103">
        <f t="shared" si="58"/>
        <v>211.86938320081481</v>
      </c>
      <c r="I109" s="103"/>
      <c r="J109" s="61" t="s">
        <v>215</v>
      </c>
      <c r="K109" s="103">
        <f t="shared" si="61"/>
        <v>224.2705575</v>
      </c>
      <c r="L109" s="103">
        <f t="shared" si="61"/>
        <v>210.04500000000002</v>
      </c>
      <c r="M109" s="103">
        <f t="shared" si="59"/>
        <v>208.42076872062546</v>
      </c>
      <c r="N109" s="103">
        <f t="shared" si="59"/>
        <v>195.16494029917288</v>
      </c>
      <c r="O109" s="103">
        <f t="shared" si="60"/>
        <v>209.16494233340839</v>
      </c>
      <c r="P109" s="103">
        <f t="shared" si="60"/>
        <v>195.86178351495468</v>
      </c>
    </row>
    <row r="110" spans="2:16">
      <c r="B110" s="61" t="s">
        <v>216</v>
      </c>
      <c r="C110" s="103">
        <f t="shared" si="56"/>
        <v>243.87160743750002</v>
      </c>
      <c r="D110" s="103">
        <f t="shared" si="56"/>
        <v>237.766362375</v>
      </c>
      <c r="E110" s="103">
        <f t="shared" si="57"/>
        <v>226.68565252934962</v>
      </c>
      <c r="F110" s="103">
        <f t="shared" si="57"/>
        <v>220.99659035941914</v>
      </c>
      <c r="G110" s="103">
        <f t="shared" si="58"/>
        <v>227.49504154582974</v>
      </c>
      <c r="H110" s="103">
        <f t="shared" si="58"/>
        <v>221.78566638130502</v>
      </c>
      <c r="I110" s="103"/>
      <c r="J110" s="61" t="s">
        <v>216</v>
      </c>
      <c r="K110" s="103">
        <f t="shared" si="61"/>
        <v>241.30097793750002</v>
      </c>
      <c r="L110" s="103">
        <f t="shared" si="61"/>
        <v>212.38139606250002</v>
      </c>
      <c r="M110" s="103">
        <f t="shared" si="59"/>
        <v>224.29025793148418</v>
      </c>
      <c r="N110" s="103">
        <f t="shared" si="59"/>
        <v>197.34206870549772</v>
      </c>
      <c r="O110" s="103">
        <f t="shared" si="60"/>
        <v>225.09109410813514</v>
      </c>
      <c r="P110" s="103">
        <f t="shared" si="60"/>
        <v>198.04668543407084</v>
      </c>
    </row>
    <row r="111" spans="2:16">
      <c r="B111" s="61" t="s">
        <v>206</v>
      </c>
      <c r="C111" s="145">
        <f t="shared" ref="C111:H111" si="62">SUMPRODUCT(C101:C110,$U$22:$U$31)</f>
        <v>216.37602407110612</v>
      </c>
      <c r="D111" s="145">
        <f t="shared" si="62"/>
        <v>230.46462481955837</v>
      </c>
      <c r="E111" s="145">
        <f t="shared" si="62"/>
        <v>201.0643905540166</v>
      </c>
      <c r="F111" s="145">
        <f t="shared" si="62"/>
        <v>214.19259830403496</v>
      </c>
      <c r="G111" s="145">
        <f t="shared" si="62"/>
        <v>201.78229796237633</v>
      </c>
      <c r="H111" s="145">
        <f t="shared" si="62"/>
        <v>214.95738043534422</v>
      </c>
      <c r="I111" s="145"/>
      <c r="J111" s="61" t="s">
        <v>206</v>
      </c>
      <c r="K111" s="145">
        <f t="shared" ref="K111:P111" si="63">SUMPRODUCT(K101:K110,$AC$22:$AC$31)</f>
        <v>215.63960718444747</v>
      </c>
      <c r="L111" s="145">
        <f t="shared" si="63"/>
        <v>210.88699445091598</v>
      </c>
      <c r="M111" s="145">
        <f t="shared" si="63"/>
        <v>200.37817379968507</v>
      </c>
      <c r="N111" s="145">
        <f t="shared" si="63"/>
        <v>195.94953759689966</v>
      </c>
      <c r="O111" s="145">
        <f t="shared" si="63"/>
        <v>201.09363104722658</v>
      </c>
      <c r="P111" s="145">
        <f t="shared" si="63"/>
        <v>196.64918224465589</v>
      </c>
    </row>
    <row r="113" spans="2:16">
      <c r="B113" s="377">
        <f>'Hypothetical Summary'!D3</f>
        <v>500</v>
      </c>
      <c r="C113" s="467" t="s">
        <v>257</v>
      </c>
      <c r="D113" s="444"/>
      <c r="E113" s="444"/>
      <c r="F113" s="444"/>
      <c r="G113" s="444"/>
      <c r="H113" s="444"/>
      <c r="J113" s="377">
        <f>'Hypothetical Summary'!D3</f>
        <v>500</v>
      </c>
      <c r="K113" s="467" t="s">
        <v>266</v>
      </c>
      <c r="L113" s="444"/>
      <c r="M113" s="444"/>
      <c r="N113" s="444"/>
      <c r="O113" s="444"/>
      <c r="P113" s="444"/>
    </row>
    <row r="114" spans="2:16">
      <c r="B114" s="39"/>
      <c r="C114" s="445">
        <f>$C$27</f>
        <v>45292</v>
      </c>
      <c r="D114" s="446"/>
      <c r="E114" s="445">
        <f>$D$27</f>
        <v>45536</v>
      </c>
      <c r="F114" s="446"/>
      <c r="G114" s="447" t="str">
        <f>$E$21</f>
        <v>Proposed</v>
      </c>
      <c r="H114" s="447"/>
      <c r="I114" s="169"/>
      <c r="J114" s="39"/>
      <c r="K114" s="445">
        <f>$C$27</f>
        <v>45292</v>
      </c>
      <c r="L114" s="446"/>
      <c r="M114" s="445">
        <f>$D$21</f>
        <v>45536</v>
      </c>
      <c r="N114" s="446"/>
      <c r="O114" s="447" t="str">
        <f>$E$21</f>
        <v>Proposed</v>
      </c>
      <c r="P114" s="447"/>
    </row>
    <row r="115" spans="2:16">
      <c r="B115" s="39"/>
      <c r="C115" s="103" t="s">
        <v>154</v>
      </c>
      <c r="D115" s="103" t="s">
        <v>155</v>
      </c>
      <c r="E115" s="103" t="s">
        <v>154</v>
      </c>
      <c r="F115" s="103" t="s">
        <v>155</v>
      </c>
      <c r="G115" s="103" t="s">
        <v>154</v>
      </c>
      <c r="H115" s="103" t="s">
        <v>155</v>
      </c>
      <c r="I115" s="103"/>
      <c r="J115" s="39"/>
      <c r="K115" s="103" t="s">
        <v>154</v>
      </c>
      <c r="L115" s="103" t="s">
        <v>155</v>
      </c>
      <c r="M115" s="103" t="s">
        <v>154</v>
      </c>
      <c r="N115" s="103" t="s">
        <v>155</v>
      </c>
      <c r="O115" s="103" t="s">
        <v>154</v>
      </c>
      <c r="P115" s="103" t="s">
        <v>155</v>
      </c>
    </row>
    <row r="116" spans="2:16">
      <c r="B116" s="61" t="s">
        <v>207</v>
      </c>
      <c r="C116" s="103">
        <f>$C$28*MIN(I22,$B$113)+IF($B$113-I22&gt;0,$C$29*($B$113-I22))</f>
        <v>142.67450406249998</v>
      </c>
      <c r="D116" s="103">
        <f>$C$28*MIN(J22,$B$113)+IF($B$113-J22&gt;0,$C$29*($B$113-J22))</f>
        <v>147.89681812499998</v>
      </c>
      <c r="E116" s="103">
        <f>$D$28*MIN(I22,$B$113)+IF($B$113-I22&gt;0,$D$29*($B$113-I22))</f>
        <v>132.58538812553704</v>
      </c>
      <c r="F116" s="103">
        <f>$D$28*MIN(J22,$B$113)+IF($B$113-J22&gt;0,$D$29*($B$113-J22))</f>
        <v>137.45219623957587</v>
      </c>
      <c r="G116" s="103">
        <f>$E$28*MIN(I22,$B$113)+IF($B$113-I22&gt;0,$E$29*($B$113-I22))</f>
        <v>133.05878887100619</v>
      </c>
      <c r="H116" s="103">
        <f>$E$28*MIN(J22,$B$113)+IF($B$113-J22&gt;0,$E$29*($B$113-J22))</f>
        <v>137.94297409289845</v>
      </c>
      <c r="I116" s="103"/>
      <c r="J116" s="61" t="s">
        <v>207</v>
      </c>
      <c r="K116" s="103">
        <f>$C$28*MIN(M22,$B$113)+IF($B$113-M22&gt;0,$C$29*($B$113-M22))</f>
        <v>139.12333049999998</v>
      </c>
      <c r="L116" s="103">
        <f>$C$28*MIN(N22,$B$113)+IF($B$113-N22&gt;0,$C$29*($B$113-N22))</f>
        <v>136.55999999999997</v>
      </c>
      <c r="M116" s="103">
        <f>$D$28*MIN(M22,$B$113)+IF($B$113-M22&gt;0,$D$29*($B$113-M22))</f>
        <v>129.27595860799062</v>
      </c>
      <c r="N116" s="103">
        <f>$D$28*MIN(N22,$B$113)+IF($B$113-N22&gt;0,$D$29*($B$113-N22))</f>
        <v>126.88712531932563</v>
      </c>
      <c r="O116" s="103">
        <f>$E$28*MIN(M22,$B$113)+IF($B$113-M22&gt;0,$E$29*($B$113-M22))</f>
        <v>129.73754292011947</v>
      </c>
      <c r="P116" s="103">
        <f>$E$28*MIN(N22,$B$113)+IF($B$113-N22&gt;0,$E$29*($B$113-N22))</f>
        <v>127.34018021900833</v>
      </c>
    </row>
    <row r="117" spans="2:16">
      <c r="B117" s="61" t="s">
        <v>208</v>
      </c>
      <c r="C117" s="103">
        <f t="shared" ref="C117:D125" si="64">$C$28*MIN(I23,$B$113)+IF($B$113-I23&gt;0,$C$29*($B$113-I23))</f>
        <v>150.40352887500001</v>
      </c>
      <c r="D117" s="103">
        <f t="shared" si="64"/>
        <v>147.89681812499998</v>
      </c>
      <c r="E117" s="103">
        <f t="shared" ref="E117:F125" si="65">$D$28*MIN(I23,$B$113)+IF($B$113-I23&gt;0,$D$29*($B$113-I23))</f>
        <v>139.78826413431452</v>
      </c>
      <c r="F117" s="103">
        <f t="shared" si="65"/>
        <v>137.45219623957587</v>
      </c>
      <c r="G117" s="103">
        <f t="shared" ref="G117:H125" si="66">$E$28*MIN(I23,$B$113)+IF($B$113-I23&gt;0,$E$29*($B$113-I23))</f>
        <v>140.2873829994067</v>
      </c>
      <c r="H117" s="103">
        <f t="shared" si="66"/>
        <v>137.94297409289845</v>
      </c>
      <c r="I117" s="103"/>
      <c r="J117" s="61" t="s">
        <v>208</v>
      </c>
      <c r="K117" s="103">
        <f t="shared" ref="K117:L125" si="67">$C$28*MIN(M23,$B$113)+IF($B$113-M23&gt;0,$C$29*($B$113-M23))</f>
        <v>153.11913218749999</v>
      </c>
      <c r="L117" s="103">
        <f t="shared" si="67"/>
        <v>136.55999999999997</v>
      </c>
      <c r="M117" s="103">
        <f t="shared" ref="M117:N125" si="68">$D$28*MIN(M23,$B$113)+IF($B$113-M23&gt;0,$D$29*($B$113-M23))</f>
        <v>142.31900435361473</v>
      </c>
      <c r="N117" s="103">
        <f t="shared" si="68"/>
        <v>126.88712531932563</v>
      </c>
      <c r="O117" s="103">
        <f t="shared" ref="O117:P125" si="69">$E$28*MIN(M23,$B$113)+IF($B$113-M23&gt;0,$E$29*($B$113-M23))</f>
        <v>142.82715931479066</v>
      </c>
      <c r="P117" s="103">
        <f t="shared" si="69"/>
        <v>127.34018021900833</v>
      </c>
    </row>
    <row r="118" spans="2:16">
      <c r="B118" s="61" t="s">
        <v>209</v>
      </c>
      <c r="C118" s="103">
        <f t="shared" si="64"/>
        <v>136.55999999999997</v>
      </c>
      <c r="D118" s="103">
        <f t="shared" si="64"/>
        <v>149.15017349999999</v>
      </c>
      <c r="E118" s="103">
        <f t="shared" si="65"/>
        <v>126.88712531932563</v>
      </c>
      <c r="F118" s="103">
        <f t="shared" si="65"/>
        <v>138.62023018694521</v>
      </c>
      <c r="G118" s="103">
        <f t="shared" si="66"/>
        <v>127.34018021900833</v>
      </c>
      <c r="H118" s="103">
        <f t="shared" si="66"/>
        <v>139.11517854615258</v>
      </c>
      <c r="I118" s="103"/>
      <c r="J118" s="61" t="s">
        <v>209</v>
      </c>
      <c r="K118" s="103">
        <f t="shared" si="67"/>
        <v>136.55999999999997</v>
      </c>
      <c r="L118" s="103">
        <f t="shared" si="67"/>
        <v>136.55999999999997</v>
      </c>
      <c r="M118" s="103">
        <f t="shared" si="68"/>
        <v>126.88712531932563</v>
      </c>
      <c r="N118" s="103">
        <f t="shared" si="68"/>
        <v>126.88712531932563</v>
      </c>
      <c r="O118" s="103">
        <f t="shared" si="69"/>
        <v>127.34018021900833</v>
      </c>
      <c r="P118" s="103">
        <f t="shared" si="69"/>
        <v>127.34018021900833</v>
      </c>
    </row>
    <row r="119" spans="2:16">
      <c r="B119" s="61" t="s">
        <v>210</v>
      </c>
      <c r="C119" s="103">
        <f t="shared" si="64"/>
        <v>139.54111562499997</v>
      </c>
      <c r="D119" s="103">
        <f t="shared" si="64"/>
        <v>149.56795862500002</v>
      </c>
      <c r="E119" s="103">
        <f t="shared" si="65"/>
        <v>129.66530325711372</v>
      </c>
      <c r="F119" s="103">
        <f t="shared" si="65"/>
        <v>139.00957483606831</v>
      </c>
      <c r="G119" s="103">
        <f t="shared" si="66"/>
        <v>130.12827773787086</v>
      </c>
      <c r="H119" s="103">
        <f t="shared" si="66"/>
        <v>139.50591336390397</v>
      </c>
      <c r="I119" s="103"/>
      <c r="J119" s="61" t="s">
        <v>210</v>
      </c>
      <c r="K119" s="103">
        <f t="shared" si="67"/>
        <v>136.55999999999997</v>
      </c>
      <c r="L119" s="103">
        <f t="shared" si="67"/>
        <v>136.55999999999997</v>
      </c>
      <c r="M119" s="103">
        <f t="shared" si="68"/>
        <v>126.88712531932563</v>
      </c>
      <c r="N119" s="103">
        <f t="shared" si="68"/>
        <v>126.88712531932563</v>
      </c>
      <c r="O119" s="103">
        <f t="shared" si="69"/>
        <v>127.34018021900833</v>
      </c>
      <c r="P119" s="103">
        <f t="shared" si="69"/>
        <v>127.34018021900833</v>
      </c>
    </row>
    <row r="120" spans="2:16">
      <c r="B120" s="61" t="s">
        <v>211</v>
      </c>
      <c r="C120" s="103">
        <f t="shared" si="64"/>
        <v>157.29698343749999</v>
      </c>
      <c r="D120" s="103">
        <f t="shared" si="64"/>
        <v>155.20805781249999</v>
      </c>
      <c r="E120" s="103">
        <f t="shared" si="65"/>
        <v>146.21245084484579</v>
      </c>
      <c r="F120" s="103">
        <f t="shared" si="65"/>
        <v>144.26572759923027</v>
      </c>
      <c r="G120" s="103">
        <f t="shared" si="66"/>
        <v>146.73450749230449</v>
      </c>
      <c r="H120" s="103">
        <f t="shared" si="66"/>
        <v>144.78083340354758</v>
      </c>
      <c r="I120" s="103"/>
      <c r="J120" s="61" t="s">
        <v>211</v>
      </c>
      <c r="K120" s="103">
        <f t="shared" si="67"/>
        <v>156.04362806249998</v>
      </c>
      <c r="L120" s="103">
        <f t="shared" si="67"/>
        <v>143.92785943749999</v>
      </c>
      <c r="M120" s="103">
        <f t="shared" si="68"/>
        <v>145.04441689747648</v>
      </c>
      <c r="N120" s="103">
        <f t="shared" si="68"/>
        <v>133.75342207290635</v>
      </c>
      <c r="O120" s="103">
        <f t="shared" si="69"/>
        <v>145.56230303905033</v>
      </c>
      <c r="P120" s="103">
        <f t="shared" si="69"/>
        <v>134.23099332426034</v>
      </c>
    </row>
    <row r="121" spans="2:16">
      <c r="B121" s="61" t="s">
        <v>212</v>
      </c>
      <c r="C121" s="103">
        <f t="shared" si="64"/>
        <v>156.04362806249998</v>
      </c>
      <c r="D121" s="103">
        <f t="shared" si="64"/>
        <v>153.9547024375</v>
      </c>
      <c r="E121" s="103">
        <f t="shared" si="65"/>
        <v>145.04441689747648</v>
      </c>
      <c r="F121" s="103">
        <f t="shared" si="65"/>
        <v>143.09769365186094</v>
      </c>
      <c r="G121" s="103">
        <f t="shared" si="66"/>
        <v>145.56230303905033</v>
      </c>
      <c r="H121" s="103">
        <f t="shared" si="66"/>
        <v>143.60862895029345</v>
      </c>
      <c r="I121" s="103"/>
      <c r="J121" s="61" t="s">
        <v>212</v>
      </c>
      <c r="K121" s="103">
        <f t="shared" si="67"/>
        <v>149.15017349999999</v>
      </c>
      <c r="L121" s="103">
        <f t="shared" si="67"/>
        <v>136.55999999999997</v>
      </c>
      <c r="M121" s="103">
        <f t="shared" si="68"/>
        <v>138.62023018694521</v>
      </c>
      <c r="N121" s="103">
        <f t="shared" si="68"/>
        <v>126.88712531932563</v>
      </c>
      <c r="O121" s="103">
        <f t="shared" si="69"/>
        <v>139.11517854615258</v>
      </c>
      <c r="P121" s="103">
        <f t="shared" si="69"/>
        <v>127.34018021900833</v>
      </c>
    </row>
    <row r="122" spans="2:16">
      <c r="B122" s="61" t="s">
        <v>213</v>
      </c>
      <c r="C122" s="103">
        <f t="shared" si="64"/>
        <v>136.55999999999997</v>
      </c>
      <c r="D122" s="103">
        <f t="shared" si="64"/>
        <v>150.40352887500001</v>
      </c>
      <c r="E122" s="103">
        <f t="shared" si="65"/>
        <v>126.88712531932563</v>
      </c>
      <c r="F122" s="103">
        <f t="shared" si="65"/>
        <v>139.78826413431452</v>
      </c>
      <c r="G122" s="103">
        <f t="shared" si="66"/>
        <v>127.34018021900833</v>
      </c>
      <c r="H122" s="103">
        <f t="shared" si="66"/>
        <v>140.2873829994067</v>
      </c>
      <c r="I122" s="103"/>
      <c r="J122" s="61" t="s">
        <v>213</v>
      </c>
      <c r="K122" s="103">
        <f t="shared" si="67"/>
        <v>136.55999999999997</v>
      </c>
      <c r="L122" s="103">
        <f t="shared" si="67"/>
        <v>136.55999999999997</v>
      </c>
      <c r="M122" s="103">
        <f t="shared" si="68"/>
        <v>126.88712531932563</v>
      </c>
      <c r="N122" s="103">
        <f t="shared" si="68"/>
        <v>126.88712531932563</v>
      </c>
      <c r="O122" s="103">
        <f t="shared" si="69"/>
        <v>127.34018021900833</v>
      </c>
      <c r="P122" s="103">
        <f t="shared" si="69"/>
        <v>127.34018021900833</v>
      </c>
    </row>
    <row r="123" spans="2:16">
      <c r="B123" s="61" t="s">
        <v>214</v>
      </c>
      <c r="C123" s="103">
        <f t="shared" si="64"/>
        <v>150.40352887500001</v>
      </c>
      <c r="D123" s="103">
        <f t="shared" si="64"/>
        <v>150.61242143749999</v>
      </c>
      <c r="E123" s="103">
        <f t="shared" si="65"/>
        <v>139.78826413431452</v>
      </c>
      <c r="F123" s="103">
        <f t="shared" si="65"/>
        <v>139.98293645887608</v>
      </c>
      <c r="G123" s="103">
        <f t="shared" si="66"/>
        <v>140.2873829994067</v>
      </c>
      <c r="H123" s="103">
        <f t="shared" si="66"/>
        <v>140.48275040828241</v>
      </c>
      <c r="I123" s="103"/>
      <c r="J123" s="61" t="s">
        <v>214</v>
      </c>
      <c r="K123" s="103">
        <f t="shared" si="67"/>
        <v>153.11913218749999</v>
      </c>
      <c r="L123" s="103">
        <f t="shared" si="67"/>
        <v>140.37668587499999</v>
      </c>
      <c r="M123" s="103">
        <f t="shared" si="68"/>
        <v>142.31900435361473</v>
      </c>
      <c r="N123" s="103">
        <f t="shared" si="68"/>
        <v>130.44399255535993</v>
      </c>
      <c r="O123" s="103">
        <f t="shared" si="69"/>
        <v>142.82715931479066</v>
      </c>
      <c r="P123" s="103">
        <f t="shared" si="69"/>
        <v>130.90974737337359</v>
      </c>
    </row>
    <row r="124" spans="2:16">
      <c r="B124" s="61" t="s">
        <v>215</v>
      </c>
      <c r="C124" s="103">
        <f t="shared" si="64"/>
        <v>148.94128093749998</v>
      </c>
      <c r="D124" s="103">
        <f t="shared" si="64"/>
        <v>147.6879255625</v>
      </c>
      <c r="E124" s="103">
        <f t="shared" si="65"/>
        <v>138.42555786238364</v>
      </c>
      <c r="F124" s="103">
        <f t="shared" si="65"/>
        <v>137.2575239150143</v>
      </c>
      <c r="G124" s="103">
        <f t="shared" si="66"/>
        <v>138.91981113727689</v>
      </c>
      <c r="H124" s="103">
        <f t="shared" si="66"/>
        <v>137.74760668402274</v>
      </c>
      <c r="I124" s="103"/>
      <c r="J124" s="61" t="s">
        <v>215</v>
      </c>
      <c r="K124" s="103">
        <f t="shared" si="67"/>
        <v>145.80789249999998</v>
      </c>
      <c r="L124" s="103">
        <f t="shared" si="67"/>
        <v>136.55999999999997</v>
      </c>
      <c r="M124" s="103">
        <f t="shared" si="68"/>
        <v>135.50547299396032</v>
      </c>
      <c r="N124" s="103">
        <f t="shared" si="68"/>
        <v>126.88712531932563</v>
      </c>
      <c r="O124" s="103">
        <f t="shared" si="69"/>
        <v>135.98930000414154</v>
      </c>
      <c r="P124" s="103">
        <f t="shared" si="69"/>
        <v>127.34018021900833</v>
      </c>
    </row>
    <row r="125" spans="2:16">
      <c r="B125" s="61" t="s">
        <v>216</v>
      </c>
      <c r="C125" s="103">
        <f t="shared" si="64"/>
        <v>158.5503388125</v>
      </c>
      <c r="D125" s="103">
        <f t="shared" si="64"/>
        <v>154.58138012500001</v>
      </c>
      <c r="E125" s="103">
        <f t="shared" si="65"/>
        <v>147.3804847922151</v>
      </c>
      <c r="F125" s="103">
        <f t="shared" si="65"/>
        <v>143.68171062554558</v>
      </c>
      <c r="G125" s="103">
        <f t="shared" si="66"/>
        <v>147.90671194555861</v>
      </c>
      <c r="H125" s="103">
        <f t="shared" si="66"/>
        <v>144.1947311769205</v>
      </c>
      <c r="I125" s="103"/>
      <c r="J125" s="61" t="s">
        <v>216</v>
      </c>
      <c r="K125" s="103">
        <f t="shared" si="67"/>
        <v>156.87919831249999</v>
      </c>
      <c r="L125" s="103">
        <f t="shared" si="67"/>
        <v>138.07886768749998</v>
      </c>
      <c r="M125" s="103">
        <f t="shared" si="68"/>
        <v>145.82310619572269</v>
      </c>
      <c r="N125" s="103">
        <f t="shared" si="68"/>
        <v>128.30259698518284</v>
      </c>
      <c r="O125" s="103">
        <f t="shared" si="69"/>
        <v>146.34377267455312</v>
      </c>
      <c r="P125" s="103">
        <f t="shared" si="69"/>
        <v>128.76070587574102</v>
      </c>
    </row>
    <row r="126" spans="2:16">
      <c r="B126" s="61" t="s">
        <v>206</v>
      </c>
      <c r="C126" s="145">
        <f t="shared" ref="C126:H126" si="70">SUMPRODUCT(C116:C125,$V$22:$V$31)</f>
        <v>138.51724645493587</v>
      </c>
      <c r="D126" s="145">
        <f t="shared" si="70"/>
        <v>149.70142763776676</v>
      </c>
      <c r="E126" s="145">
        <f t="shared" si="70"/>
        <v>128.71113337668396</v>
      </c>
      <c r="F126" s="145">
        <f t="shared" si="70"/>
        <v>139.13395802454227</v>
      </c>
      <c r="G126" s="145">
        <f t="shared" si="70"/>
        <v>129.17070096065493</v>
      </c>
      <c r="H126" s="145">
        <f t="shared" si="70"/>
        <v>139.6307406668839</v>
      </c>
      <c r="I126" s="145"/>
      <c r="J126" s="61" t="s">
        <v>206</v>
      </c>
      <c r="K126" s="145">
        <f t="shared" ref="K126:P126" si="71">SUMPRODUCT(K116:K125,$AD$22:$AD$31)</f>
        <v>138.50735900498438</v>
      </c>
      <c r="L126" s="145">
        <f t="shared" si="71"/>
        <v>136.88786870193039</v>
      </c>
      <c r="M126" s="145">
        <f t="shared" si="71"/>
        <v>128.70191900905405</v>
      </c>
      <c r="N126" s="145">
        <f t="shared" si="71"/>
        <v>127.19267455282585</v>
      </c>
      <c r="O126" s="145">
        <f t="shared" si="71"/>
        <v>129.16145369280443</v>
      </c>
      <c r="P126" s="145">
        <f t="shared" si="71"/>
        <v>127.64682042668724</v>
      </c>
    </row>
  </sheetData>
  <mergeCells count="57">
    <mergeCell ref="C50:H50"/>
    <mergeCell ref="B2:D2"/>
    <mergeCell ref="U20:V20"/>
    <mergeCell ref="Q21:R21"/>
    <mergeCell ref="S21:T21"/>
    <mergeCell ref="E3:I3"/>
    <mergeCell ref="P3:T3"/>
    <mergeCell ref="M35:N35"/>
    <mergeCell ref="O35:P35"/>
    <mergeCell ref="K50:P50"/>
    <mergeCell ref="AC20:AD20"/>
    <mergeCell ref="Y21:Z21"/>
    <mergeCell ref="AA21:AB21"/>
    <mergeCell ref="C67:D67"/>
    <mergeCell ref="E67:F67"/>
    <mergeCell ref="G67:H67"/>
    <mergeCell ref="C66:H66"/>
    <mergeCell ref="K34:P34"/>
    <mergeCell ref="K35:L35"/>
    <mergeCell ref="C35:D35"/>
    <mergeCell ref="E35:F35"/>
    <mergeCell ref="G35:H35"/>
    <mergeCell ref="C51:D51"/>
    <mergeCell ref="E51:F51"/>
    <mergeCell ref="G51:H51"/>
    <mergeCell ref="C34:H34"/>
    <mergeCell ref="C98:H98"/>
    <mergeCell ref="C83:D83"/>
    <mergeCell ref="E83:F83"/>
    <mergeCell ref="G83:H83"/>
    <mergeCell ref="C82:H82"/>
    <mergeCell ref="C114:D114"/>
    <mergeCell ref="E114:F114"/>
    <mergeCell ref="G114:H114"/>
    <mergeCell ref="C113:H113"/>
    <mergeCell ref="C99:D99"/>
    <mergeCell ref="E99:F99"/>
    <mergeCell ref="G99:H99"/>
    <mergeCell ref="K51:L51"/>
    <mergeCell ref="M51:N51"/>
    <mergeCell ref="O51:P51"/>
    <mergeCell ref="K66:P66"/>
    <mergeCell ref="K67:L67"/>
    <mergeCell ref="M67:N67"/>
    <mergeCell ref="O67:P67"/>
    <mergeCell ref="K82:P82"/>
    <mergeCell ref="K83:L83"/>
    <mergeCell ref="M83:N83"/>
    <mergeCell ref="O83:P83"/>
    <mergeCell ref="K98:P98"/>
    <mergeCell ref="K99:L99"/>
    <mergeCell ref="M99:N99"/>
    <mergeCell ref="O99:P99"/>
    <mergeCell ref="K113:P113"/>
    <mergeCell ref="K114:L114"/>
    <mergeCell ref="M114:N114"/>
    <mergeCell ref="O114:P114"/>
  </mergeCells>
  <pageMargins left="0.7" right="0.7" top="0.75" bottom="0.75" header="0.3" footer="0.3"/>
  <pageSetup orientation="portrait" r:id="rId1"/>
  <headerFooter>
    <oddFooter xml:space="preserve">&amp;C_x000D_&amp;1#&amp;"Calibri"&amp;12&amp;K000000 Public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3F45A-901C-48E5-9095-64F704AD7F41}">
  <sheetPr>
    <tabColor rgb="FF92D050"/>
  </sheetPr>
  <dimension ref="A1:AD41"/>
  <sheetViews>
    <sheetView zoomScale="80" zoomScaleNormal="80" workbookViewId="0">
      <selection activeCell="I15" sqref="I15"/>
    </sheetView>
  </sheetViews>
  <sheetFormatPr defaultColWidth="8.85546875" defaultRowHeight="15"/>
  <cols>
    <col min="1" max="1" width="7.42578125" style="61" customWidth="1"/>
    <col min="2" max="2" width="14.42578125" style="61" customWidth="1"/>
    <col min="3" max="4" width="13" style="61" customWidth="1"/>
    <col min="5" max="5" width="18" style="61" bestFit="1" customWidth="1"/>
    <col min="6" max="6" width="13.5703125" style="61" customWidth="1"/>
    <col min="7" max="7" width="18.5703125" style="61" bestFit="1" customWidth="1"/>
    <col min="8" max="8" width="14.140625" style="61" customWidth="1"/>
    <col min="9" max="9" width="17" style="61" bestFit="1" customWidth="1"/>
    <col min="10" max="10" width="14" style="61" customWidth="1"/>
    <col min="11" max="11" width="15" style="61" bestFit="1" customWidth="1"/>
    <col min="12" max="12" width="13" style="61" customWidth="1"/>
    <col min="13" max="14" width="14.140625" style="61" customWidth="1"/>
    <col min="15" max="15" width="14.5703125" style="61" customWidth="1"/>
    <col min="16" max="16" width="14.28515625" style="61" customWidth="1"/>
    <col min="17" max="17" width="9.140625" style="61" customWidth="1"/>
    <col min="18" max="18" width="11.140625" style="61" bestFit="1" customWidth="1"/>
    <col min="19" max="19" width="10.140625" style="61" bestFit="1" customWidth="1"/>
    <col min="20" max="20" width="11.140625" style="61" bestFit="1" customWidth="1"/>
    <col min="21" max="21" width="10.140625" style="61" bestFit="1" customWidth="1"/>
    <col min="22" max="22" width="14.140625" style="61" bestFit="1" customWidth="1"/>
    <col min="23" max="23" width="14" style="61" customWidth="1"/>
    <col min="24" max="24" width="9.42578125" style="61" hidden="1" customWidth="1"/>
    <col min="25" max="28" width="15.7109375" style="61" bestFit="1" customWidth="1"/>
    <col min="29" max="29" width="12.28515625" style="61" customWidth="1"/>
    <col min="30" max="30" width="18.28515625" style="61" customWidth="1"/>
    <col min="31" max="32" width="8.85546875" style="61"/>
    <col min="33" max="33" width="28.5703125" style="61" customWidth="1"/>
    <col min="34" max="16384" width="8.85546875" style="61"/>
  </cols>
  <sheetData>
    <row r="1" spans="1:25">
      <c r="A1" s="50"/>
      <c r="B1" s="50"/>
      <c r="C1" s="50"/>
      <c r="D1" s="50"/>
      <c r="E1" s="50"/>
      <c r="F1" s="50"/>
      <c r="G1" s="50"/>
      <c r="H1" s="50"/>
      <c r="I1" s="50"/>
    </row>
    <row r="2" spans="1:25">
      <c r="A2" s="36"/>
      <c r="B2" s="453"/>
      <c r="C2" s="453"/>
      <c r="D2" s="453"/>
      <c r="F2" s="36"/>
    </row>
    <row r="3" spans="1:25">
      <c r="E3" s="454" t="s">
        <v>455</v>
      </c>
      <c r="F3" s="454"/>
      <c r="G3" s="454"/>
      <c r="H3" s="454"/>
      <c r="I3" s="454"/>
      <c r="J3" s="454"/>
      <c r="K3" s="454"/>
      <c r="M3" s="85"/>
      <c r="N3" s="85"/>
      <c r="O3" s="85"/>
      <c r="P3" s="220"/>
      <c r="Q3" s="220"/>
      <c r="R3" s="220"/>
      <c r="S3" s="220"/>
      <c r="T3" s="220"/>
      <c r="U3" s="220"/>
      <c r="V3" s="220"/>
    </row>
    <row r="4" spans="1:25" ht="15.75" customHeight="1">
      <c r="D4" s="18"/>
      <c r="E4" s="128">
        <f>Summary!D3</f>
        <v>2024</v>
      </c>
      <c r="F4" s="123">
        <f>Summary!L3</f>
        <v>45536</v>
      </c>
      <c r="G4" s="124">
        <f>Summary!L3</f>
        <v>45536</v>
      </c>
      <c r="H4" s="32" t="s">
        <v>22</v>
      </c>
      <c r="I4" s="32" t="s">
        <v>22</v>
      </c>
      <c r="J4"/>
      <c r="K4"/>
      <c r="L4" s="83"/>
      <c r="O4" s="18"/>
      <c r="P4" s="128"/>
      <c r="Q4" s="123"/>
      <c r="R4" s="124"/>
      <c r="S4" s="32"/>
      <c r="T4" s="32"/>
      <c r="U4" s="32"/>
      <c r="V4" s="32"/>
    </row>
    <row r="5" spans="1:25" ht="30.6" customHeight="1">
      <c r="D5" s="18"/>
      <c r="E5" s="32" t="s">
        <v>42</v>
      </c>
      <c r="F5" s="32" t="s">
        <v>27</v>
      </c>
      <c r="G5" s="32" t="s">
        <v>43</v>
      </c>
      <c r="H5" s="32" t="s">
        <v>27</v>
      </c>
      <c r="I5" s="32" t="s">
        <v>43</v>
      </c>
      <c r="J5"/>
      <c r="K5"/>
      <c r="L5" s="19"/>
      <c r="M5" s="94"/>
      <c r="N5" s="94"/>
      <c r="O5" s="19"/>
      <c r="P5" s="32"/>
      <c r="Q5" s="32"/>
      <c r="R5" s="32"/>
      <c r="S5" s="32"/>
      <c r="T5" s="32"/>
      <c r="U5" s="32"/>
      <c r="V5" s="32"/>
    </row>
    <row r="6" spans="1:25" ht="42" customHeight="1">
      <c r="B6" s="25"/>
      <c r="D6" s="25"/>
      <c r="E6" s="18"/>
      <c r="F6" s="18"/>
      <c r="G6" s="18"/>
      <c r="J6"/>
      <c r="K6"/>
      <c r="L6" s="83"/>
      <c r="O6" s="25"/>
      <c r="P6" s="18"/>
      <c r="Q6" s="18"/>
      <c r="R6" s="18"/>
      <c r="U6" s="83"/>
      <c r="V6" s="83"/>
    </row>
    <row r="7" spans="1:25" ht="15.75">
      <c r="D7" s="254" t="s">
        <v>440</v>
      </c>
      <c r="E7" s="133">
        <f>HLOOKUP($E$4,$Y$33:$AB$41,2,FALSE)</f>
        <v>226712.61674835999</v>
      </c>
      <c r="F7" s="27">
        <v>0.48257</v>
      </c>
      <c r="G7" s="255">
        <f t="shared" ref="G7:G12" si="0">F7*E7</f>
        <v>109404.70746425608</v>
      </c>
      <c r="H7" s="33">
        <f t="shared" ref="H7:H12" si="1">F7+I$15/SUM($E$7:$E$12)</f>
        <v>0.48439859348185221</v>
      </c>
      <c r="I7" s="255">
        <f t="shared" ref="I7:I12" si="2">H7*E7</f>
        <v>109819.27267749578</v>
      </c>
      <c r="J7"/>
      <c r="K7"/>
      <c r="L7" s="256"/>
      <c r="O7" s="26"/>
      <c r="P7" s="219"/>
      <c r="Q7" s="27"/>
      <c r="R7" s="218"/>
      <c r="S7" s="33"/>
      <c r="T7" s="218"/>
      <c r="U7" s="33"/>
      <c r="V7" s="218"/>
      <c r="W7" s="63"/>
    </row>
    <row r="8" spans="1:25" ht="15.75">
      <c r="D8" s="30" t="s">
        <v>438</v>
      </c>
      <c r="E8" s="133">
        <f>HLOOKUP($E$4,$Y$33:$AB$41,3,FALSE)</f>
        <v>162948.698059135</v>
      </c>
      <c r="F8" s="27">
        <v>0.43334</v>
      </c>
      <c r="G8" s="255">
        <f t="shared" si="0"/>
        <v>70612.188816945563</v>
      </c>
      <c r="H8" s="33">
        <f t="shared" si="1"/>
        <v>0.43516859348185222</v>
      </c>
      <c r="I8" s="255">
        <f t="shared" si="2"/>
        <v>70910.155744092801</v>
      </c>
      <c r="J8"/>
      <c r="K8"/>
      <c r="L8" s="256"/>
      <c r="O8" s="30"/>
      <c r="P8" s="219"/>
      <c r="Q8" s="27"/>
      <c r="R8" s="218"/>
      <c r="S8" s="33"/>
      <c r="T8" s="218"/>
      <c r="U8" s="33"/>
      <c r="V8" s="218"/>
      <c r="W8" s="63"/>
      <c r="Y8" s="38"/>
    </row>
    <row r="9" spans="1:25" ht="15.75">
      <c r="D9" s="254" t="s">
        <v>437</v>
      </c>
      <c r="E9" s="133">
        <f>HLOOKUP($E$4,$Y$33:$AB$41,4,FALSE)</f>
        <v>522831.37509535201</v>
      </c>
      <c r="F9" s="27">
        <v>0.41253000000000001</v>
      </c>
      <c r="G9" s="255">
        <f t="shared" si="0"/>
        <v>215683.62716808557</v>
      </c>
      <c r="H9" s="33">
        <f t="shared" si="1"/>
        <v>0.41435859348185222</v>
      </c>
      <c r="I9" s="255">
        <f t="shared" si="2"/>
        <v>216639.67321269275</v>
      </c>
      <c r="J9"/>
      <c r="K9"/>
      <c r="L9" s="256"/>
      <c r="O9" s="26"/>
      <c r="P9" s="219"/>
      <c r="Q9" s="27"/>
      <c r="R9" s="218"/>
      <c r="S9" s="33"/>
      <c r="T9" s="218"/>
      <c r="U9" s="33"/>
      <c r="V9" s="218"/>
      <c r="W9" s="63"/>
      <c r="Y9" s="38"/>
    </row>
    <row r="10" spans="1:25" ht="15.75">
      <c r="D10" s="30" t="s">
        <v>436</v>
      </c>
      <c r="E10" s="133">
        <f>HLOOKUP($E$4,$Y$33:$AB$41,5,FALSE)</f>
        <v>322300.89314751595</v>
      </c>
      <c r="F10" s="27">
        <v>0.40714999999999996</v>
      </c>
      <c r="G10" s="255">
        <f t="shared" si="0"/>
        <v>131224.8086450111</v>
      </c>
      <c r="H10" s="33">
        <f t="shared" si="1"/>
        <v>0.40897859348185217</v>
      </c>
      <c r="I10" s="255">
        <f t="shared" si="2"/>
        <v>131814.1659574158</v>
      </c>
      <c r="J10"/>
      <c r="K10"/>
      <c r="L10" s="256"/>
      <c r="O10" s="30"/>
      <c r="P10" s="219"/>
      <c r="Q10" s="27"/>
      <c r="R10" s="218"/>
      <c r="S10" s="33"/>
      <c r="T10" s="218"/>
      <c r="U10" s="33"/>
      <c r="V10" s="218"/>
      <c r="W10" s="63"/>
      <c r="Y10" s="38"/>
    </row>
    <row r="11" spans="1:25" ht="15.75">
      <c r="D11" s="254" t="s">
        <v>435</v>
      </c>
      <c r="E11" s="133">
        <f>HLOOKUP($E$4,$Y$33:$AB$41,6,FALSE)</f>
        <v>957339.48353919166</v>
      </c>
      <c r="F11" s="27">
        <v>0.39102999999999999</v>
      </c>
      <c r="G11" s="255">
        <f t="shared" si="0"/>
        <v>374348.45824833011</v>
      </c>
      <c r="H11" s="33">
        <f t="shared" si="1"/>
        <v>0.3928585934818522</v>
      </c>
      <c r="I11" s="255">
        <f t="shared" si="2"/>
        <v>376099.04298784962</v>
      </c>
      <c r="J11"/>
      <c r="K11"/>
      <c r="L11" s="256"/>
      <c r="O11" s="26"/>
      <c r="P11" s="219"/>
      <c r="Q11" s="27"/>
      <c r="R11" s="218"/>
      <c r="S11" s="33"/>
      <c r="T11" s="218"/>
      <c r="U11" s="33"/>
      <c r="V11" s="218"/>
      <c r="W11" s="29"/>
      <c r="Y11" s="38"/>
    </row>
    <row r="12" spans="1:25" ht="15.75">
      <c r="D12" s="254" t="s">
        <v>450</v>
      </c>
      <c r="E12" s="133">
        <f>HLOOKUP($E$4,$Y$33:$AB$41,7,FALSE)</f>
        <v>135593.18471407695</v>
      </c>
      <c r="F12" s="27">
        <v>0.37461</v>
      </c>
      <c r="G12" s="255">
        <f t="shared" si="0"/>
        <v>50794.562925740371</v>
      </c>
      <c r="H12" s="33">
        <f t="shared" si="1"/>
        <v>0.37643859348185221</v>
      </c>
      <c r="I12" s="255">
        <f t="shared" si="2"/>
        <v>51042.50773949211</v>
      </c>
      <c r="J12"/>
      <c r="K12"/>
      <c r="L12" s="256"/>
      <c r="O12" s="30"/>
      <c r="P12" s="219"/>
      <c r="Q12" s="27"/>
      <c r="R12" s="218"/>
      <c r="S12" s="33"/>
      <c r="T12" s="218"/>
      <c r="U12" s="33"/>
      <c r="V12" s="218"/>
      <c r="W12" s="29"/>
      <c r="Y12" s="38"/>
    </row>
    <row r="13" spans="1:25" ht="15.75">
      <c r="J13"/>
      <c r="K13"/>
      <c r="L13" s="29"/>
      <c r="O13" s="30"/>
      <c r="P13" s="28"/>
      <c r="Q13" s="27"/>
      <c r="R13" s="255"/>
      <c r="S13" s="142"/>
      <c r="T13" s="31"/>
      <c r="U13" s="18"/>
      <c r="V13" s="31"/>
      <c r="X13" s="38"/>
      <c r="Y13" s="38"/>
    </row>
    <row r="14" spans="1:25" ht="15.75">
      <c r="D14" s="30" t="s">
        <v>452</v>
      </c>
      <c r="E14" s="133">
        <f>HLOOKUP($E$4,$Y$33:$AB$41,9,FALSE)</f>
        <v>1033.6407824200001</v>
      </c>
      <c r="F14" s="27">
        <v>0.32854</v>
      </c>
      <c r="G14" s="255">
        <f>F14*E14*365/12</f>
        <v>10329.267089128114</v>
      </c>
      <c r="H14" s="27">
        <f>F14</f>
        <v>0.32854</v>
      </c>
      <c r="I14" s="255">
        <f>H14*E14*365/12</f>
        <v>10329.267089128114</v>
      </c>
      <c r="J14"/>
      <c r="K14"/>
      <c r="L14" s="29"/>
      <c r="O14" s="30"/>
      <c r="P14" s="28"/>
      <c r="Q14" s="27"/>
      <c r="R14" s="28"/>
      <c r="S14" s="142"/>
      <c r="T14" s="28"/>
      <c r="U14" s="28"/>
      <c r="V14" s="28"/>
      <c r="Y14" s="38"/>
    </row>
    <row r="15" spans="1:25" ht="15.75">
      <c r="D15" s="257" t="s">
        <v>478</v>
      </c>
      <c r="E15" s="95"/>
      <c r="F15" s="27"/>
      <c r="G15" s="255">
        <f>SUM(G7:G14)</f>
        <v>962397.62035749678</v>
      </c>
      <c r="H15" s="28"/>
      <c r="I15" s="255">
        <f>'Hypothetical SAR and RAR (B-1)'!U20</f>
        <v>4256.4650506701573</v>
      </c>
      <c r="J15"/>
      <c r="K15"/>
      <c r="L15" s="29"/>
      <c r="O15" s="96"/>
      <c r="P15" s="28"/>
      <c r="Q15" s="27"/>
      <c r="R15" s="28"/>
      <c r="S15" s="142"/>
      <c r="T15" s="28"/>
      <c r="U15" s="28"/>
      <c r="V15" s="28"/>
    </row>
    <row r="16" spans="1:25" ht="15.75">
      <c r="P16" s="28"/>
      <c r="Q16" s="27"/>
      <c r="S16" s="142"/>
    </row>
    <row r="17" spans="2:30" ht="15.75">
      <c r="O17" s="37"/>
      <c r="S17" s="142"/>
    </row>
    <row r="18" spans="2:30" ht="15.75">
      <c r="S18" s="142"/>
    </row>
    <row r="19" spans="2:30">
      <c r="B19" s="39"/>
      <c r="E19" s="177"/>
      <c r="P19" s="61" t="s">
        <v>537</v>
      </c>
    </row>
    <row r="20" spans="2:30">
      <c r="B20" s="40" t="s">
        <v>456</v>
      </c>
      <c r="C20" s="40"/>
      <c r="E20" s="41" t="s">
        <v>22</v>
      </c>
      <c r="F20" s="41"/>
      <c r="H20" s="40"/>
      <c r="I20" s="40"/>
      <c r="J20" s="40"/>
      <c r="K20" s="40"/>
      <c r="L20" s="40"/>
      <c r="M20" s="40"/>
      <c r="N20" s="40"/>
      <c r="P20" s="49" t="s">
        <v>447</v>
      </c>
      <c r="Q20" s="459" t="s">
        <v>154</v>
      </c>
      <c r="R20" s="460"/>
      <c r="S20" s="461"/>
      <c r="T20" s="459" t="s">
        <v>155</v>
      </c>
      <c r="U20" s="460"/>
      <c r="V20" s="461"/>
      <c r="X20" s="161"/>
      <c r="Y20" s="258"/>
      <c r="Z20" s="258"/>
      <c r="AA20" s="258"/>
      <c r="AB20" s="258"/>
      <c r="AC20" s="444"/>
      <c r="AD20" s="444"/>
    </row>
    <row r="21" spans="2:30">
      <c r="B21" s="42" t="s">
        <v>27</v>
      </c>
      <c r="C21" s="98">
        <v>45292</v>
      </c>
      <c r="D21" s="98">
        <f>Summary!L3</f>
        <v>45536</v>
      </c>
      <c r="E21" s="99" t="s">
        <v>181</v>
      </c>
      <c r="F21"/>
      <c r="P21" s="259" t="s">
        <v>446</v>
      </c>
      <c r="Q21" s="260" t="s">
        <v>445</v>
      </c>
      <c r="R21" s="261" t="s">
        <v>444</v>
      </c>
      <c r="S21" s="260" t="s">
        <v>443</v>
      </c>
      <c r="T21" s="261" t="s">
        <v>444</v>
      </c>
      <c r="U21" s="260" t="s">
        <v>443</v>
      </c>
      <c r="V21" s="260" t="s">
        <v>451</v>
      </c>
      <c r="W21" s="260" t="s">
        <v>143</v>
      </c>
      <c r="Y21" s="444"/>
      <c r="Z21" s="444"/>
      <c r="AA21" s="444"/>
      <c r="AB21" s="444"/>
      <c r="AC21" s="80"/>
      <c r="AD21" s="80"/>
    </row>
    <row r="22" spans="2:30">
      <c r="B22" s="254" t="s">
        <v>440</v>
      </c>
      <c r="C22" s="100">
        <v>0.51009000000000004</v>
      </c>
      <c r="D22" s="100">
        <f t="shared" ref="D22:D27" si="3">F7</f>
        <v>0.48257</v>
      </c>
      <c r="E22" s="100">
        <f t="shared" ref="E22:E27" si="4">H7</f>
        <v>0.48439859348185221</v>
      </c>
      <c r="F22"/>
      <c r="I22" s="38"/>
      <c r="J22" s="38"/>
      <c r="M22" s="38"/>
      <c r="N22" s="38"/>
      <c r="P22" s="217" t="s">
        <v>442</v>
      </c>
      <c r="Q22" s="262">
        <v>240.62174185496107</v>
      </c>
      <c r="R22" s="262">
        <v>196.42752456070392</v>
      </c>
      <c r="S22" s="262">
        <v>610.40704220246198</v>
      </c>
      <c r="T22" s="262">
        <v>213.44277638435847</v>
      </c>
      <c r="U22" s="262">
        <v>679.15437237650917</v>
      </c>
      <c r="V22" s="262">
        <v>79.551666688326037</v>
      </c>
      <c r="W22" s="216">
        <f>SUM(Q22:V22)</f>
        <v>2019.6051240673207</v>
      </c>
      <c r="Y22" s="263"/>
      <c r="Z22" s="263"/>
      <c r="AA22" s="263"/>
      <c r="AB22" s="263"/>
      <c r="AC22" s="201"/>
      <c r="AD22" s="201"/>
    </row>
    <row r="23" spans="2:30">
      <c r="B23" s="30" t="s">
        <v>438</v>
      </c>
      <c r="C23" s="100">
        <v>0.46086000000000005</v>
      </c>
      <c r="D23" s="100">
        <f t="shared" si="3"/>
        <v>0.43334</v>
      </c>
      <c r="E23" s="100">
        <f t="shared" si="4"/>
        <v>0.43516859348185222</v>
      </c>
      <c r="F23"/>
      <c r="I23" s="38"/>
      <c r="J23" s="38"/>
      <c r="M23" s="38"/>
      <c r="N23" s="38"/>
      <c r="P23" s="217" t="s">
        <v>441</v>
      </c>
      <c r="Q23" s="262">
        <v>305.44246137453382</v>
      </c>
      <c r="R23" s="262">
        <v>270.20079634354931</v>
      </c>
      <c r="S23" s="262">
        <v>790.00263578498721</v>
      </c>
      <c r="T23" s="262">
        <v>219.55863186494659</v>
      </c>
      <c r="U23" s="262">
        <v>758.53012090268419</v>
      </c>
      <c r="V23" s="262">
        <v>130.24427790155966</v>
      </c>
      <c r="W23" s="216">
        <f>SUM(Q23:V23)</f>
        <v>2473.9789241722606</v>
      </c>
      <c r="Y23" s="263"/>
      <c r="Z23" s="263"/>
      <c r="AA23" s="263"/>
      <c r="AB23" s="263"/>
      <c r="AC23" s="201"/>
      <c r="AD23" s="201"/>
    </row>
    <row r="24" spans="2:30">
      <c r="B24" s="254" t="s">
        <v>437</v>
      </c>
      <c r="C24" s="100">
        <v>0.44005000000000005</v>
      </c>
      <c r="D24" s="100">
        <f t="shared" si="3"/>
        <v>0.41253000000000001</v>
      </c>
      <c r="E24" s="100">
        <f t="shared" si="4"/>
        <v>0.41435859348185222</v>
      </c>
      <c r="F24"/>
      <c r="I24" s="38"/>
      <c r="J24" s="38"/>
      <c r="M24" s="38"/>
      <c r="N24" s="38"/>
      <c r="P24" s="265" t="s">
        <v>439</v>
      </c>
      <c r="Q24" s="262">
        <v>980.97126569347881</v>
      </c>
      <c r="R24" s="262">
        <v>662.60853900989662</v>
      </c>
      <c r="S24" s="262">
        <v>1842.6360321173977</v>
      </c>
      <c r="T24" s="262">
        <v>753.65423767962909</v>
      </c>
      <c r="U24" s="262">
        <v>1744.1897290370835</v>
      </c>
      <c r="V24" s="262">
        <v>274.86051486803825</v>
      </c>
      <c r="W24" s="221">
        <f>SUM(Q24:V24)</f>
        <v>6258.9203184055232</v>
      </c>
      <c r="Y24" s="263"/>
      <c r="Z24" s="263"/>
      <c r="AA24" s="263"/>
      <c r="AB24" s="263"/>
      <c r="AC24" s="201"/>
      <c r="AD24" s="201"/>
    </row>
    <row r="25" spans="2:30">
      <c r="B25" s="30" t="s">
        <v>436</v>
      </c>
      <c r="C25" s="100">
        <v>0.43467000000000006</v>
      </c>
      <c r="D25" s="100">
        <f t="shared" si="3"/>
        <v>0.40714999999999996</v>
      </c>
      <c r="E25" s="100">
        <f t="shared" si="4"/>
        <v>0.40897859348185217</v>
      </c>
      <c r="F25"/>
      <c r="I25" s="38"/>
      <c r="J25" s="38"/>
      <c r="M25" s="38"/>
      <c r="N25" s="38"/>
      <c r="P25" s="266"/>
      <c r="Q25" s="267"/>
      <c r="R25" s="267"/>
      <c r="S25" s="267"/>
      <c r="T25" s="267"/>
      <c r="U25" s="215"/>
      <c r="V25" s="215"/>
      <c r="Y25" s="263"/>
      <c r="Z25" s="263"/>
      <c r="AA25" s="263"/>
      <c r="AB25" s="263"/>
      <c r="AC25" s="201"/>
      <c r="AD25" s="201"/>
    </row>
    <row r="26" spans="2:30">
      <c r="B26" s="254" t="s">
        <v>435</v>
      </c>
      <c r="C26" s="100">
        <v>0.41855000000000003</v>
      </c>
      <c r="D26" s="100">
        <f t="shared" si="3"/>
        <v>0.39102999999999999</v>
      </c>
      <c r="E26" s="100">
        <f t="shared" si="4"/>
        <v>0.3928585934818522</v>
      </c>
      <c r="F26"/>
      <c r="I26" s="38"/>
      <c r="J26" s="38"/>
      <c r="M26" s="38"/>
      <c r="N26" s="38"/>
      <c r="Q26" s="263"/>
      <c r="R26" s="263"/>
      <c r="S26" s="263"/>
      <c r="T26" s="263"/>
      <c r="U26" s="201"/>
      <c r="V26" s="201"/>
      <c r="Y26" s="263"/>
      <c r="Z26" s="263"/>
      <c r="AA26" s="263"/>
      <c r="AB26" s="263"/>
      <c r="AC26" s="201"/>
      <c r="AD26" s="201"/>
    </row>
    <row r="27" spans="2:30">
      <c r="B27" s="254" t="s">
        <v>450</v>
      </c>
      <c r="C27" s="100">
        <v>0.40214</v>
      </c>
      <c r="D27" s="100">
        <f t="shared" si="3"/>
        <v>0.37461</v>
      </c>
      <c r="E27" s="100">
        <f t="shared" si="4"/>
        <v>0.37643859348185221</v>
      </c>
      <c r="F27"/>
      <c r="I27" s="38"/>
      <c r="J27" s="38"/>
      <c r="M27" s="38"/>
      <c r="N27" s="38"/>
      <c r="Q27" s="263"/>
      <c r="R27" s="263"/>
      <c r="S27" s="263"/>
      <c r="T27" s="263"/>
      <c r="U27" s="201"/>
      <c r="V27" s="201"/>
      <c r="Y27" s="263"/>
      <c r="Z27" s="263"/>
      <c r="AA27" s="263"/>
      <c r="AB27" s="263"/>
      <c r="AC27" s="201"/>
      <c r="AD27" s="201"/>
    </row>
    <row r="28" spans="2:30">
      <c r="B28" s="30" t="s">
        <v>452</v>
      </c>
      <c r="C28" s="100">
        <v>0.32854</v>
      </c>
      <c r="D28" s="100">
        <f>F14</f>
        <v>0.32854</v>
      </c>
      <c r="E28" s="100">
        <f>H14</f>
        <v>0.32854</v>
      </c>
      <c r="F28"/>
      <c r="Q28" s="63"/>
    </row>
    <row r="29" spans="2:30">
      <c r="B29" s="39"/>
      <c r="C29" s="103"/>
      <c r="D29" s="100"/>
      <c r="E29" s="146"/>
      <c r="F29" s="146"/>
      <c r="N29" s="63"/>
    </row>
    <row r="30" spans="2:30">
      <c r="B30" s="39"/>
      <c r="C30" s="444" t="s">
        <v>454</v>
      </c>
      <c r="D30" s="444"/>
      <c r="E30" s="444"/>
      <c r="F30" s="444"/>
      <c r="G30" s="444"/>
      <c r="H30" s="444"/>
      <c r="I30" s="444"/>
      <c r="J30" s="444"/>
      <c r="L30" s="39"/>
    </row>
    <row r="31" spans="2:30">
      <c r="B31" s="39"/>
      <c r="C31" s="445">
        <f>C21</f>
        <v>45292</v>
      </c>
      <c r="D31" s="446"/>
      <c r="E31" s="445">
        <f>D21</f>
        <v>45536</v>
      </c>
      <c r="F31" s="446"/>
      <c r="G31" s="447" t="s">
        <v>22</v>
      </c>
      <c r="H31" s="447"/>
      <c r="I31"/>
      <c r="J31"/>
      <c r="L31" s="39"/>
      <c r="M31" s="222"/>
      <c r="N31" s="223"/>
      <c r="O31" s="222"/>
      <c r="P31" s="223"/>
      <c r="Q31" s="224"/>
      <c r="R31" s="224"/>
      <c r="S31" s="169"/>
      <c r="T31" s="224"/>
    </row>
    <row r="32" spans="2:30">
      <c r="B32" s="39"/>
      <c r="C32" s="103" t="s">
        <v>154</v>
      </c>
      <c r="D32" s="103" t="s">
        <v>155</v>
      </c>
      <c r="E32" s="103" t="s">
        <v>154</v>
      </c>
      <c r="F32" s="103" t="s">
        <v>155</v>
      </c>
      <c r="G32" s="103" t="s">
        <v>154</v>
      </c>
      <c r="H32" s="103" t="s">
        <v>155</v>
      </c>
      <c r="I32"/>
      <c r="J32"/>
      <c r="L32" s="39"/>
      <c r="M32" s="103"/>
      <c r="N32" s="103"/>
      <c r="O32" s="103"/>
      <c r="P32" s="103"/>
      <c r="Q32" s="103"/>
      <c r="R32" s="103"/>
      <c r="S32" s="103"/>
      <c r="T32" s="103"/>
    </row>
    <row r="33" spans="2:28">
      <c r="B33" s="61" t="s">
        <v>442</v>
      </c>
      <c r="C33" s="103">
        <f>SUM(SUM($C$22*$Q22,$C$23*$R22,$C$24*$S22),($C$28*365.25/12))</f>
        <v>491.87388844303655</v>
      </c>
      <c r="D33" s="103">
        <f>SUM(SUM($C$25*$T22,$C$26*$U22,$C$27*$V22),($C$28*365.25/12))</f>
        <v>419.02807766122049</v>
      </c>
      <c r="E33" s="103">
        <f>SUM(SUM($D$22*$Q22,$D$23*$R22,$D$24*$S22),($D$28*365.25/12))</f>
        <v>463.04789082986565</v>
      </c>
      <c r="F33" s="103">
        <f>SUM(SUM($D$25*$T22,$D$26*$U22,$D$27*$V22),($D$28*365.25/12))</f>
        <v>392.27374674339171</v>
      </c>
      <c r="G33" s="103">
        <f>SUM(SUM($E$22*$Q22,$E$23*$R22,$E$24*$S22),($E$28*365.25/12))</f>
        <v>464.96326260832973</v>
      </c>
      <c r="H33" s="103">
        <f>SUM(SUM($E$25*$T22,$E$26*$U22,$E$27*$V22),($E$28*365.25/12))</f>
        <v>394.05141173071252</v>
      </c>
      <c r="I33"/>
      <c r="J33"/>
      <c r="M33" s="103"/>
      <c r="N33" s="103"/>
      <c r="O33" s="103"/>
      <c r="P33" s="103"/>
      <c r="Q33" s="103"/>
      <c r="R33" s="103"/>
      <c r="S33" s="103"/>
      <c r="T33" s="103"/>
      <c r="W33" s="61" t="s">
        <v>298</v>
      </c>
      <c r="X33" s="61" t="s">
        <v>454</v>
      </c>
      <c r="Y33" s="61">
        <f>'Bill Impact (B-1)'!Y33</f>
        <v>2024</v>
      </c>
      <c r="Z33" s="61">
        <f>'Bill Impact (B-1)'!Z33</f>
        <v>2025</v>
      </c>
      <c r="AA33" s="61">
        <f>'Bill Impact (B-1)'!AA33</f>
        <v>2026</v>
      </c>
      <c r="AB33" s="61">
        <f>'Bill Impact (B-1)'!AB33</f>
        <v>2027</v>
      </c>
    </row>
    <row r="34" spans="2:28" ht="15.75">
      <c r="B34" s="61" t="s">
        <v>441</v>
      </c>
      <c r="C34" s="103">
        <f>SUM(SUM($C$22*$Q23,$C$23*$R23,$C$24*$S23),($C$28*365.25/12))</f>
        <v>637.96848025260783</v>
      </c>
      <c r="D34" s="103">
        <f>SUM(SUM($C$25*$T23,$C$26*$U23,$C$27*$V23),($C$28*365.25/12))</f>
        <v>475.29470278188808</v>
      </c>
      <c r="E34" s="103">
        <f>SUM(SUM($D$22*$Q23,$D$23*$R23,$D$24*$S23),($D$28*365.25/12))</f>
        <v>600.38590526340317</v>
      </c>
      <c r="F34" s="103">
        <f>SUM(SUM($D$25*$T23,$D$26*$U23,$D$27*$V23),($D$28*365.25/12))</f>
        <v>444.79207533509287</v>
      </c>
      <c r="G34" s="103">
        <f>SUM(SUM($E$22*$Q23,$E$23*$R23,$E$24*$S23),($E$28*365.25/12))</f>
        <v>602.8831164427811</v>
      </c>
      <c r="H34" s="103">
        <f>SUM(SUM($E$25*$T23,$E$26*$U23,$E$27*$V23),($E$28*365.25/12))</f>
        <v>446.81876589069611</v>
      </c>
      <c r="I34"/>
      <c r="J34"/>
      <c r="M34" s="103"/>
      <c r="N34" s="103"/>
      <c r="O34" s="103"/>
      <c r="P34" s="103"/>
      <c r="Q34" s="103"/>
      <c r="R34" s="103"/>
      <c r="S34" s="103"/>
      <c r="T34" s="103"/>
      <c r="V34" s="63" t="s">
        <v>154</v>
      </c>
      <c r="W34" s="63" t="s">
        <v>445</v>
      </c>
      <c r="X34" s="63" t="s">
        <v>445</v>
      </c>
      <c r="Y34" s="133">
        <v>226712.61674835999</v>
      </c>
      <c r="Z34" s="133">
        <f>Y34</f>
        <v>226712.61674835999</v>
      </c>
      <c r="AA34" s="133">
        <f>$Z34</f>
        <v>226712.61674835999</v>
      </c>
      <c r="AB34" s="133">
        <f>$Z34</f>
        <v>226712.61674835999</v>
      </c>
    </row>
    <row r="35" spans="2:28" ht="15.75">
      <c r="B35" s="61" t="s">
        <v>439</v>
      </c>
      <c r="C35" s="103">
        <f>SUM(SUM($C$22*$Q24,$C$23*$R24,$C$24*$S24),($C$28*365.25/12))</f>
        <v>1626.6053263889487</v>
      </c>
      <c r="D35" s="103">
        <f>SUM(SUM($C$25*$T24,$C$26*$U24,$C$27*$V24),($C$28*365.25/12))</f>
        <v>1178.1538422797087</v>
      </c>
      <c r="E35" s="103">
        <f>SUM(SUM($D$22*$Q24,$D$23*$R24,$D$24*$S24),($D$28*365.25/12))</f>
        <v>1530.6646665596409</v>
      </c>
      <c r="F35" s="103">
        <f>SUM(SUM($D$25*$T24,$D$26*$U24,$D$27*$V24),($D$28*365.25/12))</f>
        <v>1101.8462663413477</v>
      </c>
      <c r="G35" s="103">
        <f>SUM(SUM($E$22*$Q24,$E$23*$R24,$E$24*$S24),($E$28*365.25/12))</f>
        <v>1537.0395381151814</v>
      </c>
      <c r="H35" s="103">
        <f>SUM(SUM($E$25*$T24,$E$26*$U24,$E$27*$V24),($E$28*365.25/12))</f>
        <v>1106.9164156834759</v>
      </c>
      <c r="I35"/>
      <c r="J35"/>
      <c r="M35" s="103"/>
      <c r="N35" s="103"/>
      <c r="O35" s="103"/>
      <c r="P35" s="103"/>
      <c r="Q35" s="103"/>
      <c r="R35" s="103"/>
      <c r="S35" s="103"/>
      <c r="T35" s="103"/>
      <c r="V35" s="63" t="s">
        <v>154</v>
      </c>
      <c r="W35" s="63" t="s">
        <v>457</v>
      </c>
      <c r="X35" s="63" t="s">
        <v>457</v>
      </c>
      <c r="Y35" s="133">
        <v>162948.698059135</v>
      </c>
      <c r="Z35" s="133">
        <f t="shared" ref="Z35:Z41" si="5">Y35</f>
        <v>162948.698059135</v>
      </c>
      <c r="AA35" s="133">
        <f t="shared" ref="AA35:AB39" si="6">$Z35</f>
        <v>162948.698059135</v>
      </c>
      <c r="AB35" s="133">
        <f t="shared" si="6"/>
        <v>162948.698059135</v>
      </c>
    </row>
    <row r="36" spans="2:28" ht="15.75">
      <c r="C36" s="103"/>
      <c r="D36" s="103"/>
      <c r="E36" s="103"/>
      <c r="F36" s="103"/>
      <c r="G36" s="103"/>
      <c r="H36" s="103"/>
      <c r="I36" s="103"/>
      <c r="J36" s="103"/>
      <c r="M36" s="103"/>
      <c r="N36" s="103"/>
      <c r="O36" s="103"/>
      <c r="P36" s="103"/>
      <c r="Q36" s="103"/>
      <c r="R36" s="103"/>
      <c r="S36" s="103"/>
      <c r="T36" s="103"/>
      <c r="V36" s="63" t="s">
        <v>154</v>
      </c>
      <c r="W36" s="63" t="s">
        <v>458</v>
      </c>
      <c r="X36" s="63" t="s">
        <v>458</v>
      </c>
      <c r="Y36" s="133">
        <v>522831.37509535201</v>
      </c>
      <c r="Z36" s="133">
        <f t="shared" si="5"/>
        <v>522831.37509535201</v>
      </c>
      <c r="AA36" s="133">
        <f t="shared" si="6"/>
        <v>522831.37509535201</v>
      </c>
      <c r="AB36" s="133">
        <f t="shared" si="6"/>
        <v>522831.37509535201</v>
      </c>
    </row>
    <row r="37" spans="2:28" ht="15.75">
      <c r="C37" s="103"/>
      <c r="D37" s="103"/>
      <c r="E37" s="103"/>
      <c r="F37" s="103"/>
      <c r="G37" s="243"/>
      <c r="H37" s="243"/>
      <c r="I37" s="103"/>
      <c r="J37" s="103"/>
      <c r="M37" s="103"/>
      <c r="N37" s="103"/>
      <c r="O37" s="103"/>
      <c r="P37" s="103"/>
      <c r="Q37" s="103"/>
      <c r="R37" s="103"/>
      <c r="S37" s="103"/>
      <c r="T37" s="103"/>
      <c r="V37" s="63" t="s">
        <v>155</v>
      </c>
      <c r="W37" s="63" t="s">
        <v>445</v>
      </c>
      <c r="X37" s="63" t="s">
        <v>457</v>
      </c>
      <c r="Y37" s="133">
        <v>322300.89314751595</v>
      </c>
      <c r="Z37" s="133">
        <f t="shared" si="5"/>
        <v>322300.89314751595</v>
      </c>
      <c r="AA37" s="133">
        <f t="shared" si="6"/>
        <v>322300.89314751595</v>
      </c>
      <c r="AB37" s="133">
        <f t="shared" si="6"/>
        <v>322300.89314751595</v>
      </c>
    </row>
    <row r="38" spans="2:28" ht="15" customHeight="1">
      <c r="C38" s="103"/>
      <c r="D38" s="103"/>
      <c r="E38" s="103"/>
      <c r="F38" s="103"/>
      <c r="G38" s="243"/>
      <c r="H38" s="243"/>
      <c r="I38" s="103"/>
      <c r="J38" s="103"/>
      <c r="M38" s="103"/>
      <c r="N38" s="103"/>
      <c r="O38" s="103"/>
      <c r="P38" s="103"/>
      <c r="Q38" s="103"/>
      <c r="R38" s="103"/>
      <c r="S38" s="103"/>
      <c r="T38" s="103"/>
      <c r="V38" s="63" t="s">
        <v>155</v>
      </c>
      <c r="W38" s="63" t="s">
        <v>458</v>
      </c>
      <c r="X38" s="63" t="s">
        <v>458</v>
      </c>
      <c r="Y38" s="133">
        <v>957339.48353919166</v>
      </c>
      <c r="Z38" s="133">
        <f t="shared" si="5"/>
        <v>957339.48353919166</v>
      </c>
      <c r="AA38" s="133">
        <f t="shared" si="6"/>
        <v>957339.48353919166</v>
      </c>
      <c r="AB38" s="133">
        <f t="shared" si="6"/>
        <v>957339.48353919166</v>
      </c>
    </row>
    <row r="39" spans="2:28" ht="15" customHeight="1">
      <c r="C39" s="103"/>
      <c r="D39" s="103"/>
      <c r="E39" s="103"/>
      <c r="F39" s="103"/>
      <c r="G39" s="243"/>
      <c r="H39" s="243"/>
      <c r="I39" s="103"/>
      <c r="J39" s="103"/>
      <c r="M39" s="103"/>
      <c r="N39" s="103"/>
      <c r="O39" s="103"/>
      <c r="P39" s="103"/>
      <c r="Q39" s="103"/>
      <c r="R39" s="103"/>
      <c r="S39" s="103"/>
      <c r="T39" s="103"/>
      <c r="V39" s="63" t="s">
        <v>155</v>
      </c>
      <c r="W39" s="63" t="s">
        <v>459</v>
      </c>
      <c r="X39" s="63" t="s">
        <v>460</v>
      </c>
      <c r="Y39" s="133">
        <v>135593.18471407695</v>
      </c>
      <c r="Z39" s="133">
        <f t="shared" si="5"/>
        <v>135593.18471407695</v>
      </c>
      <c r="AA39" s="133">
        <f t="shared" si="6"/>
        <v>135593.18471407695</v>
      </c>
      <c r="AB39" s="133">
        <f t="shared" si="6"/>
        <v>135593.18471407695</v>
      </c>
    </row>
    <row r="40" spans="2:28" ht="15" customHeight="1">
      <c r="C40" s="103"/>
      <c r="D40" s="103"/>
      <c r="E40" s="103"/>
      <c r="F40" s="103"/>
      <c r="G40" s="103"/>
      <c r="H40" s="103"/>
      <c r="I40" s="103"/>
      <c r="J40" s="103"/>
      <c r="M40" s="103"/>
      <c r="N40" s="103"/>
      <c r="O40" s="103"/>
      <c r="P40" s="103"/>
      <c r="Q40" s="103"/>
      <c r="R40" s="103"/>
      <c r="S40" s="103"/>
      <c r="T40" s="103"/>
      <c r="Y40" s="61">
        <v>0</v>
      </c>
    </row>
    <row r="41" spans="2:28" ht="15.75">
      <c r="V41" s="61" t="s">
        <v>536</v>
      </c>
      <c r="W41" s="61" t="s">
        <v>461</v>
      </c>
      <c r="Y41" s="133">
        <v>1033.6407824200001</v>
      </c>
      <c r="Z41" s="133">
        <f t="shared" si="5"/>
        <v>1033.6407824200001</v>
      </c>
      <c r="AA41" s="133">
        <f>$Z41</f>
        <v>1033.6407824200001</v>
      </c>
      <c r="AB41" s="133">
        <f>$Z41</f>
        <v>1033.6407824200001</v>
      </c>
    </row>
  </sheetData>
  <mergeCells count="11">
    <mergeCell ref="Q20:S20"/>
    <mergeCell ref="T20:V20"/>
    <mergeCell ref="AC20:AD20"/>
    <mergeCell ref="Y21:Z21"/>
    <mergeCell ref="AA21:AB21"/>
    <mergeCell ref="C30:J30"/>
    <mergeCell ref="C31:D31"/>
    <mergeCell ref="E31:F31"/>
    <mergeCell ref="G31:H31"/>
    <mergeCell ref="B2:D2"/>
    <mergeCell ref="E3:K3"/>
  </mergeCells>
  <pageMargins left="0.7" right="0.7" top="0.75" bottom="0.75" header="0.3" footer="0.3"/>
  <pageSetup orientation="portrait" r:id="rId1"/>
  <headerFooter>
    <oddFooter xml:space="preserve">&amp;C_x000D_&amp;1#&amp;"Calibri"&amp;12&amp;K000000 Public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39238-0B17-47C6-B664-48FB6ACB1FA6}">
  <sheetPr>
    <tabColor rgb="FF92D050"/>
  </sheetPr>
  <dimension ref="B1:AB83"/>
  <sheetViews>
    <sheetView zoomScale="70" zoomScaleNormal="70" workbookViewId="0">
      <selection activeCell="C4" sqref="C4:C17"/>
    </sheetView>
  </sheetViews>
  <sheetFormatPr defaultColWidth="8.85546875" defaultRowHeight="15"/>
  <cols>
    <col min="1" max="1" width="3.5703125" style="61" customWidth="1"/>
    <col min="2" max="3" width="19.42578125" style="61" customWidth="1"/>
    <col min="4" max="4" width="10.5703125" style="61" customWidth="1"/>
    <col min="5" max="5" width="20.85546875" style="61" customWidth="1"/>
    <col min="6" max="6" width="13.5703125" style="61" customWidth="1"/>
    <col min="7" max="7" width="14.140625" style="61" customWidth="1"/>
    <col min="8" max="8" width="16" style="61" customWidth="1"/>
    <col min="9" max="9" width="15.140625" style="61" customWidth="1"/>
    <col min="10" max="10" width="15.42578125" style="61" bestFit="1" customWidth="1"/>
    <col min="11" max="13" width="15.42578125" style="61" customWidth="1"/>
    <col min="14" max="14" width="13" style="61" customWidth="1"/>
    <col min="15" max="15" width="15.5703125" style="61" customWidth="1"/>
    <col min="16" max="16" width="13" style="61" customWidth="1"/>
    <col min="17" max="18" width="14" style="61" customWidth="1"/>
    <col min="19" max="19" width="21.5703125" style="61" customWidth="1"/>
    <col min="20" max="20" width="15" style="61" customWidth="1"/>
    <col min="21" max="21" width="14.28515625" style="61" customWidth="1"/>
    <col min="22" max="22" width="15.85546875" style="61" bestFit="1" customWidth="1"/>
    <col min="23" max="26" width="20.140625" style="61" bestFit="1" customWidth="1"/>
    <col min="27" max="27" width="10.28515625" style="61" customWidth="1"/>
    <col min="28" max="28" width="16.7109375" style="61" customWidth="1"/>
    <col min="29" max="29" width="16.42578125" style="61" customWidth="1"/>
    <col min="30" max="30" width="12.85546875" style="61" bestFit="1" customWidth="1"/>
    <col min="31" max="31" width="16.28515625" style="61" customWidth="1"/>
    <col min="32" max="32" width="14.7109375" style="61" customWidth="1"/>
    <col min="33" max="16384" width="8.85546875" style="61"/>
  </cols>
  <sheetData>
    <row r="1" spans="2:25" ht="53.85" customHeight="1"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</row>
    <row r="2" spans="2:25" ht="15.75">
      <c r="B2" s="105"/>
      <c r="C2" s="388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</row>
    <row r="3" spans="2:25">
      <c r="B3" s="15"/>
      <c r="C3" s="84" t="s">
        <v>203</v>
      </c>
      <c r="P3" s="330"/>
      <c r="Q3" s="330"/>
      <c r="R3" s="330"/>
      <c r="S3" s="330"/>
      <c r="T3" s="330"/>
      <c r="U3" s="330"/>
      <c r="V3" s="330"/>
      <c r="W3" s="330"/>
    </row>
    <row r="4" spans="2:25" ht="15.75">
      <c r="B4" s="78" t="s">
        <v>4</v>
      </c>
      <c r="C4" s="16">
        <f>'Hypothetical Summary'!D7</f>
        <v>0</v>
      </c>
      <c r="F4" s="430" t="s">
        <v>184</v>
      </c>
      <c r="G4" s="430"/>
      <c r="H4" s="430"/>
      <c r="I4" s="430"/>
      <c r="J4" s="430"/>
      <c r="K4" s="430"/>
      <c r="L4" s="430"/>
      <c r="M4" s="430"/>
      <c r="N4" s="430"/>
      <c r="O4" s="430"/>
      <c r="Q4" s="389"/>
      <c r="R4" s="57"/>
      <c r="S4" s="57"/>
      <c r="T4" s="57"/>
      <c r="U4" s="57"/>
      <c r="V4" s="57"/>
      <c r="W4" s="57"/>
      <c r="X4" s="57"/>
      <c r="Y4" s="57"/>
    </row>
    <row r="5" spans="2:25" ht="15.75">
      <c r="B5" s="78" t="s">
        <v>15</v>
      </c>
      <c r="C5" s="16">
        <f>'Hypothetical Summary'!D8</f>
        <v>0</v>
      </c>
      <c r="E5" s="18"/>
      <c r="F5" s="19" t="s">
        <v>4</v>
      </c>
      <c r="G5" s="19" t="s">
        <v>6</v>
      </c>
      <c r="H5" s="19" t="s">
        <v>17</v>
      </c>
      <c r="I5" s="19" t="s">
        <v>185</v>
      </c>
      <c r="J5" s="19" t="s">
        <v>15</v>
      </c>
      <c r="K5" s="19" t="s">
        <v>11</v>
      </c>
      <c r="L5" s="19" t="s">
        <v>69</v>
      </c>
      <c r="M5" s="19" t="s">
        <v>138</v>
      </c>
      <c r="N5" s="19" t="s">
        <v>145</v>
      </c>
      <c r="O5" s="19" t="s">
        <v>186</v>
      </c>
      <c r="P5" s="331" t="s">
        <v>25</v>
      </c>
      <c r="Q5" s="19" t="s">
        <v>297</v>
      </c>
      <c r="R5" s="331" t="s">
        <v>219</v>
      </c>
      <c r="S5" s="390" t="s">
        <v>328</v>
      </c>
    </row>
    <row r="6" spans="2:25" ht="15.75">
      <c r="B6" s="78" t="s">
        <v>6</v>
      </c>
      <c r="C6" s="16">
        <f>'Hypothetical Summary'!D9</f>
        <v>100000</v>
      </c>
      <c r="E6" s="18" t="s">
        <v>454</v>
      </c>
      <c r="F6" s="126">
        <f>'SAR and AR (B-1)'!G35</f>
        <v>8.0026900061404685E-2</v>
      </c>
      <c r="G6" s="126">
        <f>'SAR and AR (B-1)'!H35</f>
        <v>0.11703557207964155</v>
      </c>
      <c r="H6" s="126">
        <f>'SAR and AR (B-1)'!I35</f>
        <v>7.9772721601086574E-2</v>
      </c>
      <c r="I6" s="126">
        <f>'SAR and AR (B-1)'!J35</f>
        <v>8.9478079665369817E-2</v>
      </c>
      <c r="J6" s="126">
        <f>'SAR and AR (B-1)'!K35</f>
        <v>7.7249774469423049E-2</v>
      </c>
      <c r="K6" s="126">
        <f>'SAR and AR (B-1)'!L35</f>
        <v>7.5847606010290752E-2</v>
      </c>
      <c r="L6" s="126">
        <f>'SAR and AR (B-1)'!M35</f>
        <v>8.2198432787364203E-2</v>
      </c>
      <c r="M6" s="126">
        <f>'SAR and AR (B-1)'!N35</f>
        <v>8.1519430695566733E-2</v>
      </c>
      <c r="N6" s="126">
        <f>'SAR and AR (B-1)'!O35</f>
        <v>8.2131646639272707E-2</v>
      </c>
      <c r="O6" s="126">
        <f>'SAR and AR (B-1)'!P35</f>
        <v>5.9032404279706616E-2</v>
      </c>
      <c r="P6" s="126">
        <f>'SAR and AR (B-1)'!Q35</f>
        <v>9.1733663004078703E-2</v>
      </c>
      <c r="Q6" s="126">
        <f>'SAR and AR (B-1)'!R35</f>
        <v>0.11210946545562957</v>
      </c>
      <c r="R6" s="126">
        <f>'SAR and AR (B-1)'!S35</f>
        <v>9.0447532358110705E-2</v>
      </c>
      <c r="S6" s="126">
        <f>'SAR and AR (B-1)'!T35</f>
        <v>0.10037328408409135</v>
      </c>
    </row>
    <row r="7" spans="2:25" ht="15.75">
      <c r="B7" s="78" t="s">
        <v>140</v>
      </c>
      <c r="C7" s="16">
        <f>'Hypothetical Summary'!D10</f>
        <v>0</v>
      </c>
      <c r="E7" s="18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</row>
    <row r="8" spans="2:25" ht="15.75">
      <c r="B8" s="78" t="s">
        <v>69</v>
      </c>
      <c r="C8" s="16">
        <f>'Hypothetical Summary'!D11</f>
        <v>0</v>
      </c>
      <c r="E8" s="36"/>
      <c r="F8" s="430" t="s">
        <v>187</v>
      </c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</row>
    <row r="9" spans="2:25" ht="15.6" customHeight="1">
      <c r="B9" s="78" t="s">
        <v>17</v>
      </c>
      <c r="C9" s="16">
        <f>'Hypothetical Summary'!D12</f>
        <v>0</v>
      </c>
      <c r="E9" s="106"/>
      <c r="F9" s="19" t="s">
        <v>4</v>
      </c>
      <c r="G9" s="19" t="s">
        <v>6</v>
      </c>
      <c r="H9" s="19" t="s">
        <v>17</v>
      </c>
      <c r="I9" s="19" t="s">
        <v>16</v>
      </c>
      <c r="J9" s="19" t="s">
        <v>15</v>
      </c>
      <c r="K9" s="19" t="s">
        <v>11</v>
      </c>
      <c r="L9" s="19" t="s">
        <v>69</v>
      </c>
      <c r="M9" s="19" t="s">
        <v>138</v>
      </c>
      <c r="N9" s="19" t="s">
        <v>145</v>
      </c>
      <c r="O9" s="19" t="s">
        <v>140</v>
      </c>
      <c r="P9" s="19" t="s">
        <v>18</v>
      </c>
      <c r="Q9" s="19" t="s">
        <v>297</v>
      </c>
      <c r="R9" s="331" t="s">
        <v>219</v>
      </c>
      <c r="S9" s="390" t="s">
        <v>328</v>
      </c>
      <c r="T9" s="19" t="s">
        <v>143</v>
      </c>
    </row>
    <row r="10" spans="2:25" ht="15.75">
      <c r="B10" s="78" t="s">
        <v>16</v>
      </c>
      <c r="C10" s="16">
        <f>'Hypothetical Summary'!D13</f>
        <v>0</v>
      </c>
      <c r="E10" s="18" t="s">
        <v>454</v>
      </c>
      <c r="F10" s="333">
        <f t="shared" ref="F10:P10" si="0">F6*F11</f>
        <v>0</v>
      </c>
      <c r="G10" s="333">
        <f t="shared" si="0"/>
        <v>11703.557207964155</v>
      </c>
      <c r="H10" s="333">
        <f t="shared" si="0"/>
        <v>0</v>
      </c>
      <c r="I10" s="333">
        <f t="shared" si="0"/>
        <v>0</v>
      </c>
      <c r="J10" s="333">
        <f t="shared" si="0"/>
        <v>0</v>
      </c>
      <c r="K10" s="333">
        <f t="shared" si="0"/>
        <v>0</v>
      </c>
      <c r="L10" s="333">
        <f t="shared" si="0"/>
        <v>0</v>
      </c>
      <c r="M10" s="333">
        <f t="shared" si="0"/>
        <v>0</v>
      </c>
      <c r="N10" s="333">
        <f t="shared" si="0"/>
        <v>0</v>
      </c>
      <c r="O10" s="333">
        <f t="shared" si="0"/>
        <v>0</v>
      </c>
      <c r="P10" s="333">
        <f t="shared" si="0"/>
        <v>0</v>
      </c>
      <c r="Q10" s="333">
        <f>Q6*Q11</f>
        <v>0</v>
      </c>
      <c r="R10" s="333">
        <f>R6*R11</f>
        <v>0</v>
      </c>
      <c r="S10" s="333">
        <f>S6*S11</f>
        <v>0</v>
      </c>
      <c r="T10" s="333">
        <f>SUM(F10:S10)</f>
        <v>11703.557207964155</v>
      </c>
    </row>
    <row r="11" spans="2:25" ht="15.75">
      <c r="B11" s="78" t="s">
        <v>18</v>
      </c>
      <c r="C11" s="16">
        <f>'Hypothetical Summary'!D14</f>
        <v>0</v>
      </c>
      <c r="E11" s="18" t="s">
        <v>24</v>
      </c>
      <c r="F11" s="107">
        <f>VLOOKUP(F9,$B$4:$C$17,2,FALSE)</f>
        <v>0</v>
      </c>
      <c r="G11" s="107">
        <f t="shared" ref="G11:S11" si="1">VLOOKUP(G9,$B$4:$C$17,2,FALSE)</f>
        <v>100000</v>
      </c>
      <c r="H11" s="107">
        <f t="shared" si="1"/>
        <v>0</v>
      </c>
      <c r="I11" s="107">
        <f t="shared" si="1"/>
        <v>0</v>
      </c>
      <c r="J11" s="107">
        <f t="shared" si="1"/>
        <v>0</v>
      </c>
      <c r="K11" s="107">
        <f t="shared" si="1"/>
        <v>0</v>
      </c>
      <c r="L11" s="107">
        <f t="shared" si="1"/>
        <v>0</v>
      </c>
      <c r="M11" s="107">
        <f t="shared" si="1"/>
        <v>0</v>
      </c>
      <c r="N11" s="107">
        <f t="shared" si="1"/>
        <v>0</v>
      </c>
      <c r="O11" s="107">
        <f t="shared" si="1"/>
        <v>0</v>
      </c>
      <c r="P11" s="107">
        <f t="shared" si="1"/>
        <v>0</v>
      </c>
      <c r="Q11" s="107">
        <f t="shared" si="1"/>
        <v>0</v>
      </c>
      <c r="R11" s="107">
        <f t="shared" si="1"/>
        <v>0</v>
      </c>
      <c r="S11" s="107">
        <f t="shared" si="1"/>
        <v>0</v>
      </c>
      <c r="T11" s="107">
        <f>SUM(F11:S11)</f>
        <v>100000</v>
      </c>
    </row>
    <row r="12" spans="2:25" ht="15.75">
      <c r="B12" s="78" t="s">
        <v>138</v>
      </c>
      <c r="C12" s="16">
        <f>'Hypothetical Summary'!D15</f>
        <v>0</v>
      </c>
      <c r="E12" s="106"/>
    </row>
    <row r="13" spans="2:25" ht="15.6" customHeight="1">
      <c r="B13" s="78" t="s">
        <v>11</v>
      </c>
      <c r="C13" s="16">
        <f>'Hypothetical Summary'!D16</f>
        <v>0</v>
      </c>
      <c r="E13" s="18"/>
      <c r="F13" s="333"/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</row>
    <row r="14" spans="2:25" ht="15.6" customHeight="1">
      <c r="B14" s="78" t="s">
        <v>145</v>
      </c>
      <c r="C14" s="16">
        <f>'Hypothetical Summary'!D17</f>
        <v>0</v>
      </c>
      <c r="E14" s="18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20"/>
      <c r="S14" s="120"/>
    </row>
    <row r="15" spans="2:25" ht="15.75">
      <c r="B15" s="78" t="s">
        <v>219</v>
      </c>
      <c r="C15" s="16">
        <f>'Hypothetical Summary'!D18</f>
        <v>0</v>
      </c>
      <c r="E15" s="268"/>
      <c r="F15" s="17"/>
      <c r="G15" s="17"/>
      <c r="H15" s="17"/>
      <c r="I15" s="36"/>
      <c r="V15" s="18"/>
      <c r="W15" s="335"/>
      <c r="X15" s="335"/>
    </row>
    <row r="16" spans="2:25" ht="15.75">
      <c r="B16" s="78" t="s">
        <v>297</v>
      </c>
      <c r="C16" s="16">
        <f>'Hypothetical Summary'!D19</f>
        <v>0</v>
      </c>
      <c r="T16" s="466"/>
      <c r="U16" s="435"/>
      <c r="V16" s="391"/>
      <c r="X16" s="149" t="s">
        <v>244</v>
      </c>
      <c r="Y16" s="150">
        <v>0.29453565265106463</v>
      </c>
    </row>
    <row r="17" spans="2:28" ht="15.75">
      <c r="B17" s="61" t="s">
        <v>328</v>
      </c>
      <c r="C17" s="108">
        <f>'Hypothetical Summary'!D20</f>
        <v>0</v>
      </c>
      <c r="T17" s="336"/>
      <c r="U17" s="337"/>
      <c r="V17" s="391"/>
      <c r="X17" s="149"/>
      <c r="Y17" s="150"/>
    </row>
    <row r="18" spans="2:28" ht="15.75">
      <c r="B18" s="78" t="s">
        <v>143</v>
      </c>
      <c r="C18" s="121">
        <f>SUM(C4:C17)</f>
        <v>100000</v>
      </c>
      <c r="E18" s="36"/>
      <c r="F18" s="439" t="s">
        <v>188</v>
      </c>
      <c r="G18" s="439"/>
      <c r="H18" s="439"/>
      <c r="I18" s="439"/>
      <c r="J18" s="439"/>
      <c r="K18" s="439"/>
      <c r="L18" s="439"/>
      <c r="M18" s="439"/>
      <c r="N18" s="439"/>
      <c r="O18" s="439"/>
      <c r="P18" s="439"/>
      <c r="Q18" s="43"/>
      <c r="T18" s="432" t="s">
        <v>189</v>
      </c>
      <c r="U18" s="433"/>
      <c r="V18" s="391"/>
      <c r="X18" s="149" t="s">
        <v>245</v>
      </c>
      <c r="Y18" s="150">
        <v>0.29330342694883099</v>
      </c>
    </row>
    <row r="19" spans="2:28" ht="15.75">
      <c r="B19" s="20"/>
      <c r="C19" s="16"/>
      <c r="D19" s="36"/>
      <c r="F19" s="331" t="s">
        <v>4</v>
      </c>
      <c r="G19" s="19" t="s">
        <v>6</v>
      </c>
      <c r="H19" s="19" t="s">
        <v>17</v>
      </c>
      <c r="I19" s="19" t="s">
        <v>185</v>
      </c>
      <c r="J19" s="19" t="s">
        <v>15</v>
      </c>
      <c r="K19" s="19" t="s">
        <v>11</v>
      </c>
      <c r="L19" s="19" t="s">
        <v>69</v>
      </c>
      <c r="M19" s="19" t="s">
        <v>138</v>
      </c>
      <c r="N19" s="19" t="s">
        <v>145</v>
      </c>
      <c r="O19" s="19" t="s">
        <v>186</v>
      </c>
      <c r="P19" s="19" t="s">
        <v>25</v>
      </c>
      <c r="Q19" s="19" t="s">
        <v>297</v>
      </c>
      <c r="R19" s="331" t="s">
        <v>219</v>
      </c>
      <c r="S19" s="390" t="s">
        <v>328</v>
      </c>
      <c r="T19" s="392" t="s">
        <v>143</v>
      </c>
      <c r="U19" s="83" t="s">
        <v>190</v>
      </c>
      <c r="V19" s="391"/>
      <c r="X19" s="149" t="s">
        <v>204</v>
      </c>
      <c r="Y19" s="107">
        <f>'Hypothetical SAR and RAR'!Y19</f>
        <v>3544.51639738331</v>
      </c>
    </row>
    <row r="20" spans="2:28" ht="15.75">
      <c r="B20" s="20"/>
      <c r="C20" s="16"/>
      <c r="E20" s="18" t="s">
        <v>454</v>
      </c>
      <c r="F20" s="126">
        <v>1</v>
      </c>
      <c r="G20" s="126">
        <f>$E29/$O29</f>
        <v>0.36368985728319209</v>
      </c>
      <c r="H20" s="126">
        <f t="shared" ref="H20:S21" si="2">$E29/$O29</f>
        <v>0.36368985728319209</v>
      </c>
      <c r="I20" s="126">
        <f t="shared" si="2"/>
        <v>0.36368985728319209</v>
      </c>
      <c r="J20" s="126">
        <f t="shared" si="2"/>
        <v>0.36368985728319209</v>
      </c>
      <c r="K20" s="126">
        <f t="shared" si="2"/>
        <v>0.36368985728319209</v>
      </c>
      <c r="L20" s="126">
        <f t="shared" si="2"/>
        <v>0.36368985728319209</v>
      </c>
      <c r="M20" s="126">
        <f t="shared" si="2"/>
        <v>0.36368985728319209</v>
      </c>
      <c r="N20" s="126">
        <f t="shared" si="2"/>
        <v>0.36368985728319209</v>
      </c>
      <c r="O20" s="126">
        <f t="shared" si="2"/>
        <v>0.36368985728319209</v>
      </c>
      <c r="P20" s="126">
        <f t="shared" si="2"/>
        <v>0.36368985728319209</v>
      </c>
      <c r="Q20" s="126">
        <f t="shared" si="2"/>
        <v>0.36368985728319209</v>
      </c>
      <c r="R20" s="126">
        <f t="shared" si="2"/>
        <v>0.36368985728319209</v>
      </c>
      <c r="S20" s="126">
        <f t="shared" si="2"/>
        <v>0.36368985728319209</v>
      </c>
      <c r="T20" s="151">
        <f>SUMPRODUCT(F10:S10,F20:S20)</f>
        <v>4256.4650506701573</v>
      </c>
      <c r="U20" s="110">
        <f>T20+Y22*G20</f>
        <v>4256.4650506701573</v>
      </c>
      <c r="V20" s="151"/>
      <c r="X20" s="149" t="s">
        <v>242</v>
      </c>
      <c r="Y20" s="214">
        <v>0</v>
      </c>
    </row>
    <row r="21" spans="2:28" ht="15.75">
      <c r="B21" s="20"/>
      <c r="C21" s="20"/>
      <c r="E21" s="18" t="s">
        <v>24</v>
      </c>
      <c r="F21" s="126">
        <v>1</v>
      </c>
      <c r="G21" s="126">
        <f>$E30/$O30</f>
        <v>0.37463527299719035</v>
      </c>
      <c r="H21" s="126">
        <f t="shared" si="2"/>
        <v>0.37463527299719035</v>
      </c>
      <c r="I21" s="126">
        <f t="shared" si="2"/>
        <v>0.37463527299719035</v>
      </c>
      <c r="J21" s="126">
        <f t="shared" si="2"/>
        <v>0.37463527299719035</v>
      </c>
      <c r="K21" s="126">
        <f t="shared" si="2"/>
        <v>0.37463527299719035</v>
      </c>
      <c r="L21" s="126">
        <f t="shared" si="2"/>
        <v>0.37463527299719035</v>
      </c>
      <c r="M21" s="126">
        <f t="shared" si="2"/>
        <v>0.37463527299719035</v>
      </c>
      <c r="N21" s="126">
        <f t="shared" si="2"/>
        <v>0.37463527299719035</v>
      </c>
      <c r="O21" s="126">
        <f t="shared" si="2"/>
        <v>0.37463527299719035</v>
      </c>
      <c r="P21" s="126">
        <f t="shared" si="2"/>
        <v>0.37463527299719035</v>
      </c>
      <c r="Q21" s="126">
        <f t="shared" si="2"/>
        <v>0.37463527299719035</v>
      </c>
      <c r="R21" s="126">
        <f t="shared" si="2"/>
        <v>0.37463527299719035</v>
      </c>
      <c r="S21" s="126">
        <f t="shared" si="2"/>
        <v>0.37463527299719035</v>
      </c>
      <c r="T21" s="151">
        <f>SUMPRODUCT(F11:S11,F21:S21)</f>
        <v>37463.527299719033</v>
      </c>
      <c r="U21" s="110">
        <f>T21</f>
        <v>37463.527299719033</v>
      </c>
      <c r="V21" s="151"/>
      <c r="X21" s="149" t="s">
        <v>243</v>
      </c>
      <c r="Y21" s="333">
        <v>69915155.684137806</v>
      </c>
      <c r="AA21" s="18"/>
    </row>
    <row r="22" spans="2:28" ht="15.75">
      <c r="B22" s="20"/>
      <c r="C22" s="20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U22" s="18"/>
      <c r="X22" s="149" t="s">
        <v>476</v>
      </c>
      <c r="Y22" s="107">
        <f>Y19*Y20/Y21</f>
        <v>0</v>
      </c>
      <c r="AA22" s="18"/>
    </row>
    <row r="23" spans="2:28" ht="15.75">
      <c r="B23" s="20"/>
      <c r="C23" s="20"/>
      <c r="E23" s="57" t="str">
        <f>"Notes: Allocation and bundled/unbundled split based on "&amp;'Hypothetical Summary'!L4&amp;" sales forecast"</f>
        <v>Notes: Allocation and bundled/unbundled split based on 2024 sales forecast</v>
      </c>
      <c r="R23" s="19"/>
      <c r="S23" s="19"/>
      <c r="T23" s="18"/>
      <c r="Y23" s="343"/>
    </row>
    <row r="24" spans="2:28" ht="15.75">
      <c r="B24" s="20"/>
      <c r="C24" s="20"/>
      <c r="D24" s="18"/>
      <c r="E24" s="18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18"/>
      <c r="R24" s="34"/>
      <c r="S24" s="34"/>
      <c r="T24" s="34"/>
      <c r="U24" s="18"/>
      <c r="V24" s="61" t="s">
        <v>611</v>
      </c>
      <c r="W24" s="120">
        <f>O10*O20</f>
        <v>0</v>
      </c>
      <c r="X24" s="120"/>
      <c r="Y24" s="18"/>
    </row>
    <row r="25" spans="2:28" ht="15.75">
      <c r="B25" s="20"/>
      <c r="C25" s="20"/>
      <c r="D25" s="83"/>
      <c r="E25" s="83"/>
      <c r="F25" s="345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34"/>
      <c r="S25" s="34"/>
      <c r="T25" s="34"/>
      <c r="U25" s="111"/>
      <c r="V25" s="61" t="s">
        <v>612</v>
      </c>
      <c r="W25" s="120">
        <f>O11*O21</f>
        <v>0</v>
      </c>
      <c r="X25" s="344"/>
      <c r="Y25" s="18"/>
    </row>
    <row r="26" spans="2:28" ht="15.75">
      <c r="B26" s="20"/>
      <c r="C26" s="20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112"/>
      <c r="S26" s="112"/>
      <c r="T26" s="34"/>
      <c r="U26" s="111"/>
      <c r="V26" s="113"/>
      <c r="X26" s="18"/>
      <c r="Y26" s="18"/>
    </row>
    <row r="27" spans="2:28" ht="15.75">
      <c r="B27" s="20"/>
      <c r="C27" s="20"/>
      <c r="D27" s="18"/>
      <c r="E27" s="441" t="s">
        <v>26</v>
      </c>
      <c r="F27" s="442"/>
      <c r="G27" s="442"/>
      <c r="H27" s="443"/>
      <c r="I27" s="83"/>
      <c r="J27" s="83"/>
      <c r="N27" s="18"/>
      <c r="O27" s="441" t="s">
        <v>28</v>
      </c>
      <c r="P27" s="442"/>
      <c r="Q27" s="442"/>
      <c r="R27" s="443"/>
      <c r="S27" s="83"/>
      <c r="T27" s="34"/>
      <c r="U27" s="111"/>
      <c r="V27" s="114"/>
      <c r="Z27" s="18"/>
      <c r="AA27" s="18"/>
    </row>
    <row r="28" spans="2:28" ht="31.5">
      <c r="B28" s="20"/>
      <c r="C28" s="20"/>
      <c r="D28" s="18"/>
      <c r="E28" s="19" t="str">
        <f>'Hypothetical Summary'!L4&amp;" Sales"</f>
        <v>2024 Sales</v>
      </c>
      <c r="F28" s="19" t="str">
        <f>TEXT(Summary!L3,"mm/dd/yyyy")&amp;" Avg Rates"</f>
        <v>09/01/2024 Avg Rates</v>
      </c>
      <c r="G28" s="19" t="s">
        <v>201</v>
      </c>
      <c r="H28" s="19" t="s">
        <v>202</v>
      </c>
      <c r="J28" s="19"/>
      <c r="N28" s="18"/>
      <c r="O28" s="19" t="str">
        <f>'Hypothetical Summary'!L4&amp;" Sales"</f>
        <v>2024 Sales</v>
      </c>
      <c r="P28" s="19" t="str">
        <f>F28</f>
        <v>09/01/2024 Avg Rates</v>
      </c>
      <c r="Q28" s="19" t="s">
        <v>201</v>
      </c>
      <c r="R28" s="19" t="s">
        <v>202</v>
      </c>
      <c r="S28" s="19"/>
      <c r="T28" s="34"/>
      <c r="U28" s="111"/>
      <c r="V28" s="114"/>
      <c r="Z28" s="18"/>
      <c r="AA28" s="18"/>
    </row>
    <row r="29" spans="2:28" ht="47.25">
      <c r="B29" s="20"/>
      <c r="C29" s="20"/>
      <c r="D29" s="21" t="s">
        <v>454</v>
      </c>
      <c r="E29" s="214">
        <v>2332908.5682227272</v>
      </c>
      <c r="F29" s="345">
        <f>IF('Hypothetical Summary'!D5="Y",X36,Y36)</f>
        <v>41.415357790415229</v>
      </c>
      <c r="G29" s="34">
        <f>IF('Hypothetical Summary'!D5="Y",U20/E29*100+F29,SUM(U20-W24)/$E$29*100+F29)</f>
        <v>41.597810935328354</v>
      </c>
      <c r="H29" s="250">
        <f>G29/F29-1</f>
        <v>4.4054465456133673E-3</v>
      </c>
      <c r="J29" s="250"/>
      <c r="N29" s="21" t="s">
        <v>454</v>
      </c>
      <c r="O29" s="333">
        <v>6414554.9332880517</v>
      </c>
      <c r="P29" s="345">
        <f>IF('Hypothetical Summary'!D5="Y",AA36,AB36)</f>
        <v>32.485730848580296</v>
      </c>
      <c r="Q29" s="34">
        <f>IF('Hypothetical Summary'!D5="Y",T10/O29*100+P29,SUM(T10-O10)/O29*100+P29)</f>
        <v>32.668183993493422</v>
      </c>
      <c r="R29" s="250">
        <f>Q29/P29-1</f>
        <v>5.6164088092571784E-3</v>
      </c>
      <c r="S29" s="250"/>
      <c r="T29" s="250"/>
      <c r="U29" s="250"/>
      <c r="V29" s="114"/>
      <c r="W29" s="365"/>
      <c r="X29" s="366" t="s">
        <v>595</v>
      </c>
      <c r="Y29" s="366" t="s">
        <v>596</v>
      </c>
      <c r="Z29" s="365"/>
      <c r="AA29" s="366" t="s">
        <v>597</v>
      </c>
      <c r="AB29" s="366" t="s">
        <v>598</v>
      </c>
    </row>
    <row r="30" spans="2:28" ht="15.75">
      <c r="D30" s="21" t="s">
        <v>24</v>
      </c>
      <c r="E30" s="214">
        <f>'SAR and RAR'!K55</f>
        <v>29392636.884899609</v>
      </c>
      <c r="F30" s="345">
        <f>IF('Hypothetical Summary'!D5="Y",X37,Y37)</f>
        <v>33.950754071574565</v>
      </c>
      <c r="G30" s="34">
        <f>IF('Hypothetical Summary'!D5="Y",U21/E30*100+F30,SUM(U21-W25)/$E$30*100+F30)</f>
        <v>34.078212956758719</v>
      </c>
      <c r="H30" s="250">
        <f>G30/F30-1</f>
        <v>3.7542284013911686E-3</v>
      </c>
      <c r="J30" s="250"/>
      <c r="N30" s="21" t="s">
        <v>24</v>
      </c>
      <c r="O30" s="333">
        <f>'SAR and RAR'!O55</f>
        <v>78456672.405003473</v>
      </c>
      <c r="P30" s="345">
        <f>IF('Hypothetical Summary'!D5="Y",AA37,AB37)</f>
        <v>24.967536977696753</v>
      </c>
      <c r="Q30" s="34">
        <f>IF('Hypothetical Summary'!D5="Y",T11/O30*100+P30,SUM(T11-O11)/O30*100+P30)</f>
        <v>25.094995862880904</v>
      </c>
      <c r="R30" s="250">
        <f>Q30/P30-1</f>
        <v>5.1049843361805625E-3</v>
      </c>
      <c r="S30" s="250"/>
      <c r="T30" s="250"/>
      <c r="U30" s="250"/>
      <c r="V30" s="115"/>
      <c r="W30" s="367"/>
      <c r="X30" s="368"/>
      <c r="Y30" s="368"/>
      <c r="Z30" s="369"/>
      <c r="AA30" s="368"/>
      <c r="AB30" s="368"/>
    </row>
    <row r="31" spans="2:28" ht="15.75">
      <c r="E31" s="19"/>
      <c r="F31" s="19"/>
      <c r="G31" s="19"/>
      <c r="P31" s="18"/>
      <c r="Q31" s="18"/>
      <c r="R31" s="112"/>
      <c r="S31" s="112"/>
      <c r="T31" s="113"/>
      <c r="U31" s="112"/>
      <c r="V31" s="114"/>
      <c r="W31" s="367" t="s">
        <v>454</v>
      </c>
      <c r="X31" s="370">
        <v>44.165460079574139</v>
      </c>
      <c r="Y31" s="370">
        <v>44.16920741698884</v>
      </c>
      <c r="Z31" s="367" t="s">
        <v>454</v>
      </c>
      <c r="AA31" s="370">
        <v>33.989411743627038</v>
      </c>
      <c r="AB31" s="370">
        <v>33.993352819631454</v>
      </c>
    </row>
    <row r="32" spans="2:28" ht="15.75">
      <c r="E32" s="19"/>
      <c r="F32" s="19"/>
      <c r="G32" s="19"/>
      <c r="P32" s="18"/>
      <c r="Q32" s="18"/>
      <c r="R32" s="112"/>
      <c r="S32" s="112"/>
      <c r="T32" s="113"/>
      <c r="U32" s="112"/>
      <c r="V32" s="115"/>
      <c r="W32" s="367" t="s">
        <v>31</v>
      </c>
      <c r="X32" s="370">
        <v>36.56790438719397</v>
      </c>
      <c r="Y32" s="370">
        <v>37.377312162623006</v>
      </c>
      <c r="Z32" s="369" t="s">
        <v>24</v>
      </c>
      <c r="AA32" s="370">
        <v>26.395764586261034</v>
      </c>
      <c r="AB32" s="370">
        <v>27.208494659255685</v>
      </c>
    </row>
    <row r="33" spans="2:28" ht="15.75">
      <c r="B33" s="20"/>
      <c r="C33" s="20"/>
      <c r="D33" s="18"/>
      <c r="E33" s="464"/>
      <c r="F33" s="464"/>
      <c r="G33" s="464"/>
      <c r="H33" s="83"/>
      <c r="I33" s="83"/>
      <c r="J33" s="83"/>
      <c r="K33" s="18"/>
      <c r="L33" s="18"/>
      <c r="M33" s="18"/>
      <c r="N33" s="18"/>
      <c r="O33" s="18"/>
      <c r="P33" s="18"/>
      <c r="Q33" s="18"/>
      <c r="R33" s="112"/>
      <c r="S33" s="112"/>
      <c r="T33" s="113"/>
      <c r="U33" s="112"/>
      <c r="V33" s="115"/>
      <c r="W33" s="371"/>
      <c r="X33" s="372"/>
      <c r="Y33" s="372"/>
      <c r="Z33" s="372"/>
      <c r="AA33" s="372"/>
      <c r="AB33" s="373"/>
    </row>
    <row r="34" spans="2:28" ht="47.25">
      <c r="B34" s="20"/>
      <c r="C34" s="20"/>
      <c r="D34" s="83"/>
      <c r="E34" s="19"/>
      <c r="F34" s="19"/>
      <c r="G34" s="19"/>
      <c r="H34" s="83"/>
      <c r="I34" s="83"/>
      <c r="J34" s="83"/>
      <c r="K34" s="18"/>
      <c r="L34" s="18"/>
      <c r="M34" s="18"/>
      <c r="N34" s="18"/>
      <c r="O34" s="18"/>
      <c r="P34" s="18"/>
      <c r="Q34" s="18"/>
      <c r="R34" s="112"/>
      <c r="S34" s="112"/>
      <c r="T34" s="113"/>
      <c r="U34" s="112"/>
      <c r="V34" s="114"/>
      <c r="W34" s="365"/>
      <c r="X34" s="374" t="s">
        <v>617</v>
      </c>
      <c r="Y34" s="374" t="s">
        <v>618</v>
      </c>
      <c r="Z34" s="368"/>
      <c r="AA34" s="374" t="s">
        <v>619</v>
      </c>
      <c r="AB34" s="374" t="s">
        <v>620</v>
      </c>
    </row>
    <row r="35" spans="2:28" ht="15.75">
      <c r="B35" s="20"/>
      <c r="C35" s="20"/>
      <c r="D35" s="18"/>
      <c r="E35" s="22"/>
      <c r="F35" s="23"/>
      <c r="G35" s="251"/>
      <c r="H35" s="83"/>
      <c r="I35" s="83"/>
      <c r="J35" s="83"/>
      <c r="K35" s="18"/>
      <c r="L35" s="18"/>
      <c r="M35" s="18"/>
      <c r="N35" s="18"/>
      <c r="O35" s="18"/>
      <c r="P35" s="18"/>
      <c r="Q35" s="18"/>
      <c r="R35" s="112"/>
      <c r="S35" s="112"/>
      <c r="T35" s="113"/>
      <c r="U35" s="113"/>
      <c r="V35" s="111"/>
      <c r="W35" s="367"/>
      <c r="X35" s="368"/>
      <c r="Y35" s="368"/>
      <c r="Z35" s="369"/>
      <c r="AA35" s="368"/>
      <c r="AB35" s="368"/>
    </row>
    <row r="36" spans="2:28" ht="15.75">
      <c r="D36" s="18"/>
      <c r="E36" s="22"/>
      <c r="F36" s="23"/>
      <c r="G36" s="251"/>
      <c r="H36" s="83"/>
      <c r="I36" s="83"/>
      <c r="J36" s="83"/>
      <c r="K36" s="18"/>
      <c r="L36" s="18"/>
      <c r="M36" s="18"/>
      <c r="N36" s="18"/>
      <c r="O36" s="18"/>
      <c r="P36" s="18"/>
      <c r="Q36" s="18"/>
      <c r="R36" s="112"/>
      <c r="S36" s="112"/>
      <c r="T36" s="113"/>
      <c r="U36" s="112"/>
      <c r="V36" s="114"/>
      <c r="W36" s="367" t="s">
        <v>454</v>
      </c>
      <c r="X36" s="370">
        <v>41.415357790415229</v>
      </c>
      <c r="Y36" s="370">
        <v>41.419105127829937</v>
      </c>
      <c r="Z36" s="367" t="s">
        <v>454</v>
      </c>
      <c r="AA36" s="370">
        <v>32.485730848580296</v>
      </c>
      <c r="AB36" s="370">
        <v>32.489671924584712</v>
      </c>
    </row>
    <row r="37" spans="2:28" ht="15.75">
      <c r="D37" s="18"/>
      <c r="E37" s="22"/>
      <c r="F37" s="23"/>
      <c r="G37" s="251"/>
      <c r="H37" s="83"/>
      <c r="I37" s="83"/>
      <c r="J37" s="83"/>
      <c r="K37" s="18"/>
      <c r="L37" s="18"/>
      <c r="M37" s="18"/>
      <c r="N37" s="18"/>
      <c r="O37" s="18"/>
      <c r="P37" s="18"/>
      <c r="Q37" s="18"/>
      <c r="R37" s="112"/>
      <c r="S37" s="112"/>
      <c r="T37" s="113"/>
      <c r="U37" s="113"/>
      <c r="V37" s="113"/>
      <c r="W37" s="367" t="s">
        <v>31</v>
      </c>
      <c r="X37" s="370">
        <v>33.950754071574565</v>
      </c>
      <c r="Y37" s="370">
        <v>34.760161847003594</v>
      </c>
      <c r="Z37" s="369" t="s">
        <v>24</v>
      </c>
      <c r="AA37" s="375">
        <v>24.967536977696753</v>
      </c>
      <c r="AB37" s="375">
        <v>25.780267050691403</v>
      </c>
    </row>
    <row r="38" spans="2:28" ht="15.75">
      <c r="D38" s="18"/>
      <c r="E38" s="22"/>
      <c r="F38" s="23"/>
      <c r="G38" s="251"/>
      <c r="H38" s="83"/>
      <c r="I38" s="83"/>
      <c r="J38" s="83"/>
      <c r="K38" s="18"/>
      <c r="L38" s="18"/>
      <c r="M38" s="18"/>
      <c r="N38" s="18"/>
      <c r="O38" s="18"/>
      <c r="P38" s="18"/>
      <c r="Q38" s="18"/>
      <c r="R38" s="112"/>
      <c r="S38" s="112"/>
      <c r="T38" s="431"/>
      <c r="U38" s="431"/>
      <c r="V38" s="113"/>
      <c r="W38" s="113"/>
      <c r="X38" s="113"/>
    </row>
    <row r="39" spans="2:28" ht="15.75">
      <c r="B39" s="20"/>
      <c r="C39" s="20"/>
      <c r="D39" s="18"/>
      <c r="E39" s="22"/>
      <c r="F39" s="23"/>
      <c r="G39" s="251"/>
      <c r="H39" s="83"/>
      <c r="I39" s="83"/>
      <c r="J39" s="83"/>
      <c r="K39" s="18"/>
      <c r="L39" s="18"/>
      <c r="M39" s="18"/>
      <c r="N39" s="18"/>
      <c r="O39" s="18"/>
      <c r="P39" s="18"/>
      <c r="Q39" s="18"/>
      <c r="R39" s="112"/>
      <c r="S39" s="112"/>
      <c r="T39" s="113"/>
      <c r="U39" s="112"/>
      <c r="V39" s="115"/>
      <c r="W39" s="115"/>
      <c r="X39" s="114"/>
    </row>
    <row r="40" spans="2:28" ht="15.75">
      <c r="B40" s="20"/>
      <c r="C40" s="20"/>
      <c r="D40" s="18"/>
      <c r="E40" s="22"/>
      <c r="F40" s="23"/>
      <c r="G40" s="251"/>
      <c r="H40" s="83"/>
      <c r="I40" s="83"/>
      <c r="J40" s="83"/>
      <c r="K40" s="18"/>
      <c r="L40" s="18"/>
      <c r="M40" s="18"/>
      <c r="N40" s="18"/>
      <c r="O40" s="18"/>
      <c r="P40" s="18"/>
      <c r="Q40" s="18"/>
      <c r="R40" s="112"/>
      <c r="S40" s="112"/>
      <c r="T40" s="113"/>
      <c r="U40" s="112"/>
      <c r="V40" s="115"/>
      <c r="W40" s="114"/>
      <c r="X40" s="114"/>
    </row>
    <row r="41" spans="2:28" ht="15.75">
      <c r="B41" s="20"/>
      <c r="C41" s="20"/>
      <c r="D41" s="18"/>
      <c r="E41" s="22"/>
      <c r="F41" s="23"/>
      <c r="G41" s="24"/>
      <c r="H41" s="83"/>
      <c r="I41" s="83"/>
      <c r="J41" s="83"/>
      <c r="K41" s="18"/>
      <c r="L41" s="18"/>
      <c r="M41" s="18"/>
      <c r="N41" s="18"/>
      <c r="O41" s="18"/>
      <c r="P41" s="18"/>
      <c r="Q41" s="18"/>
      <c r="R41" s="112"/>
      <c r="S41" s="112"/>
      <c r="T41" s="113"/>
      <c r="U41" s="112"/>
      <c r="V41" s="115"/>
      <c r="W41" s="115"/>
      <c r="X41" s="115"/>
    </row>
    <row r="42" spans="2:28" ht="15.75">
      <c r="B42" s="20"/>
      <c r="C42" s="20"/>
      <c r="D42" s="18"/>
      <c r="E42" s="83"/>
      <c r="F42" s="83"/>
      <c r="G42" s="83"/>
      <c r="H42" s="83"/>
      <c r="I42" s="83"/>
      <c r="J42" s="83"/>
      <c r="K42" s="18"/>
      <c r="L42" s="18"/>
      <c r="M42" s="18"/>
      <c r="N42" s="18"/>
      <c r="O42" s="18"/>
      <c r="P42" s="18"/>
      <c r="Q42" s="18"/>
      <c r="R42" s="112"/>
      <c r="S42" s="112"/>
      <c r="T42" s="113"/>
      <c r="U42" s="112"/>
      <c r="V42" s="115"/>
      <c r="W42" s="115"/>
      <c r="X42" s="114"/>
    </row>
    <row r="43" spans="2:28" ht="15.75">
      <c r="B43" s="20"/>
      <c r="C43" s="20"/>
      <c r="D43" s="18"/>
      <c r="E43" s="23"/>
      <c r="F43" s="83"/>
      <c r="G43" s="83"/>
      <c r="H43" s="83"/>
      <c r="I43" s="83"/>
      <c r="J43" s="83"/>
      <c r="K43" s="23"/>
      <c r="L43" s="18"/>
      <c r="M43" s="18"/>
      <c r="N43" s="18"/>
      <c r="O43" s="18"/>
      <c r="P43" s="18"/>
      <c r="Q43" s="18"/>
      <c r="R43" s="112"/>
      <c r="S43" s="112"/>
      <c r="T43" s="113"/>
      <c r="U43" s="112"/>
      <c r="V43" s="115"/>
      <c r="W43" s="114"/>
      <c r="X43" s="114"/>
    </row>
    <row r="44" spans="2:28" ht="15.75">
      <c r="B44" s="20"/>
      <c r="C44" s="20"/>
      <c r="D44" s="18"/>
      <c r="E44" s="83"/>
      <c r="F44" s="83"/>
      <c r="G44" s="83"/>
      <c r="H44" s="83"/>
      <c r="I44" s="83"/>
      <c r="J44" s="83"/>
      <c r="K44" s="18"/>
      <c r="L44" s="18"/>
      <c r="M44" s="18"/>
      <c r="N44" s="18"/>
      <c r="O44" s="18"/>
      <c r="P44" s="18"/>
      <c r="Q44" s="18"/>
      <c r="R44" s="112"/>
      <c r="S44" s="112"/>
      <c r="T44" s="113"/>
      <c r="U44" s="112"/>
      <c r="V44" s="115"/>
      <c r="W44" s="111"/>
      <c r="X44" s="111"/>
    </row>
    <row r="45" spans="2:28" ht="15.75">
      <c r="B45" s="20"/>
      <c r="C45" s="20"/>
      <c r="D45" s="18"/>
      <c r="E45" s="83"/>
      <c r="F45" s="83"/>
      <c r="G45" s="83"/>
      <c r="H45" s="83"/>
      <c r="I45" s="83"/>
      <c r="J45" s="83"/>
      <c r="K45" s="18"/>
      <c r="L45" s="18"/>
      <c r="M45" s="18"/>
      <c r="N45" s="18"/>
      <c r="O45" s="18"/>
      <c r="P45" s="18"/>
      <c r="Q45" s="18"/>
      <c r="R45" s="112"/>
      <c r="S45" s="112"/>
      <c r="T45" s="113"/>
      <c r="U45" s="113"/>
      <c r="V45" s="111"/>
      <c r="W45" s="114"/>
      <c r="X45" s="114"/>
    </row>
    <row r="46" spans="2:28" ht="15.75">
      <c r="B46" s="20"/>
      <c r="C46" s="20"/>
      <c r="D46" s="18"/>
      <c r="E46" s="23"/>
      <c r="F46" s="83"/>
      <c r="G46" s="83"/>
      <c r="H46" s="83"/>
      <c r="I46" s="83"/>
      <c r="J46" s="83"/>
      <c r="K46" s="23"/>
      <c r="L46" s="18"/>
      <c r="M46" s="18"/>
      <c r="N46" s="18"/>
      <c r="O46" s="18"/>
      <c r="P46" s="18"/>
      <c r="Q46" s="18"/>
      <c r="R46" s="112"/>
      <c r="S46" s="112"/>
      <c r="T46" s="113"/>
      <c r="U46" s="112"/>
      <c r="V46" s="115"/>
      <c r="W46" s="113"/>
      <c r="X46" s="113"/>
    </row>
    <row r="47" spans="2:28" ht="15.75">
      <c r="B47" s="20"/>
      <c r="C47" s="20"/>
      <c r="D47" s="18"/>
      <c r="E47" s="83"/>
      <c r="F47" s="83"/>
      <c r="G47" s="83"/>
      <c r="H47" s="83"/>
      <c r="I47" s="83"/>
      <c r="J47" s="83"/>
      <c r="K47" s="18"/>
      <c r="L47" s="18"/>
      <c r="M47" s="18"/>
      <c r="N47" s="18"/>
      <c r="O47" s="18"/>
      <c r="P47" s="18"/>
      <c r="Q47" s="18"/>
      <c r="R47" s="112"/>
      <c r="S47" s="112"/>
      <c r="T47" s="113"/>
      <c r="U47" s="113"/>
      <c r="V47" s="113"/>
      <c r="W47" s="113"/>
      <c r="X47" s="113"/>
    </row>
    <row r="48" spans="2:28" ht="15.75">
      <c r="B48" s="20"/>
      <c r="C48" s="20"/>
      <c r="D48" s="18"/>
      <c r="E48" s="83"/>
      <c r="F48" s="83"/>
      <c r="G48" s="83"/>
      <c r="H48" s="83"/>
      <c r="I48" s="83"/>
      <c r="J48" s="83"/>
      <c r="K48" s="18"/>
      <c r="L48" s="18"/>
      <c r="M48" s="18"/>
      <c r="N48" s="18"/>
      <c r="O48" s="18"/>
      <c r="P48" s="18"/>
      <c r="Q48" s="18"/>
      <c r="R48" s="112"/>
      <c r="S48" s="112"/>
      <c r="T48" s="431"/>
      <c r="U48" s="431"/>
      <c r="V48" s="113"/>
      <c r="W48" s="114"/>
      <c r="X48" s="114"/>
    </row>
    <row r="49" spans="2:24" ht="15.75">
      <c r="B49" s="20"/>
      <c r="C49" s="20"/>
      <c r="D49" s="18"/>
      <c r="E49" s="83"/>
      <c r="F49" s="83"/>
      <c r="G49" s="83"/>
      <c r="H49" s="83"/>
      <c r="I49" s="83"/>
      <c r="J49" s="83"/>
      <c r="K49" s="18"/>
      <c r="L49" s="18"/>
      <c r="M49" s="18"/>
      <c r="N49" s="18"/>
      <c r="O49" s="18"/>
      <c r="P49" s="18"/>
      <c r="Q49" s="18"/>
      <c r="R49" s="112"/>
      <c r="S49" s="112"/>
      <c r="T49" s="113"/>
      <c r="U49" s="112"/>
      <c r="V49" s="115"/>
      <c r="W49" s="114"/>
      <c r="X49" s="114"/>
    </row>
    <row r="50" spans="2:24" ht="15.75">
      <c r="B50" s="20"/>
      <c r="C50" s="20"/>
      <c r="D50" s="18"/>
      <c r="E50" s="83"/>
      <c r="F50" s="83"/>
      <c r="G50" s="83"/>
      <c r="H50" s="83"/>
      <c r="I50" s="83"/>
      <c r="J50" s="83"/>
      <c r="K50" s="18"/>
      <c r="L50" s="18"/>
      <c r="M50" s="18"/>
      <c r="N50" s="18"/>
      <c r="O50" s="18"/>
      <c r="P50" s="18"/>
      <c r="Q50" s="18"/>
      <c r="R50" s="112"/>
      <c r="S50" s="112"/>
      <c r="T50" s="113"/>
      <c r="U50" s="112"/>
      <c r="V50" s="115"/>
      <c r="W50" s="114"/>
      <c r="X50" s="114"/>
    </row>
    <row r="51" spans="2:24" ht="15.75">
      <c r="B51" s="20"/>
      <c r="C51" s="20"/>
      <c r="D51" s="18"/>
      <c r="E51" s="83"/>
      <c r="F51" s="83"/>
      <c r="G51" s="83"/>
      <c r="H51" s="83"/>
      <c r="I51" s="83"/>
      <c r="J51" s="83"/>
      <c r="K51" s="18"/>
      <c r="L51" s="18"/>
      <c r="M51" s="18"/>
      <c r="N51" s="18"/>
      <c r="O51" s="18"/>
      <c r="P51" s="18"/>
      <c r="Q51" s="18"/>
      <c r="R51" s="112"/>
      <c r="S51" s="112"/>
      <c r="T51" s="113"/>
      <c r="U51" s="113"/>
      <c r="V51" s="111"/>
      <c r="W51" s="115"/>
      <c r="X51" s="114"/>
    </row>
    <row r="52" spans="2:24" ht="15.75">
      <c r="B52" s="20"/>
      <c r="C52" s="20"/>
      <c r="D52" s="18"/>
      <c r="E52" s="83"/>
      <c r="F52" s="83"/>
      <c r="G52" s="83"/>
      <c r="H52" s="83"/>
      <c r="I52" s="83"/>
      <c r="J52" s="83"/>
      <c r="K52" s="18"/>
      <c r="L52" s="18"/>
      <c r="M52" s="18"/>
      <c r="N52" s="18"/>
      <c r="O52" s="18"/>
      <c r="P52" s="18"/>
      <c r="Q52" s="18"/>
      <c r="R52" s="112"/>
      <c r="S52" s="112"/>
      <c r="T52" s="113"/>
      <c r="U52" s="112"/>
      <c r="V52" s="115"/>
      <c r="W52" s="115"/>
      <c r="X52" s="114"/>
    </row>
    <row r="53" spans="2:24" ht="15.75">
      <c r="B53" s="20"/>
      <c r="C53" s="20"/>
      <c r="D53" s="18"/>
      <c r="E53" s="83"/>
      <c r="F53" s="83"/>
      <c r="G53" s="83"/>
      <c r="H53" s="83"/>
      <c r="I53" s="83"/>
      <c r="J53" s="83"/>
      <c r="K53" s="18"/>
      <c r="L53" s="18"/>
      <c r="M53" s="18"/>
      <c r="N53" s="18"/>
      <c r="O53" s="18"/>
      <c r="P53" s="18"/>
      <c r="Q53" s="18"/>
      <c r="R53" s="112"/>
      <c r="S53" s="112"/>
      <c r="T53" s="113"/>
      <c r="U53" s="113"/>
      <c r="V53" s="113"/>
      <c r="W53" s="114"/>
      <c r="X53" s="114"/>
    </row>
    <row r="54" spans="2:24" ht="15.75">
      <c r="B54" s="20"/>
      <c r="C54" s="20"/>
      <c r="D54" s="18"/>
      <c r="E54" s="83"/>
      <c r="F54" s="83"/>
      <c r="G54" s="83"/>
      <c r="H54" s="83"/>
      <c r="I54" s="83"/>
      <c r="J54" s="83"/>
      <c r="K54" s="18"/>
      <c r="L54" s="18"/>
      <c r="M54" s="18"/>
      <c r="N54" s="18"/>
      <c r="O54" s="18"/>
      <c r="P54" s="18"/>
      <c r="Q54" s="18"/>
      <c r="R54" s="112"/>
      <c r="S54" s="112"/>
      <c r="T54" s="431"/>
      <c r="U54" s="431"/>
      <c r="V54" s="113"/>
      <c r="W54" s="111"/>
      <c r="X54" s="111"/>
    </row>
    <row r="55" spans="2:24" ht="15.75">
      <c r="B55" s="18"/>
      <c r="C55" s="18"/>
      <c r="D55" s="18"/>
      <c r="E55" s="83"/>
      <c r="F55" s="83"/>
      <c r="G55" s="83"/>
      <c r="H55" s="83"/>
      <c r="I55" s="83"/>
      <c r="J55" s="83"/>
      <c r="K55" s="18"/>
      <c r="L55" s="18"/>
      <c r="M55" s="18"/>
      <c r="N55" s="18"/>
      <c r="O55" s="18"/>
      <c r="P55" s="18"/>
      <c r="Q55" s="18"/>
      <c r="R55" s="112"/>
      <c r="S55" s="112"/>
      <c r="T55" s="113"/>
      <c r="U55" s="112"/>
      <c r="V55" s="115"/>
      <c r="W55" s="114"/>
      <c r="X55" s="114"/>
    </row>
    <row r="56" spans="2:24" ht="15.75">
      <c r="B56" s="18"/>
      <c r="C56" s="18"/>
      <c r="D56" s="18"/>
      <c r="E56" s="83"/>
      <c r="F56" s="83"/>
      <c r="G56" s="83"/>
      <c r="H56" s="83"/>
      <c r="I56" s="83"/>
      <c r="J56" s="83"/>
      <c r="K56" s="18"/>
      <c r="L56" s="18"/>
      <c r="M56" s="18"/>
      <c r="N56" s="18"/>
      <c r="O56" s="18"/>
      <c r="P56" s="18"/>
      <c r="Q56" s="18"/>
      <c r="R56" s="112"/>
      <c r="S56" s="112"/>
      <c r="T56" s="113"/>
      <c r="U56" s="112"/>
      <c r="V56" s="115"/>
      <c r="W56" s="113"/>
      <c r="X56" s="113"/>
    </row>
    <row r="57" spans="2:24" ht="15.75">
      <c r="B57" s="18"/>
      <c r="C57" s="18"/>
      <c r="D57" s="18"/>
      <c r="E57" s="83"/>
      <c r="F57" s="83"/>
      <c r="G57" s="83"/>
      <c r="H57" s="83"/>
      <c r="I57" s="83"/>
      <c r="J57" s="83"/>
      <c r="K57" s="18"/>
      <c r="L57" s="18"/>
      <c r="M57" s="18"/>
      <c r="N57" s="18"/>
      <c r="O57" s="18"/>
      <c r="P57" s="18"/>
      <c r="Q57" s="18"/>
      <c r="R57" s="112"/>
      <c r="S57" s="112"/>
      <c r="T57" s="113"/>
      <c r="U57" s="112"/>
      <c r="V57" s="114"/>
      <c r="W57" s="113"/>
      <c r="X57" s="113"/>
    </row>
    <row r="58" spans="2:24" ht="15.75">
      <c r="B58" s="18"/>
      <c r="C58" s="18"/>
      <c r="D58" s="18"/>
      <c r="E58" s="83"/>
      <c r="F58" s="83"/>
      <c r="G58" s="83"/>
      <c r="H58" s="83"/>
      <c r="I58" s="83"/>
      <c r="J58" s="83"/>
      <c r="K58" s="18"/>
      <c r="L58" s="18"/>
      <c r="M58" s="18"/>
      <c r="N58" s="18"/>
      <c r="O58" s="18"/>
      <c r="P58" s="18"/>
      <c r="Q58" s="18"/>
      <c r="R58" s="112"/>
      <c r="S58" s="112"/>
      <c r="T58" s="113"/>
      <c r="U58" s="112"/>
      <c r="V58" s="115"/>
      <c r="W58" s="115"/>
      <c r="X58" s="114"/>
    </row>
    <row r="59" spans="2:24" ht="15.75">
      <c r="B59" s="18"/>
      <c r="C59" s="18"/>
      <c r="D59" s="18"/>
      <c r="E59" s="83"/>
      <c r="F59" s="83"/>
      <c r="G59" s="83"/>
      <c r="H59" s="83"/>
      <c r="I59" s="83"/>
      <c r="J59" s="83"/>
      <c r="K59" s="18"/>
      <c r="L59" s="18"/>
      <c r="M59" s="18"/>
      <c r="N59" s="18"/>
      <c r="O59" s="18"/>
      <c r="P59" s="18"/>
      <c r="Q59" s="18"/>
      <c r="R59" s="112"/>
      <c r="S59" s="112"/>
      <c r="T59" s="113"/>
      <c r="U59" s="112"/>
      <c r="V59" s="115"/>
      <c r="W59" s="115"/>
      <c r="X59" s="114"/>
    </row>
    <row r="60" spans="2:24" ht="15.75">
      <c r="B60" s="18"/>
      <c r="C60" s="18"/>
      <c r="D60" s="18"/>
      <c r="E60" s="83"/>
      <c r="F60" s="83"/>
      <c r="G60" s="83"/>
      <c r="H60" s="83"/>
      <c r="I60" s="83"/>
      <c r="J60" s="83"/>
      <c r="K60" s="18"/>
      <c r="L60" s="18"/>
      <c r="M60" s="18"/>
      <c r="N60" s="18"/>
      <c r="O60" s="18"/>
      <c r="P60" s="18"/>
      <c r="Q60" s="18"/>
      <c r="R60" s="112"/>
      <c r="S60" s="112"/>
      <c r="T60" s="113"/>
      <c r="U60" s="113"/>
      <c r="V60" s="111"/>
      <c r="W60" s="111"/>
      <c r="X60" s="111"/>
    </row>
    <row r="61" spans="2:24" ht="15.75">
      <c r="B61" s="18"/>
      <c r="C61" s="18"/>
      <c r="D61" s="18"/>
      <c r="E61" s="83"/>
      <c r="F61" s="83"/>
      <c r="G61" s="83"/>
      <c r="H61" s="83"/>
      <c r="I61" s="83"/>
      <c r="J61" s="83"/>
      <c r="K61" s="18"/>
      <c r="L61" s="18"/>
      <c r="M61" s="18"/>
      <c r="N61" s="18"/>
      <c r="O61" s="18"/>
      <c r="P61" s="18"/>
      <c r="Q61" s="18"/>
      <c r="R61" s="112"/>
      <c r="S61" s="112"/>
      <c r="T61" s="113"/>
      <c r="U61" s="112"/>
      <c r="V61" s="114"/>
      <c r="W61" s="115"/>
      <c r="X61" s="114"/>
    </row>
    <row r="62" spans="2:24" ht="15.75">
      <c r="B62" s="18"/>
      <c r="C62" s="18"/>
      <c r="D62" s="18"/>
      <c r="E62" s="83"/>
      <c r="F62" s="83"/>
      <c r="G62" s="83"/>
      <c r="H62" s="83"/>
      <c r="I62" s="83"/>
      <c r="J62" s="83"/>
      <c r="K62" s="18"/>
      <c r="L62" s="18"/>
      <c r="M62" s="18"/>
      <c r="N62" s="18"/>
      <c r="O62" s="18"/>
      <c r="P62" s="18"/>
      <c r="Q62" s="18"/>
      <c r="R62" s="112"/>
      <c r="S62" s="112"/>
      <c r="T62" s="113"/>
      <c r="U62" s="113"/>
      <c r="V62" s="113"/>
      <c r="W62" s="113"/>
      <c r="X62" s="113"/>
    </row>
    <row r="63" spans="2:24" ht="15.75">
      <c r="B63" s="18"/>
      <c r="C63" s="18"/>
      <c r="D63" s="18"/>
      <c r="E63" s="83"/>
      <c r="F63" s="83"/>
      <c r="G63" s="83"/>
      <c r="H63" s="83"/>
      <c r="I63" s="83"/>
      <c r="J63" s="83"/>
      <c r="K63" s="18"/>
      <c r="L63" s="18"/>
      <c r="M63" s="18"/>
      <c r="N63" s="18"/>
      <c r="O63" s="18"/>
      <c r="P63" s="18"/>
      <c r="Q63" s="18"/>
      <c r="R63" s="112"/>
      <c r="S63" s="112"/>
      <c r="T63" s="113"/>
      <c r="U63" s="113"/>
      <c r="V63" s="113"/>
      <c r="W63" s="113"/>
      <c r="X63" s="113"/>
    </row>
    <row r="64" spans="2:24" ht="15.75">
      <c r="B64" s="18"/>
      <c r="C64" s="18"/>
      <c r="D64" s="18"/>
      <c r="E64" s="83"/>
      <c r="F64" s="83"/>
      <c r="G64" s="83"/>
      <c r="H64" s="83"/>
      <c r="I64" s="83"/>
      <c r="J64" s="83"/>
      <c r="K64" s="18"/>
      <c r="L64" s="18"/>
      <c r="M64" s="18"/>
      <c r="N64" s="18"/>
      <c r="O64" s="18"/>
      <c r="P64" s="18"/>
      <c r="Q64" s="18"/>
      <c r="R64" s="112"/>
      <c r="S64" s="112"/>
      <c r="T64" s="113"/>
      <c r="U64" s="112"/>
      <c r="V64" s="114"/>
      <c r="W64" s="115"/>
      <c r="X64" s="114"/>
    </row>
    <row r="65" spans="2:24" ht="15.75">
      <c r="B65" s="18"/>
      <c r="C65" s="18"/>
      <c r="D65" s="18"/>
      <c r="E65" s="83"/>
      <c r="F65" s="83"/>
      <c r="G65" s="83"/>
      <c r="H65" s="83"/>
      <c r="I65" s="83"/>
      <c r="J65" s="83"/>
      <c r="K65" s="18"/>
      <c r="L65" s="18"/>
      <c r="M65" s="18"/>
      <c r="N65" s="18"/>
      <c r="O65" s="18"/>
      <c r="P65" s="18"/>
      <c r="Q65" s="18"/>
      <c r="R65" s="112"/>
      <c r="S65" s="112"/>
      <c r="T65" s="113"/>
      <c r="U65" s="113"/>
      <c r="V65" s="111"/>
      <c r="W65" s="115"/>
      <c r="X65" s="114"/>
    </row>
    <row r="66" spans="2:24" ht="15.75">
      <c r="B66" s="18"/>
      <c r="C66" s="18"/>
      <c r="D66" s="18"/>
      <c r="E66" s="83"/>
      <c r="F66" s="83"/>
      <c r="G66" s="83"/>
      <c r="H66" s="83"/>
      <c r="I66" s="83"/>
      <c r="J66" s="83"/>
      <c r="K66" s="18"/>
      <c r="L66" s="18"/>
      <c r="M66" s="18"/>
      <c r="N66" s="18"/>
      <c r="O66" s="18"/>
      <c r="P66" s="18"/>
      <c r="Q66" s="18"/>
      <c r="R66" s="112"/>
      <c r="S66" s="112"/>
      <c r="T66" s="431"/>
      <c r="U66" s="431"/>
      <c r="V66" s="113"/>
      <c r="W66" s="115"/>
      <c r="X66" s="114"/>
    </row>
    <row r="67" spans="2:24" ht="15.75">
      <c r="B67" s="18"/>
      <c r="C67" s="18"/>
      <c r="D67" s="18"/>
      <c r="E67" s="83"/>
      <c r="F67" s="83"/>
      <c r="G67" s="83"/>
      <c r="H67" s="83"/>
      <c r="I67" s="83"/>
      <c r="J67" s="83"/>
      <c r="K67" s="18"/>
      <c r="L67" s="18"/>
      <c r="M67" s="18"/>
      <c r="N67" s="18"/>
      <c r="O67" s="18"/>
      <c r="P67" s="18"/>
      <c r="Q67" s="18"/>
      <c r="R67" s="112"/>
      <c r="S67" s="112"/>
      <c r="T67" s="113"/>
      <c r="U67" s="113"/>
      <c r="V67" s="113"/>
      <c r="W67" s="115"/>
      <c r="X67" s="115"/>
    </row>
    <row r="68" spans="2:24" ht="15.75">
      <c r="B68" s="18"/>
      <c r="C68" s="18"/>
      <c r="D68" s="18"/>
      <c r="E68" s="83"/>
      <c r="F68" s="83"/>
      <c r="G68" s="83"/>
      <c r="H68" s="83"/>
      <c r="I68" s="83"/>
      <c r="J68" s="83"/>
      <c r="K68" s="18"/>
      <c r="L68" s="18"/>
      <c r="M68" s="18"/>
      <c r="N68" s="18"/>
      <c r="O68" s="18"/>
      <c r="P68" s="18"/>
      <c r="Q68" s="18"/>
      <c r="R68" s="112"/>
      <c r="S68" s="112"/>
      <c r="T68" s="113"/>
      <c r="U68" s="112"/>
      <c r="V68" s="113"/>
      <c r="W68" s="115"/>
      <c r="X68" s="115"/>
    </row>
    <row r="69" spans="2:24" ht="15.75">
      <c r="B69" s="18"/>
      <c r="C69" s="18"/>
      <c r="D69" s="18"/>
      <c r="E69" s="83"/>
      <c r="F69" s="83"/>
      <c r="G69" s="83"/>
      <c r="H69" s="83"/>
      <c r="I69" s="83"/>
      <c r="J69" s="83"/>
      <c r="K69" s="18"/>
      <c r="L69" s="18"/>
      <c r="M69" s="18"/>
      <c r="N69" s="18"/>
      <c r="O69" s="18"/>
      <c r="P69" s="18"/>
      <c r="Q69" s="18"/>
      <c r="R69" s="112"/>
      <c r="S69" s="112"/>
      <c r="T69" s="113"/>
      <c r="U69" s="113"/>
      <c r="V69" s="111"/>
      <c r="W69" s="111"/>
      <c r="X69" s="111"/>
    </row>
    <row r="70" spans="2:24" ht="15.75">
      <c r="B70" s="18"/>
      <c r="C70" s="18"/>
      <c r="D70" s="18"/>
      <c r="E70" s="83"/>
      <c r="F70" s="83"/>
      <c r="G70" s="83"/>
      <c r="H70" s="83"/>
      <c r="I70" s="83"/>
      <c r="J70" s="83"/>
      <c r="K70" s="18"/>
      <c r="L70" s="18"/>
      <c r="M70" s="18"/>
      <c r="N70" s="18"/>
      <c r="O70" s="18"/>
      <c r="P70" s="18"/>
      <c r="Q70" s="18"/>
      <c r="R70" s="112"/>
      <c r="S70" s="112"/>
      <c r="T70" s="113"/>
      <c r="U70" s="112"/>
      <c r="V70" s="113"/>
      <c r="W70" s="115"/>
      <c r="X70" s="114"/>
    </row>
    <row r="71" spans="2:24" ht="15.75">
      <c r="B71" s="18"/>
      <c r="C71" s="18"/>
      <c r="D71" s="18"/>
      <c r="E71" s="83"/>
      <c r="F71" s="83"/>
      <c r="G71" s="83"/>
      <c r="H71" s="83"/>
      <c r="I71" s="83"/>
      <c r="J71" s="83"/>
      <c r="K71" s="18"/>
      <c r="L71" s="18"/>
      <c r="M71" s="18"/>
      <c r="N71" s="18"/>
      <c r="O71" s="18"/>
      <c r="P71" s="18"/>
      <c r="Q71" s="18"/>
      <c r="R71" s="112"/>
      <c r="S71" s="112"/>
      <c r="T71" s="113"/>
      <c r="U71" s="113"/>
      <c r="V71" s="113"/>
      <c r="W71" s="113"/>
      <c r="X71" s="113"/>
    </row>
    <row r="72" spans="2:24" ht="15.75">
      <c r="B72" s="18"/>
      <c r="C72" s="18"/>
      <c r="D72" s="18"/>
      <c r="E72" s="83"/>
      <c r="F72" s="83"/>
      <c r="G72" s="83"/>
      <c r="H72" s="83"/>
      <c r="I72" s="83"/>
      <c r="J72" s="83"/>
      <c r="K72" s="18"/>
      <c r="L72" s="18"/>
      <c r="M72" s="18"/>
      <c r="N72" s="18"/>
      <c r="O72" s="18"/>
      <c r="P72" s="18"/>
      <c r="Q72" s="18"/>
      <c r="R72" s="112"/>
      <c r="S72" s="112"/>
      <c r="T72" s="113"/>
      <c r="U72" s="113"/>
      <c r="V72" s="111"/>
      <c r="W72" s="113"/>
      <c r="X72" s="113"/>
    </row>
    <row r="73" spans="2:24" ht="15.75">
      <c r="B73" s="18"/>
      <c r="C73" s="18"/>
      <c r="D73" s="18"/>
      <c r="E73" s="83"/>
      <c r="F73" s="83"/>
      <c r="G73" s="83"/>
      <c r="H73" s="83"/>
      <c r="I73" s="83"/>
      <c r="J73" s="83"/>
      <c r="K73" s="18"/>
      <c r="L73" s="18"/>
      <c r="M73" s="18"/>
      <c r="N73" s="18"/>
      <c r="O73" s="18"/>
      <c r="P73" s="18"/>
      <c r="Q73" s="18"/>
      <c r="R73" s="112"/>
      <c r="S73" s="112"/>
      <c r="T73" s="431"/>
      <c r="U73" s="431"/>
      <c r="V73" s="114"/>
      <c r="W73" s="114"/>
      <c r="X73" s="114"/>
    </row>
    <row r="74" spans="2:24" ht="15.75">
      <c r="B74" s="18"/>
      <c r="C74" s="18"/>
      <c r="D74" s="18"/>
      <c r="E74" s="83"/>
      <c r="F74" s="83"/>
      <c r="G74" s="83"/>
      <c r="H74" s="83"/>
      <c r="I74" s="83"/>
      <c r="J74" s="83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11"/>
      <c r="X74" s="111"/>
    </row>
    <row r="75" spans="2:24" ht="15.75">
      <c r="B75" s="18"/>
      <c r="C75" s="18"/>
      <c r="W75" s="113"/>
      <c r="X75" s="113"/>
    </row>
    <row r="76" spans="2:24" ht="15.75">
      <c r="B76" s="18"/>
      <c r="C76" s="18"/>
      <c r="W76" s="113"/>
      <c r="X76" s="113"/>
    </row>
    <row r="77" spans="2:24" ht="15.75">
      <c r="B77" s="18"/>
      <c r="C77" s="18"/>
      <c r="W77" s="113"/>
      <c r="X77" s="113"/>
    </row>
    <row r="78" spans="2:24" ht="15.75">
      <c r="B78" s="18"/>
      <c r="C78" s="18"/>
      <c r="W78" s="111"/>
      <c r="X78" s="111"/>
    </row>
    <row r="79" spans="2:24" ht="15.75">
      <c r="B79" s="18"/>
      <c r="C79" s="18"/>
      <c r="W79" s="113"/>
      <c r="X79" s="113"/>
    </row>
    <row r="80" spans="2:24" ht="15.75">
      <c r="B80" s="18"/>
      <c r="C80" s="18"/>
      <c r="W80" s="113"/>
      <c r="X80" s="113"/>
    </row>
    <row r="81" spans="2:24" ht="15.75">
      <c r="B81" s="18"/>
      <c r="C81" s="18"/>
      <c r="W81" s="111"/>
      <c r="X81" s="111"/>
    </row>
    <row r="82" spans="2:24" ht="15.75">
      <c r="B82" s="18"/>
      <c r="C82" s="18"/>
      <c r="W82" s="114"/>
      <c r="X82" s="114"/>
    </row>
    <row r="83" spans="2:24" ht="15.75">
      <c r="B83" s="18"/>
      <c r="C83" s="18"/>
      <c r="W83" s="18"/>
      <c r="X83" s="18"/>
    </row>
  </sheetData>
  <mergeCells count="14">
    <mergeCell ref="B1:W1"/>
    <mergeCell ref="F4:O4"/>
    <mergeCell ref="F8:Q8"/>
    <mergeCell ref="T16:U16"/>
    <mergeCell ref="F18:P18"/>
    <mergeCell ref="T18:U18"/>
    <mergeCell ref="T66:U66"/>
    <mergeCell ref="T73:U73"/>
    <mergeCell ref="E27:H27"/>
    <mergeCell ref="O27:R27"/>
    <mergeCell ref="E33:G33"/>
    <mergeCell ref="T38:U38"/>
    <mergeCell ref="T48:U48"/>
    <mergeCell ref="T54:U54"/>
  </mergeCells>
  <pageMargins left="0.7" right="0.7" top="0.75" bottom="0.75" header="0.3" footer="0.3"/>
  <pageSetup orientation="portrait" r:id="rId1"/>
  <headerFooter>
    <oddFooter xml:space="preserve">&amp;C_x000D_&amp;1#&amp;"Calibri"&amp;12&amp;K000000 Public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ACBB4-8781-43BB-9FA5-206F860E16C8}">
  <dimension ref="A1:X59"/>
  <sheetViews>
    <sheetView zoomScale="80" zoomScaleNormal="80" workbookViewId="0">
      <selection activeCell="S44" sqref="S44"/>
    </sheetView>
  </sheetViews>
  <sheetFormatPr defaultColWidth="8.7109375" defaultRowHeight="15"/>
  <cols>
    <col min="1" max="1" width="3.85546875" customWidth="1"/>
    <col min="2" max="2" width="5.28515625" customWidth="1"/>
    <col min="3" max="3" width="17.28515625" customWidth="1"/>
    <col min="17" max="17" width="15.5703125" bestFit="1" customWidth="1"/>
    <col min="18" max="18" width="10.5703125" bestFit="1" customWidth="1"/>
    <col min="19" max="19" width="9.7109375" customWidth="1"/>
    <col min="20" max="20" width="9.28515625" bestFit="1" customWidth="1"/>
    <col min="21" max="21" width="10.42578125" bestFit="1" customWidth="1"/>
    <col min="22" max="23" width="9.5703125" bestFit="1" customWidth="1"/>
    <col min="24" max="24" width="11.28515625" bestFit="1" customWidth="1"/>
  </cols>
  <sheetData>
    <row r="1" spans="1:17">
      <c r="A1" t="s">
        <v>386</v>
      </c>
      <c r="Q1" s="185"/>
    </row>
    <row r="2" spans="1:17">
      <c r="Q2" s="185" t="s">
        <v>43</v>
      </c>
    </row>
    <row r="3" spans="1:17">
      <c r="Q3" s="185" t="s">
        <v>387</v>
      </c>
    </row>
    <row r="4" spans="1:17">
      <c r="Q4" s="189" t="s">
        <v>388</v>
      </c>
    </row>
    <row r="5" spans="1:17">
      <c r="A5">
        <v>1</v>
      </c>
      <c r="B5" s="186" t="s">
        <v>389</v>
      </c>
      <c r="Q5" s="190">
        <f>'Incremental Rev Req'!B5</f>
        <v>19590006.678271208</v>
      </c>
    </row>
    <row r="6" spans="1:17">
      <c r="B6" s="187" t="s">
        <v>390</v>
      </c>
      <c r="C6" t="s">
        <v>391</v>
      </c>
      <c r="Q6" s="181">
        <f>Q5*0.01</f>
        <v>195900.06678271209</v>
      </c>
    </row>
    <row r="7" spans="1:17">
      <c r="B7" s="187"/>
      <c r="Q7" s="181"/>
    </row>
    <row r="8" spans="1:17">
      <c r="A8">
        <v>2</v>
      </c>
      <c r="B8" s="186" t="s">
        <v>392</v>
      </c>
      <c r="Q8" s="181"/>
    </row>
    <row r="9" spans="1:17">
      <c r="B9" s="187" t="s">
        <v>390</v>
      </c>
      <c r="C9" s="52" t="str">
        <f>'Incremental Rev Req'!B116</f>
        <v>A.22-12-009</v>
      </c>
      <c r="D9" t="str">
        <f>'Incremental Rev Req'!A116</f>
        <v>2022 WMCE</v>
      </c>
      <c r="Q9" s="122">
        <f>'Incremental Rev Req'!G116+'Incremental Rev Req'!G117</f>
        <v>195660</v>
      </c>
    </row>
    <row r="10" spans="1:17">
      <c r="B10" s="187" t="s">
        <v>393</v>
      </c>
      <c r="C10" s="52" t="str">
        <f>'Incremental Rev Req'!B118</f>
        <v>A.23-12-001</v>
      </c>
      <c r="D10" s="52" t="str">
        <f>'Incremental Rev Req'!A118</f>
        <v>2023 WMCE</v>
      </c>
      <c r="Q10" s="231">
        <f>'Incremental Rev Req'!F118</f>
        <v>710701.78347413824</v>
      </c>
    </row>
    <row r="11" spans="1:17">
      <c r="B11" s="228" t="s">
        <v>394</v>
      </c>
      <c r="C11" s="212" t="str">
        <f>'Incremental Rev Req'!B120</f>
        <v>A.21-09-008</v>
      </c>
      <c r="D11" s="213" t="str">
        <f>'Incremental Rev Req'!A120</f>
        <v>2021 WMCE (VMBA)</v>
      </c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32">
        <f>'Incremental Rev Req'!G120+'Incremental Rev Req'!G121</f>
        <v>296400</v>
      </c>
    </row>
    <row r="12" spans="1:17">
      <c r="B12" s="130" t="s">
        <v>395</v>
      </c>
      <c r="C12" s="52" t="str">
        <f>'Incremental Rev Req'!B137</f>
        <v>A.23-06-008</v>
      </c>
      <c r="D12" t="str">
        <f>'Incremental Rev Req'!A137</f>
        <v>Wildfire Gas and Safety Costs</v>
      </c>
      <c r="Q12" s="231">
        <f>'Incremental Rev Req'!G137+'Incremental Rev Req'!G138</f>
        <v>205307.40071701724</v>
      </c>
    </row>
    <row r="13" spans="1:17">
      <c r="B13" s="130" t="s">
        <v>406</v>
      </c>
      <c r="C13" s="52" t="str">
        <f>'Incremental Rev Req'!B142</f>
        <v>A.24-03-018</v>
      </c>
      <c r="D13" t="str">
        <f>'Incremental Rev Req'!A142</f>
        <v>DCPP Extended Operations 2025 Forecast</v>
      </c>
      <c r="Q13" s="231">
        <f>'Incremental Rev Req'!G142</f>
        <v>232201</v>
      </c>
    </row>
    <row r="14" spans="1:17">
      <c r="B14" s="130" t="s">
        <v>621</v>
      </c>
      <c r="C14" s="52" t="str">
        <f>'Incremental Rev Req'!B140</f>
        <v>A.24-06-013</v>
      </c>
      <c r="D14" t="str">
        <f>'Incremental Rev Req'!A139</f>
        <v>Vegetation Management Securitization</v>
      </c>
      <c r="Q14" s="231">
        <f>'Incremental Rev Req'!G140</f>
        <v>319024.97450755164</v>
      </c>
    </row>
    <row r="15" spans="1:17">
      <c r="Q15" s="181"/>
    </row>
    <row r="16" spans="1:17">
      <c r="A16">
        <v>3</v>
      </c>
      <c r="B16" s="188" t="s">
        <v>396</v>
      </c>
      <c r="Q16" s="181"/>
    </row>
    <row r="17" spans="1:17">
      <c r="B17" s="130" t="s">
        <v>390</v>
      </c>
      <c r="C17" t="str">
        <f>C9</f>
        <v>A.22-12-009</v>
      </c>
      <c r="D17" t="str">
        <f>D9</f>
        <v>2022 WMCE</v>
      </c>
      <c r="Q17" s="122">
        <f>Q9</f>
        <v>195660</v>
      </c>
    </row>
    <row r="18" spans="1:17">
      <c r="B18" s="130" t="s">
        <v>393</v>
      </c>
      <c r="C18" s="52" t="str">
        <f>C10</f>
        <v>A.23-12-001</v>
      </c>
      <c r="D18" s="52" t="str">
        <f>D10</f>
        <v>2023 WMCE</v>
      </c>
      <c r="F18" s="52"/>
      <c r="Q18" s="122">
        <f>Q10</f>
        <v>710701.78347413824</v>
      </c>
    </row>
    <row r="19" spans="1:17">
      <c r="B19" s="130" t="s">
        <v>394</v>
      </c>
      <c r="C19" s="52" t="str">
        <f>C12</f>
        <v>A.23-06-008</v>
      </c>
      <c r="D19" t="str">
        <f>D12</f>
        <v>Wildfire Gas and Safety Costs</v>
      </c>
      <c r="Q19" s="231">
        <f>Q12</f>
        <v>205307.40071701724</v>
      </c>
    </row>
    <row r="20" spans="1:17">
      <c r="B20" s="130" t="s">
        <v>395</v>
      </c>
      <c r="C20" s="52" t="str">
        <f>C13</f>
        <v>A.24-03-018</v>
      </c>
      <c r="D20" t="str">
        <f>D13</f>
        <v>DCPP Extended Operations 2025 Forecast</v>
      </c>
      <c r="Q20" s="231">
        <f>Q13</f>
        <v>232201</v>
      </c>
    </row>
    <row r="21" spans="1:17">
      <c r="B21" s="130" t="s">
        <v>406</v>
      </c>
      <c r="C21" s="52" t="str">
        <f>'Incremental Rev Req'!B126</f>
        <v>A.24-05-009</v>
      </c>
      <c r="D21" t="str">
        <f>'Incremental Rev Req'!A126</f>
        <v>2025 ERRA Forecast</v>
      </c>
      <c r="Q21" s="231">
        <f>SUM('Incremental Rev Req'!L126:L136)</f>
        <v>-102520.62204544189</v>
      </c>
    </row>
    <row r="22" spans="1:17">
      <c r="B22" s="130" t="s">
        <v>621</v>
      </c>
      <c r="C22" s="52" t="str">
        <f>C14</f>
        <v>A.24-06-013</v>
      </c>
      <c r="D22" t="str">
        <f>D14</f>
        <v>Vegetation Management Securitization</v>
      </c>
      <c r="Q22" s="231">
        <f>Q14</f>
        <v>319024.97450755164</v>
      </c>
    </row>
    <row r="23" spans="1:17">
      <c r="Q23" s="181"/>
    </row>
    <row r="24" spans="1:17">
      <c r="A24">
        <v>4</v>
      </c>
      <c r="B24" t="s">
        <v>397</v>
      </c>
      <c r="Q24" s="181"/>
    </row>
    <row r="25" spans="1:17">
      <c r="B25" s="130" t="s">
        <v>390</v>
      </c>
      <c r="C25" s="52" t="str">
        <f>'Incremental Rev Req'!B122</f>
        <v>A.24-03-011</v>
      </c>
      <c r="D25" s="52" t="str">
        <f>'Incremental Rev Req'!A122</f>
        <v>Gas AMI</v>
      </c>
      <c r="Q25" s="138">
        <f>'Incremental Rev Req'!G122+'Incremental Rev Req'!G123</f>
        <v>34686.621545033064</v>
      </c>
    </row>
    <row r="26" spans="1:17">
      <c r="B26" s="407" t="s">
        <v>393</v>
      </c>
      <c r="C26" s="212" t="str">
        <f>'Incremental Rev Req'!B124</f>
        <v>A.22-04-008</v>
      </c>
      <c r="D26" s="213" t="str">
        <f>'Incremental Rev Req'!A124</f>
        <v>2023 Cost of Capital Phase 2</v>
      </c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408">
        <f>'Incremental Rev Req'!G124+'Incremental Rev Req'!G125</f>
        <v>61449.077619287047</v>
      </c>
    </row>
    <row r="27" spans="1:17">
      <c r="B27" s="187" t="s">
        <v>394</v>
      </c>
      <c r="C27" s="52" t="str">
        <f>C21</f>
        <v>A.24-05-009</v>
      </c>
      <c r="D27" t="str">
        <f>D21</f>
        <v>2025 ERRA Forecast</v>
      </c>
      <c r="Q27" s="138">
        <f>Q21</f>
        <v>-102520.62204544189</v>
      </c>
    </row>
    <row r="28" spans="1:17">
      <c r="B28" s="187" t="s">
        <v>395</v>
      </c>
      <c r="C28" s="52"/>
      <c r="Q28" s="138"/>
    </row>
    <row r="29" spans="1:17">
      <c r="B29" s="187" t="s">
        <v>406</v>
      </c>
      <c r="C29" s="52"/>
      <c r="Q29" s="138"/>
    </row>
    <row r="30" spans="1:17">
      <c r="B30" s="187"/>
      <c r="C30" s="52"/>
      <c r="Q30" s="229"/>
    </row>
    <row r="31" spans="1:17" ht="15" customHeight="1">
      <c r="A31">
        <v>5</v>
      </c>
      <c r="B31" s="11" t="s">
        <v>398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81"/>
    </row>
    <row r="32" spans="1:17">
      <c r="B32" s="130" t="s">
        <v>390</v>
      </c>
      <c r="C32" s="130" t="s">
        <v>399</v>
      </c>
      <c r="Q32" s="181">
        <f>'Incremental Rev Req'!R129</f>
        <v>20295303.695783123</v>
      </c>
    </row>
    <row r="33" spans="1:23">
      <c r="B33" s="130" t="s">
        <v>393</v>
      </c>
      <c r="C33" s="130" t="s">
        <v>400</v>
      </c>
      <c r="Q33" s="181">
        <f>'Incremental Rev Req'!S129</f>
        <v>16972792.259923406</v>
      </c>
    </row>
    <row r="34" spans="1:23">
      <c r="B34" s="130" t="s">
        <v>394</v>
      </c>
      <c r="C34" s="130" t="s">
        <v>404</v>
      </c>
      <c r="Q34" s="181">
        <f>'Incremental Rev Req'!T129</f>
        <v>18074704.245433107</v>
      </c>
    </row>
    <row r="35" spans="1:23">
      <c r="B35" s="130" t="s">
        <v>395</v>
      </c>
      <c r="C35" s="130" t="s">
        <v>543</v>
      </c>
      <c r="Q35" s="181">
        <f>'Incremental Rev Req'!U129</f>
        <v>16903025.733269006</v>
      </c>
    </row>
    <row r="36" spans="1:23">
      <c r="R36" s="174"/>
      <c r="S36" s="174"/>
      <c r="T36" s="174"/>
    </row>
    <row r="37" spans="1:23">
      <c r="A37">
        <v>6</v>
      </c>
      <c r="B37" s="9" t="s">
        <v>401</v>
      </c>
      <c r="C37" s="9"/>
      <c r="D37" s="9"/>
      <c r="E37" s="9"/>
      <c r="F37" s="9"/>
      <c r="G37" s="9"/>
      <c r="H37" s="9"/>
      <c r="I37" s="9"/>
      <c r="J37" s="9"/>
      <c r="K37" s="9"/>
      <c r="L37" s="10"/>
      <c r="M37" s="10"/>
      <c r="N37" s="10"/>
      <c r="O37" s="10"/>
      <c r="R37" s="191" t="s">
        <v>402</v>
      </c>
    </row>
    <row r="38" spans="1:23">
      <c r="B38" s="130" t="s">
        <v>390</v>
      </c>
      <c r="C38" s="130" t="str">
        <f>C32</f>
        <v>YE 2024</v>
      </c>
      <c r="R38" s="192">
        <v>35.523880619336104</v>
      </c>
    </row>
    <row r="39" spans="1:23">
      <c r="B39" s="130" t="s">
        <v>393</v>
      </c>
      <c r="C39" s="130" t="str">
        <f>C33</f>
        <v>YE 2025</v>
      </c>
      <c r="R39" s="192">
        <v>32.177348337686077</v>
      </c>
    </row>
    <row r="40" spans="1:23">
      <c r="B40" s="130" t="s">
        <v>394</v>
      </c>
      <c r="C40" s="130" t="str">
        <f>C34</f>
        <v>YE 2026</v>
      </c>
      <c r="R40" s="192">
        <v>36.253938913402564</v>
      </c>
    </row>
    <row r="41" spans="1:23">
      <c r="B41" s="130" t="s">
        <v>395</v>
      </c>
      <c r="C41" s="130" t="str">
        <f>C35</f>
        <v>YE 2027</v>
      </c>
      <c r="R41" s="192">
        <v>34.361641902319036</v>
      </c>
    </row>
    <row r="43" spans="1:23">
      <c r="A43">
        <v>7</v>
      </c>
      <c r="B43" s="82" t="s">
        <v>403</v>
      </c>
      <c r="S43" s="191" t="s">
        <v>50</v>
      </c>
      <c r="T43" s="191" t="s">
        <v>51</v>
      </c>
    </row>
    <row r="44" spans="1:23">
      <c r="B44" t="s">
        <v>390</v>
      </c>
      <c r="C44" s="130" t="str">
        <f>C32</f>
        <v>YE 2024</v>
      </c>
      <c r="S44" s="193">
        <v>210.26248988570251</v>
      </c>
      <c r="T44" s="193">
        <v>133.48592786610249</v>
      </c>
      <c r="U44" s="406"/>
      <c r="V44" s="406"/>
      <c r="W44" s="406"/>
    </row>
    <row r="45" spans="1:23">
      <c r="B45" t="s">
        <v>393</v>
      </c>
      <c r="C45" s="130" t="str">
        <f>C33</f>
        <v>YE 2025</v>
      </c>
      <c r="S45" s="193">
        <v>194.10187221809471</v>
      </c>
      <c r="T45" s="193">
        <v>122.9790462345107</v>
      </c>
    </row>
    <row r="46" spans="1:23">
      <c r="B46" t="s">
        <v>394</v>
      </c>
      <c r="C46" s="130" t="str">
        <f>C34</f>
        <v>YE 2026</v>
      </c>
      <c r="S46" s="193">
        <v>213.64872685945355</v>
      </c>
      <c r="T46" s="193">
        <v>135.68750158014657</v>
      </c>
    </row>
    <row r="47" spans="1:23">
      <c r="B47" t="s">
        <v>395</v>
      </c>
      <c r="C47" s="130" t="str">
        <f>C35</f>
        <v>YE 2027</v>
      </c>
      <c r="S47" s="193">
        <v>202.73516322458465</v>
      </c>
      <c r="T47" s="193">
        <v>128.59201032796193</v>
      </c>
    </row>
    <row r="49" spans="1:24">
      <c r="A49">
        <v>8</v>
      </c>
      <c r="B49" s="82" t="s">
        <v>488</v>
      </c>
      <c r="C49" s="82"/>
      <c r="D49" s="82"/>
      <c r="E49" s="82"/>
      <c r="F49" s="82"/>
      <c r="G49" s="82"/>
      <c r="H49" s="82"/>
      <c r="I49" s="82"/>
      <c r="J49" s="82"/>
      <c r="K49" s="82"/>
      <c r="R49" s="191" t="s">
        <v>402</v>
      </c>
    </row>
    <row r="50" spans="1:24">
      <c r="B50" s="82" t="s">
        <v>390</v>
      </c>
      <c r="C50" s="130" t="str">
        <f>C32</f>
        <v>YE 2024</v>
      </c>
      <c r="R50" s="192">
        <v>42.398180631314467</v>
      </c>
    </row>
    <row r="51" spans="1:24">
      <c r="B51" s="82" t="s">
        <v>393</v>
      </c>
      <c r="C51" s="130" t="str">
        <f>C33</f>
        <v>YE 2025</v>
      </c>
      <c r="R51" s="192">
        <v>38.499379011659698</v>
      </c>
    </row>
    <row r="52" spans="1:24">
      <c r="B52" s="82" t="s">
        <v>394</v>
      </c>
      <c r="C52" s="130" t="str">
        <f>C34</f>
        <v>YE 2026</v>
      </c>
      <c r="R52" s="192">
        <v>41.927753406939274</v>
      </c>
    </row>
    <row r="53" spans="1:24">
      <c r="B53" s="82" t="s">
        <v>395</v>
      </c>
      <c r="C53" s="130" t="str">
        <f>C35</f>
        <v>YE 2027</v>
      </c>
      <c r="R53" s="192">
        <v>39.815201872673995</v>
      </c>
    </row>
    <row r="55" spans="1:24">
      <c r="A55">
        <v>9</v>
      </c>
      <c r="B55" s="82" t="s">
        <v>489</v>
      </c>
      <c r="S55" s="230" t="s">
        <v>442</v>
      </c>
      <c r="T55" s="230" t="s">
        <v>441</v>
      </c>
      <c r="U55" s="230" t="s">
        <v>439</v>
      </c>
    </row>
    <row r="56" spans="1:24">
      <c r="B56" s="82" t="s">
        <v>390</v>
      </c>
      <c r="C56" s="130" t="str">
        <f>C32</f>
        <v>YE 2024</v>
      </c>
      <c r="S56" s="193">
        <v>427.3096621060854</v>
      </c>
      <c r="T56" s="193">
        <v>510.36031595614628</v>
      </c>
      <c r="U56" s="193">
        <v>1279.3349437422255</v>
      </c>
      <c r="V56" s="406"/>
      <c r="W56" s="406"/>
      <c r="X56" s="406"/>
    </row>
    <row r="57" spans="1:24">
      <c r="B57" s="82" t="s">
        <v>393</v>
      </c>
      <c r="C57" s="130" t="str">
        <f>C33</f>
        <v>YE 2025</v>
      </c>
      <c r="S57" s="193">
        <v>388.53237046749751</v>
      </c>
      <c r="T57" s="193">
        <v>463.92857115973567</v>
      </c>
      <c r="U57" s="193">
        <v>1162.2725262039291</v>
      </c>
    </row>
    <row r="58" spans="1:24">
      <c r="B58" s="82" t="s">
        <v>394</v>
      </c>
      <c r="C58" s="130" t="str">
        <f>C34</f>
        <v>YE 2026</v>
      </c>
      <c r="S58" s="193">
        <v>422.80060882754259</v>
      </c>
      <c r="T58" s="193">
        <v>504.96119698068952</v>
      </c>
      <c r="U58" s="193">
        <v>1265.7228358489053</v>
      </c>
    </row>
    <row r="59" spans="1:24">
      <c r="B59" s="82" t="s">
        <v>395</v>
      </c>
      <c r="C59" s="130" t="str">
        <f>C35</f>
        <v>YE 2027</v>
      </c>
      <c r="S59" s="193">
        <v>401.68464797339612</v>
      </c>
      <c r="T59" s="193">
        <v>479.67704576536693</v>
      </c>
      <c r="U59" s="193">
        <v>1201.9771403199632</v>
      </c>
    </row>
  </sheetData>
  <mergeCells count="2">
    <mergeCell ref="B31:P31"/>
    <mergeCell ref="B37:O37"/>
  </mergeCells>
  <pageMargins left="0.7" right="0.7" top="0.75" bottom="0.75" header="0.3" footer="0.3"/>
  <pageSetup orientation="portrait" horizontalDpi="90" verticalDpi="90" r:id="rId1"/>
  <headerFooter>
    <oddFooter xml:space="preserve">&amp;C_x000D_&amp;1#&amp;"Calibri"&amp;12&amp;K000000 Public </oddFooter>
  </headerFooter>
  <ignoredErrors>
    <ignoredError sqref="Q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114A5-23CA-4D29-8133-0310149FE819}">
  <dimension ref="A2:A6"/>
  <sheetViews>
    <sheetView zoomScale="145" zoomScaleNormal="145" workbookViewId="0">
      <selection activeCell="A8" sqref="A8"/>
    </sheetView>
  </sheetViews>
  <sheetFormatPr defaultRowHeight="15"/>
  <cols>
    <col min="1" max="1" width="150.5703125" customWidth="1"/>
  </cols>
  <sheetData>
    <row r="2" spans="1:1" ht="18.75">
      <c r="A2" s="270" t="s">
        <v>622</v>
      </c>
    </row>
    <row r="3" spans="1:1">
      <c r="A3" s="271" t="s">
        <v>615</v>
      </c>
    </row>
    <row r="4" spans="1:1">
      <c r="A4" s="271" t="s">
        <v>610</v>
      </c>
    </row>
    <row r="5" spans="1:1">
      <c r="A5" s="271" t="s">
        <v>614</v>
      </c>
    </row>
    <row r="6" spans="1:1">
      <c r="A6" s="271" t="s">
        <v>623</v>
      </c>
    </row>
  </sheetData>
  <pageMargins left="0.7" right="0.7" top="0.75" bottom="0.75" header="0.3" footer="0.3"/>
  <headerFooter>
    <oddFooter xml:space="preserve">&amp;C_x000D_&amp;1#&amp;"Calibri"&amp;12&amp;K000000 Public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F5594-86D7-4A74-ADC8-CCFD10B340D6}">
  <sheetPr codeName="Sheet3"/>
  <dimension ref="A1:T116"/>
  <sheetViews>
    <sheetView tabSelected="1" zoomScale="55" zoomScaleNormal="55" workbookViewId="0">
      <selection activeCell="K22" sqref="K22"/>
    </sheetView>
  </sheetViews>
  <sheetFormatPr defaultColWidth="8.85546875" defaultRowHeight="15"/>
  <cols>
    <col min="1" max="1" width="5.5703125" style="61" customWidth="1"/>
    <col min="2" max="2" width="25.5703125" style="61" customWidth="1"/>
    <col min="3" max="3" width="18.140625" style="61" customWidth="1"/>
    <col min="4" max="4" width="23.28515625" style="61" customWidth="1"/>
    <col min="5" max="5" width="18" style="61" customWidth="1"/>
    <col min="6" max="7" width="13.42578125" style="61" customWidth="1"/>
    <col min="8" max="8" width="15" style="61" customWidth="1"/>
    <col min="9" max="9" width="15.140625" style="61" customWidth="1"/>
    <col min="10" max="10" width="17.85546875" style="61" customWidth="1"/>
    <col min="11" max="11" width="18.28515625" style="61" customWidth="1"/>
    <col min="12" max="12" width="18" style="61" customWidth="1"/>
    <col min="13" max="13" width="18.28515625" style="61" customWidth="1"/>
    <col min="14" max="15" width="13.42578125" style="61" customWidth="1"/>
    <col min="16" max="16" width="14.85546875" style="61" bestFit="1" customWidth="1"/>
    <col min="17" max="17" width="15" style="61" bestFit="1" customWidth="1"/>
    <col min="18" max="19" width="15.85546875" style="61" customWidth="1"/>
    <col min="20" max="24" width="15.5703125" style="61" customWidth="1"/>
    <col min="25" max="16384" width="8.85546875" style="61"/>
  </cols>
  <sheetData>
    <row r="1" spans="2:18">
      <c r="B1" s="17"/>
    </row>
    <row r="2" spans="2:18">
      <c r="B2" s="56" t="s">
        <v>146</v>
      </c>
      <c r="J2" s="56" t="s">
        <v>23</v>
      </c>
      <c r="K2" s="57"/>
      <c r="L2" s="57"/>
    </row>
    <row r="3" spans="2:18">
      <c r="B3" s="57"/>
      <c r="C3" s="78" t="str">
        <f>"Rate Impact for Year ("&amp;'Incremental Rev Req'!$F$9&amp;" - "&amp;'Incremental Rev Req'!$I$9&amp;")"</f>
        <v>Rate Impact for Year (2024 - 2027)</v>
      </c>
      <c r="D3" s="64">
        <v>2024</v>
      </c>
      <c r="E3" s="57"/>
      <c r="H3" s="63" t="s">
        <v>593</v>
      </c>
      <c r="I3" s="241" t="s">
        <v>150</v>
      </c>
      <c r="J3" s="57" t="s">
        <v>147</v>
      </c>
      <c r="K3" s="59"/>
      <c r="L3" s="137">
        <v>45536</v>
      </c>
    </row>
    <row r="4" spans="2:18">
      <c r="B4" s="60"/>
      <c r="C4" s="79" t="s">
        <v>148</v>
      </c>
      <c r="D4" s="64" t="s">
        <v>214</v>
      </c>
      <c r="H4" s="63" t="s">
        <v>594</v>
      </c>
      <c r="I4" s="64">
        <v>500</v>
      </c>
      <c r="J4" s="57" t="s">
        <v>42</v>
      </c>
      <c r="K4" s="59"/>
      <c r="L4" s="134">
        <f>D3</f>
        <v>2024</v>
      </c>
    </row>
    <row r="5" spans="2:18">
      <c r="J5" s="60" t="s">
        <v>36</v>
      </c>
      <c r="L5" s="62">
        <v>4</v>
      </c>
      <c r="M5" s="60" t="s">
        <v>37</v>
      </c>
    </row>
    <row r="6" spans="2:18">
      <c r="F6" s="80"/>
      <c r="J6" s="60" t="s">
        <v>38</v>
      </c>
      <c r="L6" s="118">
        <v>8</v>
      </c>
      <c r="M6" s="60" t="s">
        <v>37</v>
      </c>
    </row>
    <row r="7" spans="2:18" ht="15" customHeight="1">
      <c r="B7" s="273" t="s">
        <v>196</v>
      </c>
      <c r="C7" s="273"/>
      <c r="D7" s="274" t="s">
        <v>149</v>
      </c>
      <c r="E7" s="274" t="s">
        <v>161</v>
      </c>
      <c r="J7" s="60" t="s">
        <v>35</v>
      </c>
      <c r="L7" s="155" t="s">
        <v>247</v>
      </c>
      <c r="M7" s="65"/>
      <c r="N7" s="57"/>
    </row>
    <row r="8" spans="2:18">
      <c r="B8" s="61" t="s">
        <v>339</v>
      </c>
      <c r="D8" s="80" t="s">
        <v>150</v>
      </c>
      <c r="E8" s="80" t="s">
        <v>405</v>
      </c>
      <c r="F8" s="81"/>
      <c r="J8" s="61" t="s">
        <v>285</v>
      </c>
      <c r="L8" s="160">
        <v>-55.172064855908701</v>
      </c>
      <c r="P8" s="61" t="s">
        <v>448</v>
      </c>
      <c r="Q8" s="61" t="s">
        <v>448</v>
      </c>
    </row>
    <row r="9" spans="2:18">
      <c r="B9" s="61" t="s">
        <v>420</v>
      </c>
      <c r="D9" s="80" t="s">
        <v>150</v>
      </c>
      <c r="E9" s="80" t="s">
        <v>432</v>
      </c>
      <c r="F9" s="81"/>
      <c r="N9" s="61" t="s">
        <v>250</v>
      </c>
      <c r="O9" s="61" t="s">
        <v>251</v>
      </c>
      <c r="P9" s="61" t="s">
        <v>250</v>
      </c>
      <c r="Q9" s="61" t="s">
        <v>251</v>
      </c>
    </row>
    <row r="10" spans="2:18">
      <c r="B10" s="61" t="s">
        <v>463</v>
      </c>
      <c r="D10" s="80" t="s">
        <v>150</v>
      </c>
      <c r="E10" s="80" t="s">
        <v>464</v>
      </c>
      <c r="F10" s="81"/>
      <c r="J10" s="60" t="s">
        <v>52</v>
      </c>
      <c r="N10" s="162">
        <f>IF($D$4="ALL",SUMPRODUCT('Res Bill Impact'!Q$22:Q$31,'Res Bill Impact'!$U$22:$U$31),VLOOKUP(D$4,'Res Bill Impact'!$P$22:$T$31,2,FALSE))</f>
        <v>406.5</v>
      </c>
      <c r="O10" s="162">
        <f>IF($D$4="ALL",SUMPRODUCT('Res Bill Impact'!Y$22:Y$31,'Res Bill Impact'!$AC$22:$AC$31),VLOOKUP($D$4,'Res Bill Impact'!$X$22:$AB$31,2,FALSE))</f>
        <v>316.25</v>
      </c>
      <c r="P10" s="162">
        <f>VLOOKUP($D$4,'Res Bill Impact'!$H$22:$J$31,2,FALSE)</f>
        <v>298.28750000000002</v>
      </c>
      <c r="Q10" s="162">
        <f>VLOOKUP($D$4,'Res Bill Impact'!$L$22:$N$31,2,FALSE)</f>
        <v>258.71875</v>
      </c>
      <c r="R10" s="60" t="s">
        <v>32</v>
      </c>
    </row>
    <row r="11" spans="2:18">
      <c r="B11" s="61" t="s">
        <v>431</v>
      </c>
      <c r="D11" s="80" t="s">
        <v>150</v>
      </c>
      <c r="E11" s="80" t="s">
        <v>432</v>
      </c>
      <c r="F11" s="81"/>
      <c r="J11" s="60" t="s">
        <v>53</v>
      </c>
      <c r="N11" s="162">
        <f>IF($D$4="ALL",SUMPRODUCT('Res Bill Impact'!R$22:R$31,'Res Bill Impact'!$U$22:$U$31),VLOOKUP(D$4,'Res Bill Impact'!$P$22:$T$31,3,FALSE))</f>
        <v>388.625</v>
      </c>
      <c r="O11" s="162">
        <f>IF($D$4="ALL",SUMPRODUCT('Res Bill Impact'!Y$22:Y$31,'Res Bill Impact'!$AC$22:$AC$31),VLOOKUP($D$4,'Res Bill Impact'!$X$22:$AB$31,3,FALSE))</f>
        <v>367.625</v>
      </c>
      <c r="P11" s="162">
        <f>VLOOKUP($D$4,'Res Bill Impact'!$H$22:$J$31,3,FALSE)</f>
        <v>295.24374999999998</v>
      </c>
      <c r="Q11" s="162">
        <f>VLOOKUP($D$4,'Res Bill Impact'!$L$22:$N$31,3,FALSE)</f>
        <v>444.38749999999999</v>
      </c>
      <c r="R11" s="60" t="s">
        <v>32</v>
      </c>
    </row>
    <row r="12" spans="2:18">
      <c r="B12" s="61" t="s">
        <v>564</v>
      </c>
      <c r="D12" s="80" t="s">
        <v>150</v>
      </c>
      <c r="E12" s="80">
        <v>2025</v>
      </c>
      <c r="F12" s="81"/>
      <c r="J12" s="60" t="s">
        <v>248</v>
      </c>
      <c r="N12" s="162">
        <f>(N10*4)+(N11*8)</f>
        <v>4735</v>
      </c>
      <c r="O12" s="162">
        <f>(O10*4)+(O11*8)</f>
        <v>4206</v>
      </c>
      <c r="P12" s="162">
        <f>(P10*4)+(P11*8)</f>
        <v>3555.1</v>
      </c>
      <c r="Q12" s="162">
        <f>(Q10*4)+(Q11*8)</f>
        <v>4589.9750000000004</v>
      </c>
      <c r="R12" s="60" t="s">
        <v>262</v>
      </c>
    </row>
    <row r="13" spans="2:18">
      <c r="B13" s="61" t="s">
        <v>550</v>
      </c>
      <c r="D13" s="80" t="s">
        <v>150</v>
      </c>
      <c r="E13" s="80" t="s">
        <v>464</v>
      </c>
      <c r="F13" s="81"/>
      <c r="J13" s="60" t="s">
        <v>54</v>
      </c>
      <c r="N13" s="162">
        <f>IF(D$4="ALL",SUMPRODUCT('Res Bill Impact'!S$22:S$31,'Res Bill Impact'!$V$22:$V$31),VLOOKUP(D$4,'Res Bill Impact'!$P$22:$T$31,4,FALSE))</f>
        <v>379.75</v>
      </c>
      <c r="O13" s="162">
        <f>IF($D$4="ALL",SUMPRODUCT('Res Bill Impact'!Y$22:Y$31,'Res Bill Impact'!$AD$22:$AD$31),VLOOKUP($D$4,'Res Bill Impact'!$X$22:$AB$31,4,FALSE))</f>
        <v>319.75</v>
      </c>
      <c r="P13" s="162">
        <f t="shared" ref="P13:Q15" si="0">P10</f>
        <v>298.28750000000002</v>
      </c>
      <c r="Q13" s="162">
        <f t="shared" si="0"/>
        <v>258.71875</v>
      </c>
      <c r="R13" s="60" t="s">
        <v>32</v>
      </c>
    </row>
    <row r="14" spans="2:18">
      <c r="B14" s="61" t="s">
        <v>584</v>
      </c>
      <c r="D14" s="80" t="s">
        <v>150</v>
      </c>
      <c r="E14" s="80">
        <v>2025</v>
      </c>
      <c r="F14" s="81"/>
      <c r="J14" s="60" t="s">
        <v>55</v>
      </c>
      <c r="N14" s="162">
        <f>IF($D$4="ALL",SUMPRODUCT('Res Bill Impact'!T$22:T$31,'Res Bill Impact'!$V$22:$V$31),VLOOKUP(D$4,'Res Bill Impact'!$P$22:$T$31,5,FALSE))</f>
        <v>381.375</v>
      </c>
      <c r="O14" s="162">
        <f>IF($D$4="ALL",SUMPRODUCT('Res Bill Impact'!Y$22:Y$31,'Res Bill Impact'!$AD$22:$AD$31),VLOOKUP($D$4,'Res Bill Impact'!$X$22:$AB$31,5,FALSE))</f>
        <v>394.5</v>
      </c>
      <c r="P14" s="162">
        <f t="shared" si="0"/>
        <v>295.24374999999998</v>
      </c>
      <c r="Q14" s="162">
        <f t="shared" si="0"/>
        <v>444.38749999999999</v>
      </c>
      <c r="R14" s="60" t="s">
        <v>32</v>
      </c>
    </row>
    <row r="15" spans="2:18">
      <c r="B15" s="61" t="s">
        <v>561</v>
      </c>
      <c r="D15" s="80" t="s">
        <v>150</v>
      </c>
      <c r="E15" s="80">
        <v>2025</v>
      </c>
      <c r="F15" s="81"/>
      <c r="J15" s="60" t="s">
        <v>249</v>
      </c>
      <c r="N15" s="162">
        <f>(N13*4)+(N14*8)</f>
        <v>4570</v>
      </c>
      <c r="O15" s="162">
        <f>(O13*4)+(O14*8)</f>
        <v>4435</v>
      </c>
      <c r="P15" s="162">
        <f t="shared" si="0"/>
        <v>3555.1</v>
      </c>
      <c r="Q15" s="162">
        <f t="shared" si="0"/>
        <v>4589.9750000000004</v>
      </c>
      <c r="R15" s="60" t="s">
        <v>262</v>
      </c>
    </row>
    <row r="16" spans="2:18">
      <c r="B16" s="61" t="s">
        <v>587</v>
      </c>
      <c r="D16" s="80" t="s">
        <v>150</v>
      </c>
      <c r="E16" s="80" t="s">
        <v>558</v>
      </c>
      <c r="F16" s="81"/>
      <c r="J16" s="60" t="s">
        <v>34</v>
      </c>
      <c r="N16" s="63"/>
      <c r="P16" s="102" t="str">
        <f>LEFT('Res Bill Impact'!P19,4)</f>
        <v>2023</v>
      </c>
    </row>
    <row r="17" spans="1:20">
      <c r="A17" s="161"/>
      <c r="D17" s="80"/>
      <c r="E17" s="80"/>
      <c r="F17" s="81"/>
      <c r="J17" s="60"/>
      <c r="M17" s="60"/>
    </row>
    <row r="18" spans="1:20">
      <c r="A18" s="161"/>
      <c r="B18" s="161"/>
      <c r="C18" s="161"/>
      <c r="D18" s="161"/>
      <c r="E18" s="161"/>
      <c r="F18" s="81"/>
      <c r="J18" s="60"/>
      <c r="M18" s="60"/>
    </row>
    <row r="19" spans="1:20">
      <c r="A19" s="161"/>
      <c r="B19" s="161"/>
      <c r="C19" s="161"/>
      <c r="D19" s="161"/>
      <c r="E19" s="161"/>
      <c r="F19" s="81"/>
      <c r="G19"/>
      <c r="J19" s="60"/>
      <c r="M19" s="60"/>
    </row>
    <row r="20" spans="1:20">
      <c r="A20" s="161"/>
      <c r="B20" s="161"/>
      <c r="C20" s="161"/>
      <c r="D20" s="161"/>
      <c r="E20" s="161"/>
      <c r="F20" s="81"/>
      <c r="J20" s="60"/>
      <c r="M20" s="60"/>
    </row>
    <row r="21" spans="1:20">
      <c r="D21" s="161"/>
      <c r="F21" s="81"/>
      <c r="J21" s="60"/>
      <c r="M21" s="60"/>
    </row>
    <row r="22" spans="1:20">
      <c r="F22" s="81"/>
      <c r="J22" s="60"/>
      <c r="M22" s="60"/>
    </row>
    <row r="23" spans="1:20">
      <c r="F23" s="81"/>
      <c r="J23" s="60"/>
      <c r="M23" s="60"/>
    </row>
    <row r="24" spans="1:20">
      <c r="F24" s="81"/>
      <c r="J24" s="60"/>
      <c r="M24" s="60"/>
    </row>
    <row r="25" spans="1:20">
      <c r="D25" s="269"/>
      <c r="F25" s="81"/>
      <c r="J25" s="60"/>
      <c r="M25" s="60"/>
    </row>
    <row r="26" spans="1:20">
      <c r="D26" s="80"/>
      <c r="E26" s="80"/>
      <c r="F26" s="81"/>
      <c r="J26" s="60"/>
      <c r="M26" s="60"/>
    </row>
    <row r="27" spans="1:20">
      <c r="F27" s="172"/>
      <c r="J27" s="60"/>
      <c r="M27" s="60"/>
    </row>
    <row r="28" spans="1:20">
      <c r="B28" s="78"/>
      <c r="C28" s="81"/>
      <c r="D28" s="81"/>
      <c r="F28" s="172"/>
      <c r="J28" s="60"/>
      <c r="M28" s="60"/>
      <c r="P28" s="172"/>
    </row>
    <row r="29" spans="1:20">
      <c r="B29" s="56" t="s">
        <v>151</v>
      </c>
      <c r="F29" s="172"/>
      <c r="P29" s="172"/>
    </row>
    <row r="30" spans="1:20" ht="15.75" thickBot="1">
      <c r="D30" s="88" t="s">
        <v>165</v>
      </c>
      <c r="E30" s="88" t="s">
        <v>166</v>
      </c>
      <c r="F30" s="88" t="s">
        <v>167</v>
      </c>
      <c r="G30" s="88" t="s">
        <v>170</v>
      </c>
      <c r="H30" s="88" t="s">
        <v>171</v>
      </c>
      <c r="I30" s="88" t="s">
        <v>172</v>
      </c>
      <c r="J30" s="88" t="s">
        <v>173</v>
      </c>
      <c r="N30" s="88" t="s">
        <v>165</v>
      </c>
      <c r="O30" s="88" t="s">
        <v>166</v>
      </c>
      <c r="P30" s="88" t="s">
        <v>167</v>
      </c>
      <c r="Q30" s="88" t="s">
        <v>170</v>
      </c>
      <c r="R30" s="88" t="s">
        <v>171</v>
      </c>
      <c r="S30" s="88" t="s">
        <v>172</v>
      </c>
      <c r="T30" s="88" t="s">
        <v>173</v>
      </c>
    </row>
    <row r="31" spans="1:20">
      <c r="B31" s="411" t="s">
        <v>152</v>
      </c>
      <c r="C31" s="412"/>
      <c r="D31" s="412"/>
      <c r="E31" s="412"/>
      <c r="F31" s="412"/>
      <c r="G31" s="412"/>
      <c r="H31" s="412"/>
      <c r="I31" s="412"/>
      <c r="J31" s="413"/>
      <c r="L31" s="414" t="s">
        <v>153</v>
      </c>
      <c r="M31" s="415"/>
      <c r="N31" s="415"/>
      <c r="O31" s="415"/>
      <c r="P31" s="415"/>
      <c r="Q31" s="415"/>
      <c r="R31" s="415"/>
      <c r="S31" s="415"/>
      <c r="T31" s="416"/>
    </row>
    <row r="32" spans="1:20" ht="30">
      <c r="B32" s="417" t="s">
        <v>19</v>
      </c>
      <c r="C32" s="418"/>
      <c r="D32" s="55">
        <v>45292</v>
      </c>
      <c r="E32" s="55">
        <f>L3</f>
        <v>45536</v>
      </c>
      <c r="F32" s="58" t="str">
        <f>$D$3&amp;" Authorized"</f>
        <v>2024 Authorized</v>
      </c>
      <c r="G32" s="58" t="str">
        <f>$D$3&amp;" w/Pending"</f>
        <v>2024 w/Pending</v>
      </c>
      <c r="H32" s="275" t="str">
        <f>"% Change over "&amp;TEXT(D32,"mm/d/yyy")</f>
        <v>% Change over 01/1/2024</v>
      </c>
      <c r="I32" s="275" t="str">
        <f>"% Change over "&amp;TEXT(L3,"mm/d/yyy")</f>
        <v>% Change over 09/1/2024</v>
      </c>
      <c r="J32" s="116" t="s">
        <v>197</v>
      </c>
      <c r="L32" s="419" t="s">
        <v>19</v>
      </c>
      <c r="M32" s="420"/>
      <c r="N32" s="55">
        <f>$D$32</f>
        <v>45292</v>
      </c>
      <c r="O32" s="55">
        <f>$E$32</f>
        <v>45536</v>
      </c>
      <c r="P32" s="58" t="str">
        <f>$D$3&amp;" Authorized"</f>
        <v>2024 Authorized</v>
      </c>
      <c r="Q32" s="58" t="str">
        <f>$D$3&amp;" w/Pending"</f>
        <v>2024 w/Pending</v>
      </c>
      <c r="R32" s="58" t="str">
        <f>$H$32</f>
        <v>% Change over 01/1/2024</v>
      </c>
      <c r="S32" s="58" t="str">
        <f>$I$32</f>
        <v>% Change over 09/1/2024</v>
      </c>
      <c r="T32" s="116" t="s">
        <v>197</v>
      </c>
    </row>
    <row r="33" spans="2:20">
      <c r="B33" s="421" t="s">
        <v>20</v>
      </c>
      <c r="C33" s="422"/>
      <c r="D33" s="269">
        <f>IF($I$3="Y",'SAR and RAR'!AB45,'SAR and RAR'!AC45)</f>
        <v>37.783684706270357</v>
      </c>
      <c r="E33" s="276">
        <f>IF($I$3="Y",'SAR and RAR'!AB50,'SAR and RAR'!AC50)</f>
        <v>35.006396929788679</v>
      </c>
      <c r="F33" s="276">
        <f>'SAR and RAR'!$H$28</f>
        <v>34.522666791545866</v>
      </c>
      <c r="G33" s="276">
        <f>'SAR and RAR'!$I$28</f>
        <v>35.523880619336104</v>
      </c>
      <c r="H33" s="66">
        <f t="shared" ref="H33:I35" si="1">$G33/D33-1</f>
        <v>-5.9808991751384877E-2</v>
      </c>
      <c r="I33" s="66">
        <f t="shared" si="1"/>
        <v>1.478254647530064E-2</v>
      </c>
      <c r="J33" s="67">
        <f t="shared" ref="J33:J34" si="2">$G33/F33-1</f>
        <v>2.9001636340429515E-2</v>
      </c>
      <c r="L33" s="421" t="s">
        <v>41</v>
      </c>
      <c r="M33" s="422"/>
      <c r="N33" s="276">
        <f>IF($I$3="Y",'SAR and RAR'!AE45,'SAR and RAR'!AF45)</f>
        <v>29.649295153825406</v>
      </c>
      <c r="O33" s="276">
        <f>IF($I$3="Y",'SAR and RAR'!AE50,'SAR and RAR'!AF50)</f>
        <v>27.909444716636877</v>
      </c>
      <c r="P33" s="276">
        <f>'SAR and RAR'!$R$28</f>
        <v>28.293019248307015</v>
      </c>
      <c r="Q33" s="276">
        <f>'SAR and RAR'!$S$28</f>
        <v>29.360720651896287</v>
      </c>
      <c r="R33" s="66">
        <f t="shared" ref="R33:T34" si="3">$Q33/N33-1</f>
        <v>-9.7329295833828988E-3</v>
      </c>
      <c r="S33" s="66">
        <f t="shared" si="3"/>
        <v>5.1999455739594191E-2</v>
      </c>
      <c r="T33" s="67">
        <f t="shared" si="3"/>
        <v>3.77372734319672E-2</v>
      </c>
    </row>
    <row r="34" spans="2:20">
      <c r="B34" s="277"/>
      <c r="C34" s="278" t="s">
        <v>479</v>
      </c>
      <c r="D34" s="279">
        <f>IF($I$3="Y",'SAR and AR (B-1)'!AB47,'SAR and AR (B-1)'!AC47)</f>
        <v>44.165460079574139</v>
      </c>
      <c r="E34" s="403">
        <f>IF($I$3="Y",'SAR and AR (B-1)'!AB52,'SAR and AR (B-1)'!AC52)</f>
        <v>41.415357790415229</v>
      </c>
      <c r="F34" s="279">
        <f>'SAR and AR (B-1)'!H28</f>
        <v>41.249593138898398</v>
      </c>
      <c r="G34" s="279">
        <f>'SAR and AR (B-1)'!I28</f>
        <v>42.398180631314467</v>
      </c>
      <c r="H34" s="66">
        <f t="shared" si="1"/>
        <v>-4.0014967467236096E-2</v>
      </c>
      <c r="I34" s="66">
        <f t="shared" si="1"/>
        <v>2.373087891387704E-2</v>
      </c>
      <c r="J34" s="67">
        <f t="shared" si="2"/>
        <v>2.7844819912488994E-2</v>
      </c>
      <c r="L34" s="277"/>
      <c r="M34" s="278" t="s">
        <v>479</v>
      </c>
      <c r="N34" s="279">
        <f>IF($I$3="Y",'SAR and AR (B-1)'!AE47,'SAR and AR (B-1)'!AF47)</f>
        <v>33.989411743627038</v>
      </c>
      <c r="O34" s="279">
        <f>IF($I$3="Y",'SAR and AR (B-1)'!AE52,'SAR and AR (B-1)'!AF52)</f>
        <v>32.485730848580296</v>
      </c>
      <c r="P34" s="279">
        <f>'SAR and AR (B-1)'!R28</f>
        <v>32.149805862916089</v>
      </c>
      <c r="Q34" s="279">
        <f>'SAR and AR (B-1)'!S28</f>
        <v>33.298393355332166</v>
      </c>
      <c r="R34" s="66">
        <f t="shared" si="3"/>
        <v>-2.0330401523481423E-2</v>
      </c>
      <c r="S34" s="66">
        <f t="shared" si="3"/>
        <v>2.5015983495639382E-2</v>
      </c>
      <c r="T34" s="67">
        <f t="shared" si="3"/>
        <v>3.5726109741176959E-2</v>
      </c>
    </row>
    <row r="35" spans="2:20" ht="15.75" thickBot="1">
      <c r="B35" s="6" t="s">
        <v>31</v>
      </c>
      <c r="C35" s="5"/>
      <c r="D35" s="280">
        <f>IF($I$3="Y",'SAR and RAR'!AB46,'SAR and RAR'!AC46)</f>
        <v>36.56790438719397</v>
      </c>
      <c r="E35" s="281">
        <f>IF($I$3="Y",'SAR and RAR'!AB51,'SAR and RAR'!AC51)</f>
        <v>33.950754071574565</v>
      </c>
      <c r="F35" s="281">
        <f>'SAR and RAR'!$H$29</f>
        <v>33.832219894883394</v>
      </c>
      <c r="G35" s="281">
        <f>'SAR and RAR'!$I$29</f>
        <v>34.738072465083427</v>
      </c>
      <c r="H35" s="68">
        <f t="shared" si="1"/>
        <v>-5.0039288626868905E-2</v>
      </c>
      <c r="I35" s="68">
        <f t="shared" si="1"/>
        <v>2.3190011975847247E-2</v>
      </c>
      <c r="J35" s="69">
        <f>$G35/F35-1</f>
        <v>2.6774848739293811E-2</v>
      </c>
      <c r="L35" s="6" t="s">
        <v>40</v>
      </c>
      <c r="M35" s="5"/>
      <c r="N35" s="281">
        <f>IF($I$3="Y",'SAR and RAR'!AE46,'SAR and RAR'!AF46)</f>
        <v>26.395764586261034</v>
      </c>
      <c r="O35" s="281">
        <f>IF($I$3="Y",'SAR and RAR'!AE51,'SAR and RAR'!AF51)</f>
        <v>24.967536977696753</v>
      </c>
      <c r="P35" s="281">
        <f>'SAR and RAR'!$R$29</f>
        <v>24.962315265183239</v>
      </c>
      <c r="Q35" s="281">
        <f>'SAR and RAR'!$S$29</f>
        <v>25.868167835383261</v>
      </c>
      <c r="R35" s="68">
        <f>$Q35/N35-1</f>
        <v>-1.9987932122731089E-2</v>
      </c>
      <c r="S35" s="68">
        <f>$Q35/O35-1</f>
        <v>3.6072074650015828E-2</v>
      </c>
      <c r="T35" s="69">
        <f>$Q35/P35-1</f>
        <v>3.6288804166474176E-2</v>
      </c>
    </row>
    <row r="37" spans="2:20" ht="15.75" thickBot="1"/>
    <row r="38" spans="2:20">
      <c r="B38" s="1" t="s">
        <v>267</v>
      </c>
      <c r="C38" s="409"/>
      <c r="D38" s="409"/>
      <c r="E38" s="409"/>
      <c r="F38" s="409"/>
      <c r="G38" s="409"/>
      <c r="H38" s="409"/>
      <c r="I38" s="409"/>
      <c r="J38" s="410"/>
      <c r="L38" s="1" t="s">
        <v>276</v>
      </c>
      <c r="M38" s="409"/>
      <c r="N38" s="409"/>
      <c r="O38" s="409"/>
      <c r="P38" s="409"/>
      <c r="Q38" s="409"/>
      <c r="R38" s="409"/>
      <c r="S38" s="409"/>
      <c r="T38" s="410"/>
    </row>
    <row r="39" spans="2:20" ht="30">
      <c r="B39" s="70"/>
      <c r="C39" s="71"/>
      <c r="D39" s="55">
        <f>$D$32</f>
        <v>45292</v>
      </c>
      <c r="E39" s="55">
        <f>$E$32</f>
        <v>45536</v>
      </c>
      <c r="F39" s="58" t="str">
        <f>$D$3&amp;" Authorized"</f>
        <v>2024 Authorized</v>
      </c>
      <c r="G39" s="58" t="str">
        <f>$D$3&amp;" w/Pending"</f>
        <v>2024 w/Pending</v>
      </c>
      <c r="H39" s="58" t="str">
        <f>$H$32</f>
        <v>% Change over 01/1/2024</v>
      </c>
      <c r="I39" s="58" t="str">
        <f>$I$32</f>
        <v>% Change over 09/1/2024</v>
      </c>
      <c r="J39" s="116" t="s">
        <v>197</v>
      </c>
      <c r="L39" s="70"/>
      <c r="M39" s="71"/>
      <c r="N39" s="55">
        <f>$D$32</f>
        <v>45292</v>
      </c>
      <c r="O39" s="55">
        <f>$E$32</f>
        <v>45536</v>
      </c>
      <c r="P39" s="58" t="str">
        <f>$D$3&amp;" Authorized"</f>
        <v>2024 Authorized</v>
      </c>
      <c r="Q39" s="58" t="str">
        <f>$D$3&amp;" w/Pending"</f>
        <v>2024 w/Pending</v>
      </c>
      <c r="R39" s="58" t="str">
        <f>$H$32</f>
        <v>% Change over 01/1/2024</v>
      </c>
      <c r="S39" s="58" t="str">
        <f>$I$32</f>
        <v>% Change over 09/1/2024</v>
      </c>
      <c r="T39" s="116" t="s">
        <v>197</v>
      </c>
    </row>
    <row r="40" spans="2:20">
      <c r="B40" s="8" t="s">
        <v>50</v>
      </c>
      <c r="C40" s="7"/>
      <c r="D40" s="72">
        <f t="shared" ref="D40:G41" si="4">((D47*4)+(D54*8)+($L$8*2))/12</f>
        <v>166.94533860734853</v>
      </c>
      <c r="E40" s="72">
        <f t="shared" si="4"/>
        <v>154.49489511757812</v>
      </c>
      <c r="F40" s="72">
        <f t="shared" si="4"/>
        <v>153.29155960479412</v>
      </c>
      <c r="G40" s="72">
        <f t="shared" si="4"/>
        <v>157.72759591763761</v>
      </c>
      <c r="H40" s="73">
        <f t="shared" ref="H40:I42" si="5">$G40/D40-1</f>
        <v>-5.5214136355078658E-2</v>
      </c>
      <c r="I40" s="117">
        <f t="shared" si="5"/>
        <v>2.0924321140832758E-2</v>
      </c>
      <c r="J40" s="74">
        <f t="shared" ref="J40:J42" si="6">$G40/F40-1</f>
        <v>2.8938555549178124E-2</v>
      </c>
      <c r="L40" s="8" t="s">
        <v>50</v>
      </c>
      <c r="M40" s="7"/>
      <c r="N40" s="72">
        <f t="shared" ref="N40:Q41" si="7">((N47*4)+(N54*8)+($L$8*2))/12</f>
        <v>140.07072554484856</v>
      </c>
      <c r="O40" s="72">
        <f t="shared" si="7"/>
        <v>129.50179571423436</v>
      </c>
      <c r="P40" s="72">
        <f t="shared" si="7"/>
        <v>128.48219189017229</v>
      </c>
      <c r="Q40" s="72">
        <f t="shared" si="7"/>
        <v>132.24091050206553</v>
      </c>
      <c r="R40" s="163">
        <f t="shared" ref="R40:T42" si="8">$Q40/N40-1</f>
        <v>-5.5899011105472129E-2</v>
      </c>
      <c r="S40" s="163">
        <f t="shared" si="8"/>
        <v>2.1151172249961991E-2</v>
      </c>
      <c r="T40" s="74">
        <f t="shared" si="8"/>
        <v>2.9254782757023756E-2</v>
      </c>
    </row>
    <row r="41" spans="2:20">
      <c r="B41" s="8" t="s">
        <v>51</v>
      </c>
      <c r="C41" s="7"/>
      <c r="D41" s="72">
        <f t="shared" si="4"/>
        <v>100.62223810734854</v>
      </c>
      <c r="E41" s="72">
        <f t="shared" si="4"/>
        <v>92.859601995349792</v>
      </c>
      <c r="F41" s="72">
        <f t="shared" si="4"/>
        <v>92.109365808402302</v>
      </c>
      <c r="G41" s="72">
        <f t="shared" si="4"/>
        <v>94.875074069441254</v>
      </c>
      <c r="H41" s="73">
        <f t="shared" si="5"/>
        <v>-5.711624135984672E-2</v>
      </c>
      <c r="I41" s="73">
        <f t="shared" si="5"/>
        <v>2.1704509073734668E-2</v>
      </c>
      <c r="J41" s="74">
        <f t="shared" si="6"/>
        <v>3.002635222559169E-2</v>
      </c>
      <c r="L41" s="8" t="s">
        <v>51</v>
      </c>
      <c r="M41" s="7"/>
      <c r="N41" s="72">
        <f t="shared" si="7"/>
        <v>93.141447419848532</v>
      </c>
      <c r="O41" s="72">
        <f t="shared" si="7"/>
        <v>85.896535968233579</v>
      </c>
      <c r="P41" s="72">
        <f t="shared" si="7"/>
        <v>85.197487345469241</v>
      </c>
      <c r="Q41" s="72">
        <f t="shared" si="7"/>
        <v>87.77449520577197</v>
      </c>
      <c r="R41" s="163">
        <f t="shared" si="8"/>
        <v>-5.7621524710521732E-2</v>
      </c>
      <c r="S41" s="163">
        <f t="shared" si="8"/>
        <v>2.1863038088438147E-2</v>
      </c>
      <c r="T41" s="74">
        <f t="shared" si="8"/>
        <v>3.0247463165822719E-2</v>
      </c>
    </row>
    <row r="42" spans="2:20" ht="15.75" thickBot="1">
      <c r="B42" s="6" t="s">
        <v>143</v>
      </c>
      <c r="C42" s="5"/>
      <c r="D42" s="75">
        <f>((D49*4)+(D56*8)+($L$8*2))/12</f>
        <v>147.41082091573892</v>
      </c>
      <c r="E42" s="75">
        <f>((E49*4)+(E56*8)+($L$8*2))/12</f>
        <v>136.34110383148291</v>
      </c>
      <c r="F42" s="75">
        <f>((F49*4)+(F56*8)+($L$8*2))/12</f>
        <v>135.27122222434994</v>
      </c>
      <c r="G42" s="75">
        <f>((G49*4)+(G56*8)+($L$8*2))/12</f>
        <v>139.21528737431382</v>
      </c>
      <c r="H42" s="76">
        <f t="shared" si="5"/>
        <v>-5.5596553160162765E-2</v>
      </c>
      <c r="I42" s="76">
        <f t="shared" si="5"/>
        <v>2.1080829346837193E-2</v>
      </c>
      <c r="J42" s="77">
        <f t="shared" si="6"/>
        <v>2.9156719996382918E-2</v>
      </c>
      <c r="L42" s="6" t="s">
        <v>143</v>
      </c>
      <c r="M42" s="5"/>
      <c r="N42" s="75">
        <f>((N49*4)+(N56*8)+($L$8*2))/12</f>
        <v>126.24837998385834</v>
      </c>
      <c r="O42" s="75">
        <f>((O49*4)+(O56*8)+($L$8*2))/12</f>
        <v>116.65849207592682</v>
      </c>
      <c r="P42" s="75">
        <f>((P49*4)+(P56*8)+($L$8*2))/12</f>
        <v>115.73330318728968</v>
      </c>
      <c r="Q42" s="75">
        <f>((Q49*4)+(Q56*8)+($L$8*2))/12</f>
        <v>119.14396585171842</v>
      </c>
      <c r="R42" s="165">
        <f t="shared" si="8"/>
        <v>-5.6273309273736971E-2</v>
      </c>
      <c r="S42" s="165">
        <f t="shared" si="8"/>
        <v>2.1305553771207242E-2</v>
      </c>
      <c r="T42" s="93">
        <f t="shared" si="8"/>
        <v>2.9470019177706419E-2</v>
      </c>
    </row>
    <row r="43" spans="2:20" ht="15.75" thickBot="1">
      <c r="B43" s="78"/>
      <c r="C43" s="78"/>
      <c r="D43" s="156"/>
      <c r="E43" s="156"/>
      <c r="F43" s="156"/>
      <c r="G43" s="156"/>
      <c r="H43" s="157"/>
      <c r="I43" s="157"/>
      <c r="J43" s="157"/>
      <c r="L43" s="78"/>
      <c r="M43" s="78"/>
      <c r="N43" s="156"/>
      <c r="O43" s="156"/>
      <c r="P43" s="156"/>
      <c r="Q43" s="156"/>
      <c r="R43" s="157"/>
      <c r="S43" s="157"/>
      <c r="T43" s="157"/>
    </row>
    <row r="44" spans="2:20" ht="15.75" hidden="1" thickBot="1">
      <c r="D44" s="61">
        <v>2</v>
      </c>
      <c r="E44" s="61">
        <v>4</v>
      </c>
      <c r="F44" s="61">
        <v>6</v>
      </c>
      <c r="G44" s="61">
        <v>8</v>
      </c>
      <c r="N44" s="61">
        <v>2</v>
      </c>
      <c r="O44" s="61">
        <v>4</v>
      </c>
      <c r="P44" s="61">
        <v>6</v>
      </c>
      <c r="Q44" s="61">
        <v>8</v>
      </c>
    </row>
    <row r="45" spans="2:20">
      <c r="B45" s="1" t="s">
        <v>268</v>
      </c>
      <c r="C45" s="409"/>
      <c r="D45" s="409"/>
      <c r="E45" s="409"/>
      <c r="F45" s="409"/>
      <c r="G45" s="409"/>
      <c r="H45" s="409"/>
      <c r="I45" s="409"/>
      <c r="J45" s="410"/>
      <c r="L45" s="1" t="s">
        <v>277</v>
      </c>
      <c r="M45" s="409"/>
      <c r="N45" s="409"/>
      <c r="O45" s="409"/>
      <c r="P45" s="409"/>
      <c r="Q45" s="409"/>
      <c r="R45" s="409"/>
      <c r="S45" s="409"/>
      <c r="T45" s="410"/>
    </row>
    <row r="46" spans="2:20" ht="30">
      <c r="B46" s="70"/>
      <c r="C46" s="71"/>
      <c r="D46" s="55">
        <f>$D$32</f>
        <v>45292</v>
      </c>
      <c r="E46" s="55">
        <f>$E$32</f>
        <v>45536</v>
      </c>
      <c r="F46" s="58" t="str">
        <f>$D$3&amp;" Authorized"</f>
        <v>2024 Authorized</v>
      </c>
      <c r="G46" s="58" t="str">
        <f>$D$3&amp;" w/Pending"</f>
        <v>2024 w/Pending</v>
      </c>
      <c r="H46" s="58" t="str">
        <f>$H$32</f>
        <v>% Change over 01/1/2024</v>
      </c>
      <c r="I46" s="58" t="str">
        <f>$I$32</f>
        <v>% Change over 09/1/2024</v>
      </c>
      <c r="J46" s="116" t="s">
        <v>197</v>
      </c>
      <c r="L46" s="70"/>
      <c r="M46" s="71"/>
      <c r="N46" s="55">
        <f>$D$32</f>
        <v>45292</v>
      </c>
      <c r="O46" s="55">
        <f>$E$32</f>
        <v>45536</v>
      </c>
      <c r="P46" s="58" t="str">
        <f>$D$3&amp;" Authorized"</f>
        <v>2024 Authorized</v>
      </c>
      <c r="Q46" s="58" t="str">
        <f>$D$3&amp;" w/Pending"</f>
        <v>2024 w/Pending</v>
      </c>
      <c r="R46" s="58" t="str">
        <f>$H$32</f>
        <v>% Change over 01/1/2024</v>
      </c>
      <c r="S46" s="58" t="str">
        <f>$I$32</f>
        <v>% Change over 09/1/2024</v>
      </c>
      <c r="T46" s="116" t="s">
        <v>197</v>
      </c>
    </row>
    <row r="47" spans="2:20">
      <c r="B47" s="8" t="s">
        <v>50</v>
      </c>
      <c r="C47" s="7"/>
      <c r="D47" s="72">
        <f>VLOOKUP($D$4,'Res Bill Impact'!$B$38:$J$48,D44,FALSE)</f>
        <v>182.190578625</v>
      </c>
      <c r="E47" s="72">
        <f>VLOOKUP($D$4,'Res Bill Impact'!$B$38:$J$48,E44,FALSE)</f>
        <v>169.31433826698591</v>
      </c>
      <c r="F47" s="72">
        <f>VLOOKUP($D$4,'Res Bill Impact'!$B$38:$J$48,F44,FALSE)</f>
        <v>168.0696583338331</v>
      </c>
      <c r="G47" s="72">
        <f>VLOOKUP($D$4,'Res Bill Impact'!$B$38:$J$48,G44,FALSE)</f>
        <v>172.65810878898438</v>
      </c>
      <c r="H47" s="73">
        <f t="shared" ref="H47:I49" si="9">$G47/D47-1</f>
        <v>-5.2321420283955256E-2</v>
      </c>
      <c r="I47" s="73">
        <f t="shared" si="9"/>
        <v>1.9748891654561396E-2</v>
      </c>
      <c r="J47" s="74">
        <f t="shared" ref="J47:J49" si="10">$G47/F47-1</f>
        <v>2.7300885243886963E-2</v>
      </c>
      <c r="L47" s="8" t="s">
        <v>50</v>
      </c>
      <c r="M47" s="7"/>
      <c r="N47" s="72">
        <f>VLOOKUP($D$4,'Res Bill Impact'!$L$38:$T$48,N44,FALSE)</f>
        <v>138.92703656250001</v>
      </c>
      <c r="O47" s="72">
        <f>VLOOKUP($D$4,'Res Bill Impact'!$L$38:$T$48,O44,FALSE)</f>
        <v>129.10137486072367</v>
      </c>
      <c r="P47" s="166">
        <f>VLOOKUP($D$4,'Res Bill Impact'!$L$38:$T$48,P44,FALSE)</f>
        <v>128.15231235204118</v>
      </c>
      <c r="Q47" s="166">
        <f>VLOOKUP($D$4,'Res Bill Impact'!$L$38:$T$48,Q44,FALSE)</f>
        <v>131.65098392530302</v>
      </c>
      <c r="R47" s="163">
        <f t="shared" ref="R47:T49" si="11">$Q47/N47-1</f>
        <v>-5.2373193996142375E-2</v>
      </c>
      <c r="S47" s="163">
        <f t="shared" si="11"/>
        <v>1.9748891654561396E-2</v>
      </c>
      <c r="T47" s="74">
        <f t="shared" si="11"/>
        <v>2.7300885243886963E-2</v>
      </c>
    </row>
    <row r="48" spans="2:20">
      <c r="B48" s="8" t="s">
        <v>51</v>
      </c>
      <c r="C48" s="7"/>
      <c r="D48" s="72">
        <f>VLOOKUP($D$4,'Res Bill Impact'!$B$54:$J$64,D44,FALSE)</f>
        <v>109.30809137499999</v>
      </c>
      <c r="E48" s="72">
        <f>VLOOKUP($D$4,'Res Bill Impact'!$B$54:$J$64,E44,FALSE)</f>
        <v>101.58095459242061</v>
      </c>
      <c r="F48" s="72">
        <f>VLOOKUP($D$4,'Res Bill Impact'!$B$54:$J$64,F44,FALSE)</f>
        <v>100.83420285794955</v>
      </c>
      <c r="G48" s="72">
        <f>VLOOKUP($D$4,'Res Bill Impact'!$B$54:$J$64,G44,FALSE)</f>
        <v>103.58706585883324</v>
      </c>
      <c r="H48" s="73">
        <f t="shared" si="9"/>
        <v>-5.2338536371839051E-2</v>
      </c>
      <c r="I48" s="73">
        <f t="shared" si="9"/>
        <v>1.9748891654561396E-2</v>
      </c>
      <c r="J48" s="74">
        <f t="shared" si="10"/>
        <v>2.7300885243886963E-2</v>
      </c>
      <c r="L48" s="8" t="s">
        <v>51</v>
      </c>
      <c r="M48" s="7"/>
      <c r="N48" s="72">
        <f>VLOOKUP($D$4,'Res Bill Impact'!$L$54:$T$64,N44,FALSE)</f>
        <v>91.518694687500002</v>
      </c>
      <c r="O48" s="72">
        <f>VLOOKUP($D$4,'Res Bill Impact'!$L$54:$T$64,O44,FALSE)</f>
        <v>85.047756578759206</v>
      </c>
      <c r="P48" s="166">
        <f>VLOOKUP($D$4,'Res Bill Impact'!$L$54:$T$64,P44,FALSE)</f>
        <v>84.422545287992307</v>
      </c>
      <c r="Q48" s="166">
        <f>VLOOKUP($D$4,'Res Bill Impact'!$L$54:$T$64,Q44,FALSE)</f>
        <v>86.727355508896622</v>
      </c>
      <c r="R48" s="163">
        <f t="shared" si="11"/>
        <v>-5.235366604565217E-2</v>
      </c>
      <c r="S48" s="163">
        <f t="shared" si="11"/>
        <v>1.9748891654561174E-2</v>
      </c>
      <c r="T48" s="74">
        <f t="shared" si="11"/>
        <v>2.7300885243886741E-2</v>
      </c>
    </row>
    <row r="49" spans="2:20" ht="15.75" thickBot="1">
      <c r="B49" s="6" t="s">
        <v>143</v>
      </c>
      <c r="C49" s="5"/>
      <c r="D49" s="75">
        <f>D47*(1-'SAR and RAR'!$AB$16)+D48*'SAR and RAR'!$AB$16</f>
        <v>160.72408767598839</v>
      </c>
      <c r="E49" s="75">
        <f>E47*(1-'SAR and RAR'!$AB$16)+E48*'SAR and RAR'!$AB$16</f>
        <v>149.36444190013287</v>
      </c>
      <c r="F49" s="75">
        <f>F47*(1-'SAR and RAR'!$AB$16)+F48*'SAR and RAR'!$AB$16</f>
        <v>148.26641957395216</v>
      </c>
      <c r="G49" s="75">
        <f>G47*(1-'SAR and RAR'!$AB$16)+G48*'SAR and RAR'!$AB$16</f>
        <v>152.31422408026262</v>
      </c>
      <c r="H49" s="76">
        <f t="shared" si="9"/>
        <v>-5.2324848859491624E-2</v>
      </c>
      <c r="I49" s="76">
        <f t="shared" si="9"/>
        <v>1.9748891654561396E-2</v>
      </c>
      <c r="J49" s="77">
        <f t="shared" si="10"/>
        <v>2.7300885243886963E-2</v>
      </c>
      <c r="L49" s="6" t="s">
        <v>143</v>
      </c>
      <c r="M49" s="5"/>
      <c r="N49" s="75">
        <f>N47*(1-'SAR and RAR'!$AB$16)+N48*'SAR and RAR'!$AB$16</f>
        <v>124.96358964724209</v>
      </c>
      <c r="O49" s="75">
        <f>O47*(1-'SAR and RAR'!$AB$16)+O48*'SAR and RAR'!$AB$16</f>
        <v>116.1260136484044</v>
      </c>
      <c r="P49" s="164">
        <f>P47*(1-'SAR and RAR'!$AB$16)+P48*'SAR and RAR'!$AB$16</f>
        <v>115.27233686955252</v>
      </c>
      <c r="Q49" s="164">
        <f>Q47*(1-'SAR and RAR'!$AB$16)+Q48*'SAR and RAR'!$AB$16</f>
        <v>118.41937371022286</v>
      </c>
      <c r="R49" s="165">
        <f t="shared" si="11"/>
        <v>-5.2368981680926407E-2</v>
      </c>
      <c r="S49" s="165">
        <f t="shared" si="11"/>
        <v>1.9748891654561396E-2</v>
      </c>
      <c r="T49" s="93">
        <f t="shared" si="11"/>
        <v>2.7300885243886963E-2</v>
      </c>
    </row>
    <row r="50" spans="2:20" ht="15.75" thickBot="1">
      <c r="B50" s="78"/>
      <c r="C50" s="78"/>
      <c r="D50" s="156"/>
      <c r="E50" s="156"/>
      <c r="F50" s="156"/>
      <c r="G50" s="156"/>
      <c r="H50" s="157"/>
      <c r="I50" s="157"/>
      <c r="J50" s="157"/>
      <c r="L50" s="78"/>
      <c r="M50" s="78"/>
      <c r="N50" s="156"/>
      <c r="O50" s="156"/>
      <c r="P50" s="156"/>
      <c r="Q50" s="156"/>
      <c r="R50" s="157"/>
      <c r="S50" s="157"/>
      <c r="T50" s="157"/>
    </row>
    <row r="51" spans="2:20" ht="15.75" hidden="1" thickBot="1">
      <c r="D51" s="61">
        <v>3</v>
      </c>
      <c r="E51" s="61">
        <v>5</v>
      </c>
      <c r="F51" s="61">
        <v>7</v>
      </c>
      <c r="G51" s="61">
        <v>9</v>
      </c>
      <c r="N51" s="61">
        <v>3</v>
      </c>
      <c r="O51" s="61">
        <v>5</v>
      </c>
      <c r="P51" s="61">
        <v>7</v>
      </c>
      <c r="Q51" s="61">
        <v>9</v>
      </c>
    </row>
    <row r="52" spans="2:20">
      <c r="B52" s="1" t="s">
        <v>269</v>
      </c>
      <c r="C52" s="409"/>
      <c r="D52" s="409"/>
      <c r="E52" s="409"/>
      <c r="F52" s="409"/>
      <c r="G52" s="409"/>
      <c r="H52" s="409"/>
      <c r="I52" s="409"/>
      <c r="J52" s="410"/>
      <c r="L52" s="1" t="s">
        <v>278</v>
      </c>
      <c r="M52" s="409"/>
      <c r="N52" s="409"/>
      <c r="O52" s="409"/>
      <c r="P52" s="409"/>
      <c r="Q52" s="409"/>
      <c r="R52" s="409"/>
      <c r="S52" s="409"/>
      <c r="T52" s="410"/>
    </row>
    <row r="53" spans="2:20" ht="30">
      <c r="B53" s="70"/>
      <c r="C53" s="71"/>
      <c r="D53" s="55">
        <f>$D$32</f>
        <v>45292</v>
      </c>
      <c r="E53" s="55">
        <f>$E$32</f>
        <v>45536</v>
      </c>
      <c r="F53" s="58" t="str">
        <f>$D$3&amp;" Authorized"</f>
        <v>2024 Authorized</v>
      </c>
      <c r="G53" s="58" t="str">
        <f>$D$3&amp;" w/Pending"</f>
        <v>2024 w/Pending</v>
      </c>
      <c r="H53" s="58" t="str">
        <f>$H$32</f>
        <v>% Change over 01/1/2024</v>
      </c>
      <c r="I53" s="58" t="str">
        <f>$I$32</f>
        <v>% Change over 09/1/2024</v>
      </c>
      <c r="J53" s="116" t="s">
        <v>197</v>
      </c>
      <c r="L53" s="70"/>
      <c r="M53" s="71"/>
      <c r="N53" s="55">
        <f>$D$32</f>
        <v>45292</v>
      </c>
      <c r="O53" s="55">
        <f>$E$32</f>
        <v>45536</v>
      </c>
      <c r="P53" s="58" t="str">
        <f>$D$3&amp;" Authorized"</f>
        <v>2024 Authorized</v>
      </c>
      <c r="Q53" s="58" t="str">
        <f>$D$3&amp;" w/Pending"</f>
        <v>2024 w/Pending</v>
      </c>
      <c r="R53" s="58" t="str">
        <f>$H$32</f>
        <v>% Change over 01/1/2024</v>
      </c>
      <c r="S53" s="58" t="str">
        <f>$I$32</f>
        <v>% Change over 09/1/2024</v>
      </c>
      <c r="T53" s="116" t="s">
        <v>197</v>
      </c>
    </row>
    <row r="54" spans="2:20">
      <c r="B54" s="8" t="s">
        <v>50</v>
      </c>
      <c r="C54" s="7"/>
      <c r="D54" s="72">
        <f>VLOOKUP($D$4,'Res Bill Impact'!$B$38:$J$48,D51,FALSE)</f>
        <v>173.11573481250002</v>
      </c>
      <c r="E54" s="72">
        <f>VLOOKUP($D$4,'Res Bill Impact'!$B$38:$J$48,E51,FALSE)</f>
        <v>160.87818975685138</v>
      </c>
      <c r="F54" s="72">
        <f>VLOOKUP($D$4,'Res Bill Impact'!$B$38:$J$48,F51,FALSE)</f>
        <v>159.69552645425179</v>
      </c>
      <c r="G54" s="72">
        <f>VLOOKUP($D$4,'Res Bill Impact'!$B$38:$J$48,G51,FALSE)</f>
        <v>164.05535569594142</v>
      </c>
      <c r="H54" s="73">
        <f t="shared" ref="H54:I56" si="12">$G54/D54-1</f>
        <v>-5.2337120749721633E-2</v>
      </c>
      <c r="I54" s="73">
        <f t="shared" si="12"/>
        <v>1.9748891654561396E-2</v>
      </c>
      <c r="J54" s="74">
        <f t="shared" ref="J54:J56" si="13">$G54/F54-1</f>
        <v>2.7300885243886741E-2</v>
      </c>
      <c r="L54" s="8" t="s">
        <v>50</v>
      </c>
      <c r="M54" s="7"/>
      <c r="N54" s="72">
        <f>VLOOKUP($D$4,'Res Bill Impact'!$L$38:$T$48,N51,FALSE)</f>
        <v>154.43558625</v>
      </c>
      <c r="O54" s="72">
        <f>VLOOKUP($D$4,'Res Bill Impact'!$L$38:$T$48,O51,FALSE)</f>
        <v>143.49502235496686</v>
      </c>
      <c r="P54" s="166">
        <f>VLOOKUP($D$4,'Res Bill Impact'!$L$38:$T$48,P51,FALSE)</f>
        <v>142.44014787321504</v>
      </c>
      <c r="Q54" s="166">
        <f>VLOOKUP($D$4,'Res Bill Impact'!$L$38:$T$48,Q51,FALSE)</f>
        <v>146.32889000442398</v>
      </c>
      <c r="R54" s="163">
        <f t="shared" ref="R54:T56" si="14">$Q54/N54-1</f>
        <v>-5.2492410864766081E-2</v>
      </c>
      <c r="S54" s="163">
        <f t="shared" si="14"/>
        <v>1.9748891654561396E-2</v>
      </c>
      <c r="T54" s="74">
        <f t="shared" si="14"/>
        <v>2.7300885243886963E-2</v>
      </c>
    </row>
    <row r="55" spans="2:20">
      <c r="B55" s="8" t="s">
        <v>51</v>
      </c>
      <c r="C55" s="7"/>
      <c r="D55" s="72">
        <f>VLOOKUP($D$4,'Res Bill Impact'!$B$54:$J$64,D51,FALSE)</f>
        <v>110.07232768749999</v>
      </c>
      <c r="E55" s="72">
        <f>VLOOKUP($D$4,'Res Bill Impact'!$B$54:$J$64,E51,FALSE)</f>
        <v>102.29194191079155</v>
      </c>
      <c r="F55" s="72">
        <f>VLOOKUP($D$4,'Res Bill Impact'!$B$54:$J$64,F51,FALSE)</f>
        <v>101.53996349760585</v>
      </c>
      <c r="G55" s="72">
        <f>VLOOKUP($D$4,'Res Bill Impact'!$B$54:$J$64,G51,FALSE)</f>
        <v>104.31209438872244</v>
      </c>
      <c r="H55" s="73">
        <f t="shared" si="12"/>
        <v>-5.2331348121674059E-2</v>
      </c>
      <c r="I55" s="73">
        <f t="shared" si="12"/>
        <v>1.9748891654561174E-2</v>
      </c>
      <c r="J55" s="74">
        <f t="shared" si="13"/>
        <v>2.7300885243886741E-2</v>
      </c>
      <c r="L55" s="8" t="s">
        <v>51</v>
      </c>
      <c r="M55" s="7"/>
      <c r="N55" s="72">
        <f>VLOOKUP($D$4,'Res Bill Impact'!$L$54:$T$64,N51,FALSE)</f>
        <v>107.74583999999999</v>
      </c>
      <c r="O55" s="72">
        <f>VLOOKUP($D$4,'Res Bill Impact'!$L$54:$T$64,O51,FALSE)</f>
        <v>100.11394187694793</v>
      </c>
      <c r="P55" s="166">
        <f>VLOOKUP($D$4,'Res Bill Impact'!$L$54:$T$64,P51,FALSE)</f>
        <v>99.37797458818487</v>
      </c>
      <c r="Q55" s="166">
        <f>VLOOKUP($D$4,'Res Bill Impact'!$L$54:$T$64,Q51,FALSE)</f>
        <v>102.09108126818681</v>
      </c>
      <c r="R55" s="163">
        <f t="shared" si="14"/>
        <v>-5.2482385694085032E-2</v>
      </c>
      <c r="S55" s="163">
        <f t="shared" si="14"/>
        <v>1.9748891654561174E-2</v>
      </c>
      <c r="T55" s="74">
        <f t="shared" si="14"/>
        <v>2.7300885243886963E-2</v>
      </c>
    </row>
    <row r="56" spans="2:20" ht="15.75" thickBot="1">
      <c r="B56" s="6" t="s">
        <v>143</v>
      </c>
      <c r="C56" s="5"/>
      <c r="D56" s="75">
        <f>D54*(1-'SAR and RAR'!$AB$16)+D55*'SAR and RAR'!$AB$16</f>
        <v>154.54720374959138</v>
      </c>
      <c r="E56" s="75">
        <f>E54*(1-'SAR and RAR'!$AB$16)+E55*'SAR and RAR'!$AB$16</f>
        <v>143.62245101113513</v>
      </c>
      <c r="F56" s="75">
        <f>F54*(1-'SAR and RAR'!$AB$16)+F55*'SAR and RAR'!$AB$16</f>
        <v>142.56663976352601</v>
      </c>
      <c r="G56" s="75">
        <f>G54*(1-'SAR and RAR'!$AB$16)+G55*'SAR and RAR'!$AB$16</f>
        <v>146.4588352353166</v>
      </c>
      <c r="H56" s="76">
        <f t="shared" si="12"/>
        <v>-5.2335909793490232E-2</v>
      </c>
      <c r="I56" s="76">
        <f t="shared" si="12"/>
        <v>1.9748891654561396E-2</v>
      </c>
      <c r="J56" s="77">
        <f t="shared" si="13"/>
        <v>2.7300885243886963E-2</v>
      </c>
      <c r="L56" s="6" t="s">
        <v>143</v>
      </c>
      <c r="M56" s="5"/>
      <c r="N56" s="75">
        <f>N54*(1-'SAR and RAR'!$AB$16)+N55*'SAR and RAR'!$AB$16</f>
        <v>140.68379136614365</v>
      </c>
      <c r="O56" s="75">
        <f>O54*(1-'SAR and RAR'!$AB$16)+O55*'SAR and RAR'!$AB$16</f>
        <v>130.71774750366521</v>
      </c>
      <c r="P56" s="164">
        <f>P54*(1-'SAR and RAR'!$AB$16)+P55*'SAR and RAR'!$AB$16</f>
        <v>129.75680256013544</v>
      </c>
      <c r="Q56" s="164">
        <f>Q54*(1-'SAR and RAR'!$AB$16)+Q55*'SAR and RAR'!$AB$16</f>
        <v>133.29927813644341</v>
      </c>
      <c r="R56" s="165">
        <f t="shared" si="14"/>
        <v>-5.2490149419426091E-2</v>
      </c>
      <c r="S56" s="165">
        <f t="shared" si="14"/>
        <v>1.9748891654561396E-2</v>
      </c>
      <c r="T56" s="93">
        <f t="shared" si="14"/>
        <v>2.7300885243886963E-2</v>
      </c>
    </row>
    <row r="58" spans="2:20" ht="15.75" thickBot="1"/>
    <row r="59" spans="2:20">
      <c r="B59" s="1" t="s">
        <v>270</v>
      </c>
      <c r="C59" s="409"/>
      <c r="D59" s="409"/>
      <c r="E59" s="409"/>
      <c r="F59" s="409"/>
      <c r="G59" s="409"/>
      <c r="H59" s="409"/>
      <c r="I59" s="409"/>
      <c r="J59" s="410"/>
      <c r="L59" s="1" t="s">
        <v>279</v>
      </c>
      <c r="M59" s="409"/>
      <c r="N59" s="409"/>
      <c r="O59" s="409"/>
      <c r="P59" s="409"/>
      <c r="Q59" s="409"/>
      <c r="R59" s="409"/>
      <c r="S59" s="409"/>
      <c r="T59" s="410"/>
    </row>
    <row r="60" spans="2:20" ht="30">
      <c r="B60" s="70"/>
      <c r="C60" s="71"/>
      <c r="D60" s="55">
        <f>$D$32</f>
        <v>45292</v>
      </c>
      <c r="E60" s="55">
        <f>$E$32</f>
        <v>45536</v>
      </c>
      <c r="F60" s="58" t="str">
        <f>$D$3&amp;" Authorized"</f>
        <v>2024 Authorized</v>
      </c>
      <c r="G60" s="58" t="str">
        <f>$D$3&amp;" w/Pending"</f>
        <v>2024 w/Pending</v>
      </c>
      <c r="H60" s="58" t="str">
        <f>$H$32</f>
        <v>% Change over 01/1/2024</v>
      </c>
      <c r="I60" s="58" t="str">
        <f>$I$32</f>
        <v>% Change over 09/1/2024</v>
      </c>
      <c r="J60" s="116" t="s">
        <v>197</v>
      </c>
      <c r="L60" s="70"/>
      <c r="M60" s="71"/>
      <c r="N60" s="55">
        <f>$D$32</f>
        <v>45292</v>
      </c>
      <c r="O60" s="55">
        <f>$E$32</f>
        <v>45536</v>
      </c>
      <c r="P60" s="58" t="str">
        <f>$D$3&amp;" Authorized"</f>
        <v>2024 Authorized</v>
      </c>
      <c r="Q60" s="58" t="str">
        <f>$D$3&amp;" w/Pending"</f>
        <v>2024 w/Pending</v>
      </c>
      <c r="R60" s="58" t="str">
        <f>$H$32</f>
        <v>% Change over 01/1/2024</v>
      </c>
      <c r="S60" s="58" t="str">
        <f>$I$32</f>
        <v>% Change over 09/1/2024</v>
      </c>
      <c r="T60" s="116" t="s">
        <v>197</v>
      </c>
    </row>
    <row r="61" spans="2:20">
      <c r="B61" s="8" t="s">
        <v>236</v>
      </c>
      <c r="C61" s="7"/>
      <c r="D61" s="72">
        <f t="shared" ref="D61:G62" si="15">((D68*4)+(D75*8)+($L$8*2))/12</f>
        <v>115.25981910734855</v>
      </c>
      <c r="E61" s="72">
        <f t="shared" si="15"/>
        <v>106.44313573361347</v>
      </c>
      <c r="F61" s="72">
        <f t="shared" si="15"/>
        <v>105.59304296016319</v>
      </c>
      <c r="G61" s="72">
        <f t="shared" si="15"/>
        <v>108.72686754378799</v>
      </c>
      <c r="H61" s="73">
        <f t="shared" ref="H61:I63" si="16">$G61/D61-1</f>
        <v>-5.6680217044901116E-2</v>
      </c>
      <c r="I61" s="73">
        <f t="shared" si="16"/>
        <v>2.1454946760398164E-2</v>
      </c>
      <c r="J61" s="74">
        <f t="shared" ref="J61:J63" si="17">$G61/F61-1</f>
        <v>2.9678324402556466E-2</v>
      </c>
      <c r="L61" s="8" t="s">
        <v>238</v>
      </c>
      <c r="M61" s="7"/>
      <c r="N61" s="72">
        <f t="shared" ref="N61:Q62" si="18">((N68*4)+(N75*8)+($L$8*2))/12</f>
        <v>151.48820566984855</v>
      </c>
      <c r="O61" s="72">
        <f t="shared" si="18"/>
        <v>140.10502199896456</v>
      </c>
      <c r="P61" s="72">
        <f t="shared" si="18"/>
        <v>139.00747071269484</v>
      </c>
      <c r="Q61" s="72">
        <f t="shared" si="18"/>
        <v>143.05353875388167</v>
      </c>
      <c r="R61" s="163">
        <f t="shared" ref="R61:T63" si="19">$Q61/N61-1</f>
        <v>-5.5678703689641007E-2</v>
      </c>
      <c r="S61" s="163">
        <f t="shared" si="19"/>
        <v>2.104504687161679E-2</v>
      </c>
      <c r="T61" s="74">
        <f t="shared" si="19"/>
        <v>2.9106838793933498E-2</v>
      </c>
    </row>
    <row r="62" spans="2:20">
      <c r="B62" s="8" t="s">
        <v>237</v>
      </c>
      <c r="C62" s="7"/>
      <c r="D62" s="72">
        <f t="shared" si="15"/>
        <v>71.71873185734853</v>
      </c>
      <c r="E62" s="72">
        <f t="shared" si="15"/>
        <v>65.987392394470973</v>
      </c>
      <c r="F62" s="72">
        <f t="shared" si="15"/>
        <v>65.434701792806095</v>
      </c>
      <c r="G62" s="72">
        <f t="shared" si="15"/>
        <v>67.472168112636027</v>
      </c>
      <c r="H62" s="73">
        <f t="shared" si="16"/>
        <v>-5.9211361310167798E-2</v>
      </c>
      <c r="I62" s="73">
        <f t="shared" si="16"/>
        <v>2.2500900009642777E-2</v>
      </c>
      <c r="J62" s="74">
        <f>$G62/F62-1</f>
        <v>3.1137397497147834E-2</v>
      </c>
      <c r="L62" s="8" t="s">
        <v>239</v>
      </c>
      <c r="M62" s="7"/>
      <c r="N62" s="72">
        <f t="shared" si="18"/>
        <v>95.27248685734854</v>
      </c>
      <c r="O62" s="72">
        <f t="shared" si="18"/>
        <v>87.872778030277161</v>
      </c>
      <c r="P62" s="72">
        <f t="shared" si="18"/>
        <v>87.159201465798887</v>
      </c>
      <c r="Q62" s="72">
        <f t="shared" si="18"/>
        <v>89.789765858182037</v>
      </c>
      <c r="R62" s="163">
        <f t="shared" si="19"/>
        <v>-5.7547789293836527E-2</v>
      </c>
      <c r="S62" s="163">
        <f t="shared" si="19"/>
        <v>2.1815491337310089E-2</v>
      </c>
      <c r="T62" s="74">
        <f t="shared" si="19"/>
        <v>3.0181143793697851E-2</v>
      </c>
    </row>
    <row r="63" spans="2:20" ht="15.75" thickBot="1">
      <c r="B63" s="6" t="s">
        <v>143</v>
      </c>
      <c r="C63" s="5"/>
      <c r="D63" s="75">
        <f>((D70*4)+(D77*8)+($L$8*2))/12</f>
        <v>102.43541655703285</v>
      </c>
      <c r="E63" s="75">
        <f>((E70*4)+(E77*8)+($L$8*2))/12</f>
        <v>94.527476965735175</v>
      </c>
      <c r="F63" s="75">
        <f>((F70*4)+(F77*8)+($L$8*2))/12</f>
        <v>93.764979735051554</v>
      </c>
      <c r="G63" s="75">
        <f>((G70*4)+(G77*8)+($L$8*2))/12</f>
        <v>96.575887721910149</v>
      </c>
      <c r="H63" s="76">
        <f t="shared" si="16"/>
        <v>-5.720217706012154E-2</v>
      </c>
      <c r="I63" s="76">
        <f t="shared" si="16"/>
        <v>2.1670003494512979E-2</v>
      </c>
      <c r="J63" s="77">
        <f t="shared" si="17"/>
        <v>2.997822849001075E-2</v>
      </c>
      <c r="L63" s="6" t="s">
        <v>143</v>
      </c>
      <c r="M63" s="5"/>
      <c r="N63" s="75">
        <f>((N70*4)+(N77*8)+($L$8*2))/12</f>
        <v>134.93067224016011</v>
      </c>
      <c r="O63" s="75">
        <f>((O70*4)+(O77*8)+($L$8*2))/12</f>
        <v>124.72076393221759</v>
      </c>
      <c r="P63" s="75">
        <f>((P70*4)+(P77*8)+($L$8*2))/12</f>
        <v>123.73630689123223</v>
      </c>
      <c r="Q63" s="75">
        <f>((Q70*4)+(Q77*8)+($L$8*2))/12</f>
        <v>127.36545864138871</v>
      </c>
      <c r="R63" s="165">
        <f t="shared" si="19"/>
        <v>-5.6067412050732512E-2</v>
      </c>
      <c r="S63" s="165">
        <f t="shared" si="19"/>
        <v>2.1204927117095318E-2</v>
      </c>
      <c r="T63" s="93">
        <f t="shared" si="19"/>
        <v>2.9329724163713822E-2</v>
      </c>
    </row>
    <row r="64" spans="2:20" ht="15.75" thickBot="1">
      <c r="B64" s="78"/>
      <c r="C64" s="78"/>
      <c r="D64" s="156"/>
      <c r="E64" s="156"/>
      <c r="F64" s="156"/>
      <c r="G64" s="156"/>
      <c r="H64" s="157"/>
      <c r="I64" s="157"/>
      <c r="J64" s="157"/>
      <c r="L64" s="78"/>
      <c r="M64" s="78"/>
      <c r="N64" s="156"/>
      <c r="O64" s="156"/>
      <c r="P64" s="156"/>
      <c r="Q64" s="156"/>
      <c r="R64" s="157"/>
      <c r="S64" s="157"/>
      <c r="T64" s="157"/>
    </row>
    <row r="65" spans="2:20" ht="15.75" hidden="1" thickBot="1">
      <c r="D65" s="61">
        <v>2</v>
      </c>
      <c r="E65" s="61">
        <v>4</v>
      </c>
      <c r="F65" s="61">
        <v>6</v>
      </c>
      <c r="G65" s="61">
        <v>8</v>
      </c>
      <c r="N65" s="61">
        <v>2</v>
      </c>
      <c r="O65" s="61">
        <v>4</v>
      </c>
      <c r="P65" s="61">
        <v>6</v>
      </c>
      <c r="Q65" s="61">
        <v>8</v>
      </c>
    </row>
    <row r="66" spans="2:20">
      <c r="B66" s="1" t="s">
        <v>271</v>
      </c>
      <c r="C66" s="409"/>
      <c r="D66" s="409"/>
      <c r="E66" s="409"/>
      <c r="F66" s="409"/>
      <c r="G66" s="409"/>
      <c r="H66" s="409"/>
      <c r="I66" s="409"/>
      <c r="J66" s="410"/>
      <c r="L66" s="1" t="s">
        <v>280</v>
      </c>
      <c r="M66" s="409"/>
      <c r="N66" s="409"/>
      <c r="O66" s="409"/>
      <c r="P66" s="409"/>
      <c r="Q66" s="409"/>
      <c r="R66" s="409"/>
      <c r="S66" s="409"/>
      <c r="T66" s="410"/>
    </row>
    <row r="67" spans="2:20" ht="30">
      <c r="B67" s="70"/>
      <c r="C67" s="71"/>
      <c r="D67" s="55">
        <f>$D$32</f>
        <v>45292</v>
      </c>
      <c r="E67" s="55">
        <f>$E$32</f>
        <v>45536</v>
      </c>
      <c r="F67" s="58" t="str">
        <f>$D$3&amp;" Authorized"</f>
        <v>2024 Authorized</v>
      </c>
      <c r="G67" s="58" t="str">
        <f>$D$3&amp;" w/Pending"</f>
        <v>2024 w/Pending</v>
      </c>
      <c r="H67" s="58" t="str">
        <f>$H$32</f>
        <v>% Change over 01/1/2024</v>
      </c>
      <c r="I67" s="58" t="str">
        <f>$I$32</f>
        <v>% Change over 09/1/2024</v>
      </c>
      <c r="J67" s="116" t="s">
        <v>197</v>
      </c>
      <c r="L67" s="70"/>
      <c r="M67" s="71"/>
      <c r="N67" s="55">
        <f>$D$32</f>
        <v>45292</v>
      </c>
      <c r="O67" s="55">
        <f>$E$32</f>
        <v>45536</v>
      </c>
      <c r="P67" s="58" t="str">
        <f>$D$3&amp;" Authorized"</f>
        <v>2024 Authorized</v>
      </c>
      <c r="Q67" s="58" t="str">
        <f>$D$3&amp;" w/Pending"</f>
        <v>2024 w/Pending</v>
      </c>
      <c r="R67" s="58" t="str">
        <f>$H$32</f>
        <v>% Change over 01/1/2024</v>
      </c>
      <c r="S67" s="58" t="str">
        <f>$I$32</f>
        <v>% Change over 09/1/2024</v>
      </c>
      <c r="T67" s="116" t="s">
        <v>197</v>
      </c>
    </row>
    <row r="68" spans="2:20">
      <c r="B68" s="8" t="s">
        <v>236</v>
      </c>
      <c r="C68" s="7"/>
      <c r="D68" s="72">
        <f>VLOOKUP($D$4,'Res Bill Impact'!$B$70:$J$80,D65,FALSE)</f>
        <v>125.30759587500002</v>
      </c>
      <c r="E68" s="72">
        <f>VLOOKUP($D$4,'Res Bill Impact'!$B$70:$J$80,E65,FALSE)</f>
        <v>116.43052425897908</v>
      </c>
      <c r="F68" s="72">
        <f>VLOOKUP($D$4,'Res Bill Impact'!$B$70:$J$80,F65,FALSE)</f>
        <v>115.57460893228598</v>
      </c>
      <c r="G68" s="72">
        <f>VLOOKUP($D$4,'Res Bill Impact'!$B$70:$J$80,G65,FALSE)</f>
        <v>118.72989806785343</v>
      </c>
      <c r="H68" s="73">
        <f t="shared" ref="H68:I70" si="20">$G68/D68-1</f>
        <v>-5.2492410864766303E-2</v>
      </c>
      <c r="I68" s="73">
        <f t="shared" si="20"/>
        <v>1.9748891654561396E-2</v>
      </c>
      <c r="J68" s="74">
        <f t="shared" ref="J68:J70" si="21">$G68/F68-1</f>
        <v>2.7300885243886963E-2</v>
      </c>
      <c r="L68" s="8" t="s">
        <v>238</v>
      </c>
      <c r="M68" s="7"/>
      <c r="N68" s="72">
        <f>VLOOKUP($D$4,'Res Bill Impact'!$L$70:$T$80,N65,FALSE)</f>
        <v>108.6851596875</v>
      </c>
      <c r="O68" s="72">
        <f>VLOOKUP($D$4,'Res Bill Impact'!$L$70:$T$80,O65,FALSE)</f>
        <v>100.98565879605327</v>
      </c>
      <c r="P68" s="166">
        <f>VLOOKUP($D$4,'Res Bill Impact'!$L$70:$T$80,P65,FALSE)</f>
        <v>100.24328325759498</v>
      </c>
      <c r="Q68" s="166">
        <f>VLOOKUP($D$4,'Res Bill Impact'!$L$70:$T$80,Q65,FALSE)</f>
        <v>102.98001363028104</v>
      </c>
      <c r="R68" s="163">
        <f t="shared" ref="R68:T70" si="22">$Q68/N68-1</f>
        <v>-5.2492410864766192E-2</v>
      </c>
      <c r="S68" s="163">
        <f t="shared" si="22"/>
        <v>1.9748891654561396E-2</v>
      </c>
      <c r="T68" s="74">
        <f t="shared" si="22"/>
        <v>2.7300885243886963E-2</v>
      </c>
    </row>
    <row r="69" spans="2:20">
      <c r="B69" s="8" t="s">
        <v>237</v>
      </c>
      <c r="C69" s="7"/>
      <c r="D69" s="72">
        <f>VLOOKUP($D$4,'Res Bill Impact'!$B$86:$J$96,D65,FALSE)</f>
        <v>81.468282000000002</v>
      </c>
      <c r="E69" s="72">
        <f>VLOOKUP($D$4,'Res Bill Impact'!$B$86:$J$96,E65,FALSE)</f>
        <v>75.697686787376696</v>
      </c>
      <c r="F69" s="72">
        <f>VLOOKUP($D$4,'Res Bill Impact'!$B$86:$J$96,F65,FALSE)</f>
        <v>75.141210633645628</v>
      </c>
      <c r="G69" s="72">
        <f>VLOOKUP($D$4,'Res Bill Impact'!$B$86:$J$96,G65,FALSE)</f>
        <v>77.192632202241512</v>
      </c>
      <c r="H69" s="73">
        <f t="shared" si="20"/>
        <v>-5.2482385694085143E-2</v>
      </c>
      <c r="I69" s="73">
        <f t="shared" si="20"/>
        <v>1.9748891654561174E-2</v>
      </c>
      <c r="J69" s="74">
        <f t="shared" si="21"/>
        <v>2.7300885243886741E-2</v>
      </c>
      <c r="L69" s="8" t="s">
        <v>239</v>
      </c>
      <c r="M69" s="7"/>
      <c r="N69" s="72">
        <f>VLOOKUP($D$4,'Res Bill Impact'!$L$86:$T$96,N65,FALSE)</f>
        <v>70.661265</v>
      </c>
      <c r="O69" s="72">
        <f>VLOOKUP($D$4,'Res Bill Impact'!$L$86:$T$96,O65,FALSE)</f>
        <v>65.656156907418563</v>
      </c>
      <c r="P69" s="166">
        <f>VLOOKUP($D$4,'Res Bill Impact'!$L$86:$T$96,P65,FALSE)</f>
        <v>65.173499018978347</v>
      </c>
      <c r="Q69" s="166">
        <f>VLOOKUP($D$4,'Res Bill Impact'!$L$86:$T$96,Q65,FALSE)</f>
        <v>66.952793236638044</v>
      </c>
      <c r="R69" s="163">
        <f t="shared" si="22"/>
        <v>-5.2482385694085143E-2</v>
      </c>
      <c r="S69" s="163">
        <f t="shared" si="22"/>
        <v>1.9748891654561174E-2</v>
      </c>
      <c r="T69" s="74">
        <f t="shared" si="22"/>
        <v>2.7300885243886741E-2</v>
      </c>
    </row>
    <row r="70" spans="2:20" ht="15.75" thickBot="1">
      <c r="B70" s="6" t="s">
        <v>143</v>
      </c>
      <c r="C70" s="5"/>
      <c r="D70" s="75">
        <f>D68*(1-'SAR and RAR'!$AB$16)+D69*'SAR and RAR'!$AB$16</f>
        <v>112.39535495105203</v>
      </c>
      <c r="E70" s="75">
        <f>E68*(1-'SAR and RAR'!$AB$16)+E69*'SAR and RAR'!$AB$16</f>
        <v>104.43325138995094</v>
      </c>
      <c r="F70" s="75">
        <f>F68*(1-'SAR and RAR'!$AB$16)+F69*'SAR and RAR'!$AB$16</f>
        <v>103.66553157549551</v>
      </c>
      <c r="G70" s="75">
        <f>G68*(1-'SAR and RAR'!$AB$16)+G69*'SAR and RAR'!$AB$16</f>
        <v>106.49569235678464</v>
      </c>
      <c r="H70" s="76">
        <f t="shared" si="20"/>
        <v>-5.2490270588465782E-2</v>
      </c>
      <c r="I70" s="76">
        <f t="shared" si="20"/>
        <v>1.9748891654561396E-2</v>
      </c>
      <c r="J70" s="77">
        <f t="shared" si="21"/>
        <v>2.7300885243886963E-2</v>
      </c>
      <c r="L70" s="6" t="s">
        <v>143</v>
      </c>
      <c r="M70" s="5"/>
      <c r="N70" s="75">
        <f>N68*(1-'SAR and RAR'!$AB$16)+N69*'SAR and RAR'!$AB$16</f>
        <v>97.485767049381849</v>
      </c>
      <c r="O70" s="75">
        <f>O68*(1-'SAR and RAR'!$AB$16)+O69*'SAR and RAR'!$AB$16</f>
        <v>90.57986089944724</v>
      </c>
      <c r="P70" s="164">
        <f>P68*(1-'SAR and RAR'!$AB$16)+P69*'SAR and RAR'!$AB$16</f>
        <v>89.913981468542019</v>
      </c>
      <c r="Q70" s="164">
        <f>Q68*(1-'SAR and RAR'!$AB$16)+Q69*'SAR and RAR'!$AB$16</f>
        <v>92.368712758435649</v>
      </c>
      <c r="R70" s="165">
        <f t="shared" si="22"/>
        <v>-5.2490270588465782E-2</v>
      </c>
      <c r="S70" s="165">
        <f t="shared" si="22"/>
        <v>1.9748891654561174E-2</v>
      </c>
      <c r="T70" s="93">
        <f t="shared" si="22"/>
        <v>2.7300885243886741E-2</v>
      </c>
    </row>
    <row r="71" spans="2:20" ht="15.75" thickBot="1">
      <c r="B71" s="78"/>
      <c r="C71" s="78"/>
      <c r="D71" s="156"/>
      <c r="E71" s="156"/>
      <c r="F71" s="156"/>
      <c r="G71" s="156"/>
      <c r="H71" s="157"/>
      <c r="I71" s="157"/>
      <c r="J71" s="157"/>
      <c r="L71" s="78"/>
      <c r="M71" s="78"/>
      <c r="N71" s="156"/>
      <c r="O71" s="156"/>
      <c r="P71" s="156"/>
      <c r="Q71" s="156"/>
      <c r="R71" s="157"/>
      <c r="S71" s="157"/>
      <c r="T71" s="157"/>
    </row>
    <row r="72" spans="2:20" ht="15.75" hidden="1" thickBot="1">
      <c r="D72" s="61">
        <v>3</v>
      </c>
      <c r="E72" s="61">
        <v>5</v>
      </c>
      <c r="F72" s="61">
        <v>7</v>
      </c>
      <c r="G72" s="61">
        <v>9</v>
      </c>
      <c r="N72" s="61">
        <v>3</v>
      </c>
      <c r="O72" s="61">
        <v>5</v>
      </c>
      <c r="P72" s="61">
        <v>7</v>
      </c>
      <c r="Q72" s="61">
        <v>9</v>
      </c>
    </row>
    <row r="73" spans="2:20">
      <c r="B73" s="1" t="s">
        <v>272</v>
      </c>
      <c r="C73" s="409"/>
      <c r="D73" s="409"/>
      <c r="E73" s="409"/>
      <c r="F73" s="409"/>
      <c r="G73" s="409"/>
      <c r="H73" s="409"/>
      <c r="I73" s="409"/>
      <c r="J73" s="410"/>
      <c r="L73" s="1" t="s">
        <v>281</v>
      </c>
      <c r="M73" s="409"/>
      <c r="N73" s="409"/>
      <c r="O73" s="409"/>
      <c r="P73" s="409"/>
      <c r="Q73" s="409"/>
      <c r="R73" s="409"/>
      <c r="S73" s="409"/>
      <c r="T73" s="410"/>
    </row>
    <row r="74" spans="2:20" ht="30">
      <c r="B74" s="70"/>
      <c r="C74" s="71"/>
      <c r="D74" s="55">
        <f>$D$32</f>
        <v>45292</v>
      </c>
      <c r="E74" s="55">
        <f>$E$32</f>
        <v>45536</v>
      </c>
      <c r="F74" s="58" t="str">
        <f>$D$3&amp;" Authorized"</f>
        <v>2024 Authorized</v>
      </c>
      <c r="G74" s="58" t="str">
        <f>$D$3&amp;" w/Pending"</f>
        <v>2024 w/Pending</v>
      </c>
      <c r="H74" s="58" t="str">
        <f>$H$32</f>
        <v>% Change over 01/1/2024</v>
      </c>
      <c r="I74" s="58" t="str">
        <f>$I$32</f>
        <v>% Change over 09/1/2024</v>
      </c>
      <c r="J74" s="116" t="s">
        <v>197</v>
      </c>
      <c r="L74" s="70"/>
      <c r="M74" s="71"/>
      <c r="N74" s="55">
        <f>$D$32</f>
        <v>45292</v>
      </c>
      <c r="O74" s="55">
        <f>$E$32</f>
        <v>45536</v>
      </c>
      <c r="P74" s="58" t="str">
        <f>$D$3&amp;" Authorized"</f>
        <v>2024 Authorized</v>
      </c>
      <c r="Q74" s="58" t="str">
        <f>$D$3&amp;" w/Pending"</f>
        <v>2024 w/Pending</v>
      </c>
      <c r="R74" s="58" t="str">
        <f>$H$32</f>
        <v>% Change over 01/1/2024</v>
      </c>
      <c r="S74" s="58" t="str">
        <f>$I$32</f>
        <v>% Change over 09/1/2024</v>
      </c>
      <c r="T74" s="116" t="s">
        <v>197</v>
      </c>
    </row>
    <row r="75" spans="2:20">
      <c r="B75" s="8" t="s">
        <v>236</v>
      </c>
      <c r="C75" s="7"/>
      <c r="D75" s="72">
        <f>VLOOKUP($D$4,'Res Bill Impact'!$B$70:$J$80,D72,FALSE)</f>
        <v>124.0289469375</v>
      </c>
      <c r="E75" s="72">
        <f>VLOOKUP($D$4,'Res Bill Impact'!$B$70:$J$80,E72,FALSE)</f>
        <v>115.24245768490785</v>
      </c>
      <c r="F75" s="72">
        <f>VLOOKUP($D$4,'Res Bill Impact'!$B$70:$J$80,F72,FALSE)</f>
        <v>114.39527618807897</v>
      </c>
      <c r="G75" s="72">
        <f>VLOOKUP($D$4,'Res Bill Impact'!$B$70:$J$80,G72,FALSE)</f>
        <v>117.51836849573246</v>
      </c>
      <c r="H75" s="73">
        <f t="shared" ref="H75:I77" si="23">$G75/D75-1</f>
        <v>-5.2492410864766192E-2</v>
      </c>
      <c r="I75" s="73">
        <f t="shared" si="23"/>
        <v>1.9748891654561396E-2</v>
      </c>
      <c r="J75" s="74">
        <f t="shared" ref="J75:J77" si="24">$G75/F75-1</f>
        <v>2.7300885243886963E-2</v>
      </c>
      <c r="L75" s="8" t="s">
        <v>238</v>
      </c>
      <c r="M75" s="7"/>
      <c r="N75" s="72">
        <f>VLOOKUP($D$4,'Res Bill Impact'!$L$70:$T$80,N72,FALSE)</f>
        <v>186.682744875</v>
      </c>
      <c r="O75" s="72">
        <f>VLOOKUP($D$4,'Res Bill Impact'!$L$70:$T$80,O72,FALSE)</f>
        <v>173.45771981439739</v>
      </c>
      <c r="P75" s="166">
        <f>VLOOKUP($D$4,'Res Bill Impact'!$L$70:$T$80,P72,FALSE)</f>
        <v>172.18258065422197</v>
      </c>
      <c r="Q75" s="166">
        <f>VLOOKUP($D$4,'Res Bill Impact'!$L$70:$T$80,Q72,FALSE)</f>
        <v>176.88331752965917</v>
      </c>
      <c r="R75" s="163">
        <f t="shared" ref="R75:T77" si="25">$Q75/N75-1</f>
        <v>-5.2492410864766192E-2</v>
      </c>
      <c r="S75" s="163">
        <f t="shared" si="25"/>
        <v>1.9748891654561174E-2</v>
      </c>
      <c r="T75" s="74">
        <f t="shared" si="25"/>
        <v>2.7300885243886741E-2</v>
      </c>
    </row>
    <row r="76" spans="2:20">
      <c r="B76" s="8" t="s">
        <v>237</v>
      </c>
      <c r="C76" s="7"/>
      <c r="D76" s="72">
        <f>VLOOKUP($D$4,'Res Bill Impact'!$B$86:$J$96,D72,FALSE)</f>
        <v>80.636972999999983</v>
      </c>
      <c r="E76" s="72">
        <f>VLOOKUP($D$4,'Res Bill Impact'!$B$86:$J$96,E72,FALSE)</f>
        <v>74.925261411995294</v>
      </c>
      <c r="F76" s="72">
        <f>VLOOKUP($D$4,'Res Bill Impact'!$B$86:$J$96,F72,FALSE)</f>
        <v>74.374463586363518</v>
      </c>
      <c r="G76" s="72">
        <f>VLOOKUP($D$4,'Res Bill Impact'!$B$86:$J$96,G72,FALSE)</f>
        <v>76.404952281810466</v>
      </c>
      <c r="H76" s="73">
        <f t="shared" si="23"/>
        <v>-5.2482385694085032E-2</v>
      </c>
      <c r="I76" s="73">
        <f t="shared" si="23"/>
        <v>1.9748891654561174E-2</v>
      </c>
      <c r="J76" s="74">
        <f t="shared" si="24"/>
        <v>2.7300885243886741E-2</v>
      </c>
      <c r="L76" s="8" t="s">
        <v>239</v>
      </c>
      <c r="M76" s="7"/>
      <c r="N76" s="72">
        <f>VLOOKUP($D$4,'Res Bill Impact'!$L$86:$T$96,N72,FALSE)</f>
        <v>121.37111399999999</v>
      </c>
      <c r="O76" s="72">
        <f>VLOOKUP($D$4,'Res Bill Impact'!$L$86:$T$96,O72,FALSE)</f>
        <v>112.77410480568363</v>
      </c>
      <c r="P76" s="166">
        <f>VLOOKUP($D$4,'Res Bill Impact'!$L$86:$T$96,P72,FALSE)</f>
        <v>111.94506890318632</v>
      </c>
      <c r="Q76" s="166">
        <f>VLOOKUP($D$4,'Res Bill Impact'!$L$86:$T$96,Q72,FALSE)</f>
        <v>115.00126838293123</v>
      </c>
      <c r="R76" s="163">
        <f t="shared" si="25"/>
        <v>-5.2482385694085032E-2</v>
      </c>
      <c r="S76" s="163">
        <f t="shared" si="25"/>
        <v>1.9748891654561396E-2</v>
      </c>
      <c r="T76" s="74">
        <f t="shared" si="25"/>
        <v>2.7300885243886963E-2</v>
      </c>
    </row>
    <row r="77" spans="2:20" ht="15.75" thickBot="1">
      <c r="B77" s="6" t="s">
        <v>143</v>
      </c>
      <c r="C77" s="5"/>
      <c r="D77" s="75">
        <f>D75*(1-'SAR and RAR'!$AB$16)+D76*'SAR and RAR'!$AB$16</f>
        <v>111.24846357400045</v>
      </c>
      <c r="E77" s="75">
        <f>E75*(1-'SAR and RAR'!$AB$16)+E76*'SAR and RAR'!$AB$16</f>
        <v>103.36760596760449</v>
      </c>
      <c r="F77" s="75">
        <f>F75*(1-'SAR and RAR'!$AB$16)+F76*'SAR and RAR'!$AB$16</f>
        <v>102.60772002880677</v>
      </c>
      <c r="G77" s="75">
        <f>G75*(1-'SAR and RAR'!$AB$16)+G76*'SAR and RAR'!$AB$16</f>
        <v>105.40900161845009</v>
      </c>
      <c r="H77" s="76">
        <f t="shared" si="23"/>
        <v>-5.2490270588465782E-2</v>
      </c>
      <c r="I77" s="76">
        <f t="shared" si="23"/>
        <v>1.9748891654561174E-2</v>
      </c>
      <c r="J77" s="77">
        <f t="shared" si="24"/>
        <v>2.7300885243886741E-2</v>
      </c>
      <c r="L77" s="6" t="s">
        <v>143</v>
      </c>
      <c r="M77" s="5"/>
      <c r="N77" s="75">
        <f>N75*(1-'SAR and RAR'!$AB$16)+N76*'SAR and RAR'!$AB$16</f>
        <v>167.44614104952643</v>
      </c>
      <c r="O77" s="75">
        <f>O75*(1-'SAR and RAR'!$AB$16)+O76*'SAR and RAR'!$AB$16</f>
        <v>155.58423166257995</v>
      </c>
      <c r="P77" s="164">
        <f>P75*(1-'SAR and RAR'!$AB$16)+P76*'SAR and RAR'!$AB$16</f>
        <v>154.44048581655451</v>
      </c>
      <c r="Q77" s="164">
        <f>Q75*(1-'SAR and RAR'!$AB$16)+Q76*'SAR and RAR'!$AB$16</f>
        <v>158.65684779684241</v>
      </c>
      <c r="R77" s="165">
        <f t="shared" si="25"/>
        <v>-5.249027058846556E-2</v>
      </c>
      <c r="S77" s="165">
        <f t="shared" si="25"/>
        <v>1.9748891654561396E-2</v>
      </c>
      <c r="T77" s="93">
        <f t="shared" si="25"/>
        <v>2.7300885243886963E-2</v>
      </c>
    </row>
    <row r="79" spans="2:20" ht="15.75" thickBot="1"/>
    <row r="80" spans="2:20">
      <c r="B80" s="1" t="s">
        <v>273</v>
      </c>
      <c r="C80" s="409"/>
      <c r="D80" s="409"/>
      <c r="E80" s="409"/>
      <c r="F80" s="409"/>
      <c r="G80" s="409"/>
      <c r="H80" s="409"/>
      <c r="I80" s="409"/>
      <c r="J80" s="410"/>
      <c r="L80" s="1" t="s">
        <v>282</v>
      </c>
      <c r="M80" s="409"/>
      <c r="N80" s="409"/>
      <c r="O80" s="409"/>
      <c r="P80" s="409"/>
      <c r="Q80" s="409"/>
      <c r="R80" s="409"/>
      <c r="S80" s="409"/>
      <c r="T80" s="410"/>
    </row>
    <row r="81" spans="2:20" ht="30">
      <c r="B81" s="70"/>
      <c r="C81" s="71"/>
      <c r="D81" s="55">
        <f>$D$32</f>
        <v>45292</v>
      </c>
      <c r="E81" s="55">
        <f>$E$32</f>
        <v>45536</v>
      </c>
      <c r="F81" s="58" t="str">
        <f>$D$3&amp;" Authorized"</f>
        <v>2024 Authorized</v>
      </c>
      <c r="G81" s="58" t="str">
        <f>$D$3&amp;" w/Pending"</f>
        <v>2024 w/Pending</v>
      </c>
      <c r="H81" s="58" t="str">
        <f>$H$32</f>
        <v>% Change over 01/1/2024</v>
      </c>
      <c r="I81" s="58" t="str">
        <f>$I$32</f>
        <v>% Change over 09/1/2024</v>
      </c>
      <c r="J81" s="116" t="s">
        <v>197</v>
      </c>
      <c r="L81" s="70"/>
      <c r="M81" s="71"/>
      <c r="N81" s="55">
        <f>$D$32</f>
        <v>45292</v>
      </c>
      <c r="O81" s="55">
        <f>$E$32</f>
        <v>45536</v>
      </c>
      <c r="P81" s="58" t="str">
        <f>$D$3&amp;" Authorized"</f>
        <v>2024 Authorized</v>
      </c>
      <c r="Q81" s="58" t="str">
        <f>$D$3&amp;" w/Pending"</f>
        <v>2024 w/Pending</v>
      </c>
      <c r="R81" s="58" t="str">
        <f>$H$32</f>
        <v>% Change over 01/1/2024</v>
      </c>
      <c r="S81" s="58" t="str">
        <f>$I$32</f>
        <v>% Change over 09/1/2024</v>
      </c>
      <c r="T81" s="116" t="s">
        <v>197</v>
      </c>
    </row>
    <row r="82" spans="2:20">
      <c r="B82" s="8" t="str">
        <f>$I$4&amp;"kWh Monthly Usage - Non-CARE"</f>
        <v>500kWh Monthly Usage - Non-CARE</v>
      </c>
      <c r="C82" s="7"/>
      <c r="D82" s="72">
        <f t="shared" ref="D82:G83" si="26">((D89*4)+(D96*8)+($L$8*2))/12</f>
        <v>222.35866360734857</v>
      </c>
      <c r="E82" s="72">
        <f t="shared" si="26"/>
        <v>206.01237593859284</v>
      </c>
      <c r="F82" s="72">
        <f t="shared" si="26"/>
        <v>204.43032013997345</v>
      </c>
      <c r="G82" s="72">
        <f t="shared" si="26"/>
        <v>210.26248988570251</v>
      </c>
      <c r="H82" s="73">
        <f>$G82/D82-1</f>
        <v>-5.4399381276216241E-2</v>
      </c>
      <c r="I82" s="73">
        <f>$G82/E82-1</f>
        <v>2.0630381683363064E-2</v>
      </c>
      <c r="J82" s="74">
        <f>$G82/F82-1</f>
        <v>2.8528888189069956E-2</v>
      </c>
      <c r="L82" s="8" t="str">
        <f>$I$4&amp;"kWh Monthly Usage - Non-CARE"</f>
        <v>500kWh Monthly Usage - Non-CARE</v>
      </c>
      <c r="M82" s="7"/>
      <c r="N82" s="72">
        <f t="shared" ref="N82:Q83" si="27">((N89*4)+(N96*8)+($L$8*2))/12</f>
        <v>213.43008085734857</v>
      </c>
      <c r="O82" s="72">
        <f t="shared" si="27"/>
        <v>197.69243761766998</v>
      </c>
      <c r="P82" s="72">
        <f t="shared" si="27"/>
        <v>196.17154415402538</v>
      </c>
      <c r="Q82" s="72">
        <f t="shared" si="27"/>
        <v>201.77824200430712</v>
      </c>
      <c r="R82" s="163">
        <f t="shared" ref="R82:T84" si="28">$Q82/N82-1</f>
        <v>-5.4593236371536902E-2</v>
      </c>
      <c r="S82" s="163">
        <f t="shared" si="28"/>
        <v>2.0667479423461588E-2</v>
      </c>
      <c r="T82" s="74">
        <f t="shared" si="28"/>
        <v>2.8580586824965781E-2</v>
      </c>
    </row>
    <row r="83" spans="2:20">
      <c r="B83" s="8" t="str">
        <f>$I$4&amp;"kWh Monthly Usage - CARE"</f>
        <v>500kWh Monthly Usage - CARE</v>
      </c>
      <c r="C83" s="7"/>
      <c r="D83" s="72">
        <f t="shared" si="26"/>
        <v>141.34744644068186</v>
      </c>
      <c r="E83" s="72">
        <f t="shared" si="26"/>
        <v>130.72270154137075</v>
      </c>
      <c r="F83" s="72">
        <f t="shared" si="26"/>
        <v>129.69412247635242</v>
      </c>
      <c r="G83" s="72">
        <f t="shared" si="26"/>
        <v>133.48592786610249</v>
      </c>
      <c r="H83" s="73">
        <f>$G83/D83-1</f>
        <v>-5.5618398298256877E-2</v>
      </c>
      <c r="I83" s="73">
        <f>$G83/E83-1</f>
        <v>2.1138075423397185E-2</v>
      </c>
      <c r="J83" s="74">
        <f t="shared" ref="J83:J84" si="29">$G83/F83-1</f>
        <v>2.9236524503579053E-2</v>
      </c>
      <c r="L83" s="8" t="str">
        <f>$I$4&amp;"kWh Monthly Usage - CARE"</f>
        <v>500kWh Monthly Usage - CARE</v>
      </c>
      <c r="M83" s="7"/>
      <c r="N83" s="72">
        <f t="shared" si="27"/>
        <v>135.54306419068186</v>
      </c>
      <c r="O83" s="72">
        <f t="shared" si="27"/>
        <v>125.31344918825589</v>
      </c>
      <c r="P83" s="72">
        <f t="shared" si="27"/>
        <v>124.32463514211422</v>
      </c>
      <c r="Q83" s="72">
        <f t="shared" si="27"/>
        <v>127.96984877433376</v>
      </c>
      <c r="R83" s="163">
        <f t="shared" si="28"/>
        <v>-5.5873131255865016E-2</v>
      </c>
      <c r="S83" s="163">
        <f t="shared" si="28"/>
        <v>2.1198040619624159E-2</v>
      </c>
      <c r="T83" s="74">
        <f t="shared" si="28"/>
        <v>2.9320123305029089E-2</v>
      </c>
    </row>
    <row r="84" spans="2:20" ht="15.75" thickBot="1">
      <c r="B84" s="6" t="s">
        <v>143</v>
      </c>
      <c r="C84" s="5"/>
      <c r="D84" s="75">
        <f>((D91*4)+(D98*8)+($L$8*2))/12</f>
        <v>198.49797188710727</v>
      </c>
      <c r="E84" s="75">
        <f>((E91*4)+(E98*8)+($L$8*2))/12</f>
        <v>183.8368825521209</v>
      </c>
      <c r="F84" s="75">
        <f>((F91*4)+(F98*8)+($L$8*2))/12</f>
        <v>182.41784538445987</v>
      </c>
      <c r="G84" s="75">
        <f>((G91*4)+(G98*8)+($L$8*2))/12</f>
        <v>187.64905508295467</v>
      </c>
      <c r="H84" s="76">
        <f>$G84/D84-1</f>
        <v>-5.4655051137362465E-2</v>
      </c>
      <c r="I84" s="76">
        <f>$G84/E84-1</f>
        <v>2.0736712230490228E-2</v>
      </c>
      <c r="J84" s="77">
        <f t="shared" si="29"/>
        <v>2.8677072067536002E-2</v>
      </c>
      <c r="L84" s="6" t="s">
        <v>143</v>
      </c>
      <c r="M84" s="5"/>
      <c r="N84" s="75">
        <f>((N91*4)+(N98*8)+($L$8*2))/12</f>
        <v>190.48957757038752</v>
      </c>
      <c r="O84" s="75">
        <f>((O91*4)+(O98*8)+($L$8*2))/12</f>
        <v>176.37424502238866</v>
      </c>
      <c r="P84" s="75">
        <f>((P91*4)+(P98*8)+($L$8*2))/12</f>
        <v>175.01006791724049</v>
      </c>
      <c r="Q84" s="75">
        <f>((Q91*4)+(Q98*8)+($L$8*2))/12</f>
        <v>180.03903873319052</v>
      </c>
      <c r="R84" s="165">
        <f t="shared" si="28"/>
        <v>-5.486147310781575E-2</v>
      </c>
      <c r="S84" s="165">
        <f t="shared" si="28"/>
        <v>2.0778508281277919E-2</v>
      </c>
      <c r="T84" s="93">
        <f t="shared" si="28"/>
        <v>2.8735322920554252E-2</v>
      </c>
    </row>
    <row r="85" spans="2:20" ht="15.75" thickBot="1">
      <c r="B85" s="78"/>
      <c r="C85" s="78"/>
      <c r="D85" s="156"/>
      <c r="E85" s="156"/>
      <c r="F85" s="156"/>
      <c r="G85" s="156"/>
      <c r="H85" s="157"/>
      <c r="I85" s="157"/>
      <c r="J85" s="157"/>
      <c r="L85" s="78"/>
      <c r="M85" s="78"/>
      <c r="N85" s="156"/>
      <c r="O85" s="156"/>
      <c r="P85" s="156"/>
      <c r="Q85" s="156"/>
      <c r="R85" s="157"/>
      <c r="S85" s="157"/>
      <c r="T85" s="157"/>
    </row>
    <row r="86" spans="2:20" ht="15.75" hidden="1" thickBot="1">
      <c r="D86" s="61">
        <v>2</v>
      </c>
      <c r="E86" s="61">
        <v>4</v>
      </c>
      <c r="F86" s="61">
        <v>6</v>
      </c>
      <c r="G86" s="61">
        <v>8</v>
      </c>
      <c r="N86" s="61">
        <v>2</v>
      </c>
      <c r="O86" s="61">
        <v>4</v>
      </c>
      <c r="P86" s="61">
        <v>6</v>
      </c>
      <c r="Q86" s="61">
        <v>8</v>
      </c>
    </row>
    <row r="87" spans="2:20">
      <c r="B87" s="1" t="s">
        <v>274</v>
      </c>
      <c r="C87" s="409"/>
      <c r="D87" s="409"/>
      <c r="E87" s="409"/>
      <c r="F87" s="409"/>
      <c r="G87" s="409"/>
      <c r="H87" s="409"/>
      <c r="I87" s="409"/>
      <c r="J87" s="410"/>
      <c r="L87" s="1" t="s">
        <v>283</v>
      </c>
      <c r="M87" s="409"/>
      <c r="N87" s="409"/>
      <c r="O87" s="409"/>
      <c r="P87" s="409"/>
      <c r="Q87" s="409"/>
      <c r="R87" s="409"/>
      <c r="S87" s="409"/>
      <c r="T87" s="410"/>
    </row>
    <row r="88" spans="2:20" ht="30">
      <c r="B88" s="70"/>
      <c r="C88" s="71"/>
      <c r="D88" s="55">
        <f>$D$32</f>
        <v>45292</v>
      </c>
      <c r="E88" s="55">
        <f>$E$32</f>
        <v>45536</v>
      </c>
      <c r="F88" s="58" t="str">
        <f>$D$3&amp;" Authorized"</f>
        <v>2024 Authorized</v>
      </c>
      <c r="G88" s="58" t="str">
        <f>$D$3&amp;" w/Pending"</f>
        <v>2024 w/Pending</v>
      </c>
      <c r="H88" s="58" t="str">
        <f>$H$32</f>
        <v>% Change over 01/1/2024</v>
      </c>
      <c r="I88" s="58" t="str">
        <f>$I$32</f>
        <v>% Change over 09/1/2024</v>
      </c>
      <c r="J88" s="116" t="s">
        <v>197</v>
      </c>
      <c r="L88" s="70"/>
      <c r="M88" s="71"/>
      <c r="N88" s="55">
        <f>$D$32</f>
        <v>45292</v>
      </c>
      <c r="O88" s="55">
        <f>$E$32</f>
        <v>45536</v>
      </c>
      <c r="P88" s="58" t="str">
        <f>$D$3&amp;" Authorized"</f>
        <v>2024 Authorized</v>
      </c>
      <c r="Q88" s="58" t="str">
        <f>$D$3&amp;" w/Pending"</f>
        <v>2024 w/Pending</v>
      </c>
      <c r="R88" s="58" t="str">
        <f>$H$32</f>
        <v>% Change over 01/1/2024</v>
      </c>
      <c r="S88" s="58" t="str">
        <f>$I$32</f>
        <v>% Change over 09/1/2024</v>
      </c>
      <c r="T88" s="116" t="s">
        <v>197</v>
      </c>
    </row>
    <row r="89" spans="2:20">
      <c r="B89" s="8" t="str">
        <f>$I$4&amp;"kWh Monthly Usage - Non-CARE"</f>
        <v>500kWh Monthly Usage - Non-CARE</v>
      </c>
      <c r="C89" s="7"/>
      <c r="D89" s="72">
        <f>VLOOKUP($D$4,'Res Bill Impact'!$B$102:$J$112,D86,FALSE)</f>
        <v>231.33978862500001</v>
      </c>
      <c r="E89" s="72">
        <f>VLOOKUP($D$4,'Res Bill Impact'!$B$102:$J$112,E86,FALSE)</f>
        <v>215.00810386475553</v>
      </c>
      <c r="F89" s="72">
        <f>VLOOKUP($D$4,'Res Bill Impact'!$B$102:$J$112,F86,FALSE)</f>
        <v>213.42751550416611</v>
      </c>
      <c r="G89" s="72">
        <f>VLOOKUP($D$4,'Res Bill Impact'!$B$102:$J$112,G86,FALSE)</f>
        <v>219.25427561283323</v>
      </c>
      <c r="H89" s="73">
        <f t="shared" ref="H89:I91" si="30">$G89/D89-1</f>
        <v>-5.2241393856191753E-2</v>
      </c>
      <c r="I89" s="73">
        <f t="shared" si="30"/>
        <v>1.9748891654561174E-2</v>
      </c>
      <c r="J89" s="74">
        <f t="shared" ref="J89:J91" si="31">$G89/F89-1</f>
        <v>2.7300885243886741E-2</v>
      </c>
      <c r="L89" s="8" t="str">
        <f>$I$4&amp;"kWh Monthly Usage - Non-CARE"</f>
        <v>500kWh Monthly Usage - Non-CARE</v>
      </c>
      <c r="M89" s="7"/>
      <c r="N89" s="72">
        <f>VLOOKUP($D$4,'Res Bill Impact'!$L$102:$T$112,N86,FALSE)</f>
        <v>222.73979250000002</v>
      </c>
      <c r="O89" s="72">
        <f>VLOOKUP($D$4,'Res Bill Impact'!$L$102:$T$112,O86,FALSE)</f>
        <v>206.9943530463319</v>
      </c>
      <c r="P89" s="166">
        <f>VLOOKUP($D$4,'Res Bill Impact'!$L$102:$T$112,P86,FALSE)</f>
        <v>205.47267614554602</v>
      </c>
      <c r="Q89" s="166">
        <f>VLOOKUP($D$4,'Res Bill Impact'!$L$102:$T$112,Q86,FALSE)</f>
        <v>211.08226209774992</v>
      </c>
      <c r="R89" s="163">
        <f t="shared" ref="R89:T91" si="32">$Q89/N89-1</f>
        <v>-5.2336990491944069E-2</v>
      </c>
      <c r="S89" s="163">
        <f t="shared" si="32"/>
        <v>1.9748891654561396E-2</v>
      </c>
      <c r="T89" s="74">
        <f t="shared" si="32"/>
        <v>2.7300885243886963E-2</v>
      </c>
    </row>
    <row r="90" spans="2:20">
      <c r="B90" s="8" t="str">
        <f>$I$4&amp;"kWh Monthly Usage - CARE"</f>
        <v>500kWh Monthly Usage - CARE</v>
      </c>
      <c r="C90" s="7"/>
      <c r="D90" s="72">
        <f>VLOOKUP($D$4,'Res Bill Impact'!$B$117:$J$127,D86,FALSE)</f>
        <v>150.40352887500001</v>
      </c>
      <c r="E90" s="72">
        <f>VLOOKUP($D$4,'Res Bill Impact'!$B$117:$J$127,E86,FALSE)</f>
        <v>139.78826413431452</v>
      </c>
      <c r="F90" s="72">
        <f>VLOOKUP($D$4,'Res Bill Impact'!$B$117:$J$127,F86,FALSE)</f>
        <v>138.76063913197194</v>
      </c>
      <c r="G90" s="72">
        <f>VLOOKUP($D$4,'Res Bill Impact'!$B$117:$J$127,G86,FALSE)</f>
        <v>142.5489274172823</v>
      </c>
      <c r="H90" s="73">
        <f t="shared" si="30"/>
        <v>-5.2223518400593139E-2</v>
      </c>
      <c r="I90" s="73">
        <f t="shared" si="30"/>
        <v>1.9748891654561396E-2</v>
      </c>
      <c r="J90" s="74">
        <f t="shared" si="31"/>
        <v>2.7300885243886741E-2</v>
      </c>
      <c r="L90" s="8" t="str">
        <f>$I$4&amp;"kWh Monthly Usage - CARE"</f>
        <v>500kWh Monthly Usage - CARE</v>
      </c>
      <c r="M90" s="7"/>
      <c r="N90" s="72">
        <f>VLOOKUP($D$4,'Res Bill Impact'!$L$117:$T$127,N86,FALSE)</f>
        <v>144.81275749999998</v>
      </c>
      <c r="O90" s="72">
        <f>VLOOKUP($D$4,'Res Bill Impact'!$L$117:$T$127,O86,FALSE)</f>
        <v>134.57808122192174</v>
      </c>
      <c r="P90" s="166">
        <f>VLOOKUP($D$4,'Res Bill Impact'!$L$117:$T$127,P86,FALSE)</f>
        <v>133.58875781993672</v>
      </c>
      <c r="Q90" s="166">
        <f>VLOOKUP($D$4,'Res Bill Impact'!$L$117:$T$127,Q86,FALSE)</f>
        <v>137.23584916705221</v>
      </c>
      <c r="R90" s="163">
        <f t="shared" si="32"/>
        <v>-5.2322105205045655E-2</v>
      </c>
      <c r="S90" s="163">
        <f t="shared" si="32"/>
        <v>1.9748891654561174E-2</v>
      </c>
      <c r="T90" s="74">
        <f t="shared" si="32"/>
        <v>2.7300885243886963E-2</v>
      </c>
    </row>
    <row r="91" spans="2:20" ht="15.75" thickBot="1">
      <c r="B91" s="6" t="s">
        <v>143</v>
      </c>
      <c r="C91" s="5"/>
      <c r="D91" s="75">
        <f>D89*(1-'SAR and RAR'!$AB$16)+D90*'SAR and RAR'!$AB$16</f>
        <v>207.50117453639768</v>
      </c>
      <c r="E91" s="75">
        <f>E89*(1-'SAR and RAR'!$AB$16)+E90*'SAR and RAR'!$AB$16</f>
        <v>192.85317927744163</v>
      </c>
      <c r="F91" s="75">
        <f>F89*(1-'SAR and RAR'!$AB$16)+F90*'SAR and RAR'!$AB$16</f>
        <v>191.43545834046557</v>
      </c>
      <c r="G91" s="75">
        <f>G89*(1-'SAR and RAR'!$AB$16)+G90*'SAR and RAR'!$AB$16</f>
        <v>196.66181582022949</v>
      </c>
      <c r="H91" s="76">
        <f t="shared" si="30"/>
        <v>-5.2237577644491218E-2</v>
      </c>
      <c r="I91" s="76">
        <f t="shared" si="30"/>
        <v>1.9748891654561174E-2</v>
      </c>
      <c r="J91" s="77">
        <f t="shared" si="31"/>
        <v>2.7300885243886741E-2</v>
      </c>
      <c r="L91" s="6" t="s">
        <v>143</v>
      </c>
      <c r="M91" s="5"/>
      <c r="N91" s="75">
        <f>N89*(1-'SAR and RAR'!$AB$16)+N90*'SAR and RAR'!$AB$16</f>
        <v>199.78750238711268</v>
      </c>
      <c r="O91" s="75">
        <f>O89*(1-'SAR and RAR'!$AB$16)+O90*'SAR and RAR'!$AB$16</f>
        <v>185.66517916197236</v>
      </c>
      <c r="P91" s="164">
        <f>P89*(1-'SAR and RAR'!$AB$16)+P90*'SAR and RAR'!$AB$16</f>
        <v>184.30029934639688</v>
      </c>
      <c r="Q91" s="164">
        <f>Q89*(1-'SAR and RAR'!$AB$16)+Q90*'SAR and RAR'!$AB$16</f>
        <v>189.33186066926686</v>
      </c>
      <c r="R91" s="165">
        <f t="shared" si="32"/>
        <v>-5.2333812640526167E-2</v>
      </c>
      <c r="S91" s="165">
        <f t="shared" si="32"/>
        <v>1.9748891654561174E-2</v>
      </c>
      <c r="T91" s="93">
        <f t="shared" si="32"/>
        <v>2.7300885243886741E-2</v>
      </c>
    </row>
    <row r="92" spans="2:20" ht="15.75" thickBot="1">
      <c r="B92" s="78"/>
      <c r="C92" s="78"/>
      <c r="D92" s="156"/>
      <c r="E92" s="156"/>
      <c r="F92" s="156"/>
      <c r="G92" s="156"/>
      <c r="H92" s="157"/>
      <c r="I92" s="157"/>
      <c r="J92" s="157"/>
      <c r="L92" s="78"/>
      <c r="M92" s="78"/>
      <c r="N92" s="156"/>
      <c r="O92" s="156"/>
      <c r="P92" s="156"/>
      <c r="Q92" s="156"/>
      <c r="R92" s="157"/>
      <c r="S92" s="157"/>
      <c r="T92" s="157"/>
    </row>
    <row r="93" spans="2:20" ht="15.75" hidden="1" thickBot="1">
      <c r="D93" s="61">
        <v>3</v>
      </c>
      <c r="E93" s="61">
        <v>5</v>
      </c>
      <c r="F93" s="61">
        <v>7</v>
      </c>
      <c r="G93" s="61">
        <v>9</v>
      </c>
      <c r="N93" s="61">
        <v>3</v>
      </c>
      <c r="O93" s="61">
        <v>5</v>
      </c>
      <c r="P93" s="61">
        <v>7</v>
      </c>
      <c r="Q93" s="61">
        <v>9</v>
      </c>
    </row>
    <row r="94" spans="2:20">
      <c r="B94" s="1" t="s">
        <v>275</v>
      </c>
      <c r="C94" s="409"/>
      <c r="D94" s="409"/>
      <c r="E94" s="409"/>
      <c r="F94" s="409"/>
      <c r="G94" s="409"/>
      <c r="H94" s="409"/>
      <c r="I94" s="409"/>
      <c r="J94" s="410"/>
      <c r="L94" s="1" t="s">
        <v>284</v>
      </c>
      <c r="M94" s="409"/>
      <c r="N94" s="409"/>
      <c r="O94" s="409"/>
      <c r="P94" s="409"/>
      <c r="Q94" s="409"/>
      <c r="R94" s="409"/>
      <c r="S94" s="409"/>
      <c r="T94" s="410"/>
    </row>
    <row r="95" spans="2:20" ht="30">
      <c r="B95" s="70"/>
      <c r="C95" s="71"/>
      <c r="D95" s="55">
        <f>$D$32</f>
        <v>45292</v>
      </c>
      <c r="E95" s="55">
        <f>$E$32</f>
        <v>45536</v>
      </c>
      <c r="F95" s="58" t="str">
        <f>$D$3&amp;" Authorized"</f>
        <v>2024 Authorized</v>
      </c>
      <c r="G95" s="58" t="str">
        <f>$D$3&amp;" w/Pending"</f>
        <v>2024 w/Pending</v>
      </c>
      <c r="H95" s="58" t="str">
        <f>$H$32</f>
        <v>% Change over 01/1/2024</v>
      </c>
      <c r="I95" s="58" t="str">
        <f>$I$32</f>
        <v>% Change over 09/1/2024</v>
      </c>
      <c r="J95" s="116" t="s">
        <v>197</v>
      </c>
      <c r="L95" s="70"/>
      <c r="M95" s="71"/>
      <c r="N95" s="55">
        <f>$D$32</f>
        <v>45292</v>
      </c>
      <c r="O95" s="55">
        <f>$E$32</f>
        <v>45536</v>
      </c>
      <c r="P95" s="58" t="str">
        <f>$D$3&amp;" Authorized"</f>
        <v>2024 Authorized</v>
      </c>
      <c r="Q95" s="58" t="str">
        <f>$D$3&amp;" w/Pending"</f>
        <v>2024 w/Pending</v>
      </c>
      <c r="R95" s="58" t="str">
        <f>$H$32</f>
        <v>% Change over 01/1/2024</v>
      </c>
      <c r="S95" s="58" t="str">
        <f>$I$32</f>
        <v>% Change over 09/1/2024</v>
      </c>
      <c r="T95" s="116" t="s">
        <v>197</v>
      </c>
    </row>
    <row r="96" spans="2:20">
      <c r="B96" s="8" t="str">
        <f>$I$4&amp;"kWh Monthly Usage - Non-CARE"</f>
        <v>500kWh Monthly Usage - Non-CARE</v>
      </c>
      <c r="C96" s="7"/>
      <c r="D96" s="72">
        <f>VLOOKUP($D$4,'Res Bill Impact'!$B$102:$J$112,D93,FALSE)</f>
        <v>231.66111731250001</v>
      </c>
      <c r="E96" s="72">
        <f>VLOOKUP($D$4,'Res Bill Impact'!$B$102:$J$112,E93,FALSE)</f>
        <v>215.30752818948869</v>
      </c>
      <c r="F96" s="72">
        <f>VLOOKUP($D$4,'Res Bill Impact'!$B$102:$J$112,F93,FALSE)</f>
        <v>213.72473867185431</v>
      </c>
      <c r="G96" s="72">
        <f>VLOOKUP($D$4,'Res Bill Impact'!$B$102:$J$112,G93,FALSE)</f>
        <v>219.55961323611433</v>
      </c>
      <c r="H96" s="73">
        <f t="shared" ref="H96:I98" si="33">$G96/D96-1</f>
        <v>-5.2237959553917412E-2</v>
      </c>
      <c r="I96" s="73">
        <f t="shared" si="33"/>
        <v>1.9748891654561396E-2</v>
      </c>
      <c r="J96" s="74">
        <f t="shared" ref="J96:J98" si="34">$G96/F96-1</f>
        <v>2.7300885243886963E-2</v>
      </c>
      <c r="L96" s="8" t="str">
        <f>$I$4&amp;"kWh Monthly Usage - Non-CARE"</f>
        <v>500kWh Monthly Usage - Non-CARE</v>
      </c>
      <c r="M96" s="7"/>
      <c r="N96" s="72">
        <f>VLOOKUP($D$4,'Res Bill Impact'!$L$102:$T$112,N93,FALSE)</f>
        <v>222.56824125</v>
      </c>
      <c r="O96" s="72">
        <f>VLOOKUP($D$4,'Res Bill Impact'!$L$102:$T$112,O93,FALSE)</f>
        <v>206.83449611731623</v>
      </c>
      <c r="P96" s="166">
        <f>VLOOKUP($D$4,'Res Bill Impact'!$L$102:$T$112,P93,FALSE)</f>
        <v>205.31399437224226</v>
      </c>
      <c r="Q96" s="166">
        <f>VLOOKUP($D$4,'Res Bill Impact'!$L$102:$T$112,Q93,FALSE)</f>
        <v>210.91924817156288</v>
      </c>
      <c r="R96" s="163">
        <f t="shared" ref="R96:T98" si="35">$Q96/N96-1</f>
        <v>-5.2338972591118083E-2</v>
      </c>
      <c r="S96" s="163">
        <f t="shared" si="35"/>
        <v>1.9748891654561174E-2</v>
      </c>
      <c r="T96" s="74">
        <f t="shared" si="35"/>
        <v>2.7300885243886963E-2</v>
      </c>
    </row>
    <row r="97" spans="2:20">
      <c r="B97" s="8" t="str">
        <f>$I$4&amp;"kWh Monthly Usage - CARE"</f>
        <v>500kWh Monthly Usage - CARE</v>
      </c>
      <c r="C97" s="7"/>
      <c r="D97" s="72">
        <f>VLOOKUP($D$4,'Res Bill Impact'!$B$117:$J$127,D93,FALSE)</f>
        <v>150.61242143749999</v>
      </c>
      <c r="E97" s="72">
        <f>VLOOKUP($D$4,'Res Bill Impact'!$B$117:$J$127,E93,FALSE)</f>
        <v>139.98293645887608</v>
      </c>
      <c r="F97" s="72">
        <f>VLOOKUP($D$4,'Res Bill Impact'!$B$117:$J$127,F93,FALSE)</f>
        <v>138.95388036251984</v>
      </c>
      <c r="G97" s="72">
        <f>VLOOKUP($D$4,'Res Bill Impact'!$B$117:$J$127,G93,FALSE)</f>
        <v>142.74744430448976</v>
      </c>
      <c r="H97" s="73">
        <f t="shared" si="33"/>
        <v>-5.2219976665563217E-2</v>
      </c>
      <c r="I97" s="73">
        <f t="shared" si="33"/>
        <v>1.9748891654561174E-2</v>
      </c>
      <c r="J97" s="74">
        <f t="shared" si="34"/>
        <v>2.7300885243886741E-2</v>
      </c>
      <c r="L97" s="8" t="str">
        <f>$I$4&amp;"kWh Monthly Usage - CARE"</f>
        <v>500kWh Monthly Usage - CARE</v>
      </c>
      <c r="M97" s="7"/>
      <c r="N97" s="72">
        <f>VLOOKUP($D$4,'Res Bill Impact'!$L$117:$T$127,N93,FALSE)</f>
        <v>144.70123374999997</v>
      </c>
      <c r="O97" s="72">
        <f>VLOOKUP($D$4,'Res Bill Impact'!$L$117:$T$127,O93,FALSE)</f>
        <v>134.47414938540015</v>
      </c>
      <c r="P97" s="166">
        <f>VLOOKUP($D$4,'Res Bill Impact'!$L$117:$T$127,P93,FALSE)</f>
        <v>133.48559001718013</v>
      </c>
      <c r="Q97" s="166">
        <f>VLOOKUP($D$4,'Res Bill Impact'!$L$117:$T$127,Q93,FALSE)</f>
        <v>137.12986479195172</v>
      </c>
      <c r="R97" s="163">
        <f t="shared" si="35"/>
        <v>-5.2324149295985167E-2</v>
      </c>
      <c r="S97" s="163">
        <f t="shared" si="35"/>
        <v>1.9748891654561396E-2</v>
      </c>
      <c r="T97" s="74">
        <f t="shared" si="35"/>
        <v>2.7300885243886963E-2</v>
      </c>
    </row>
    <row r="98" spans="2:20" ht="15.75" thickBot="1">
      <c r="B98" s="6" t="s">
        <v>143</v>
      </c>
      <c r="C98" s="5"/>
      <c r="D98" s="75">
        <f>D96*(1-'SAR and RAR'!$AB$16)+D97*'SAR and RAR'!$AB$16</f>
        <v>207.78938677643924</v>
      </c>
      <c r="E98" s="75">
        <f>E96*(1-'SAR and RAR'!$AB$16)+E97*'SAR and RAR'!$AB$16</f>
        <v>193.12175040343772</v>
      </c>
      <c r="F98" s="75">
        <f>F96*(1-'SAR and RAR'!$AB$16)+F97*'SAR and RAR'!$AB$16</f>
        <v>191.70205512043421</v>
      </c>
      <c r="G98" s="75">
        <f>G96*(1-'SAR and RAR'!$AB$16)+G97*'SAR and RAR'!$AB$16</f>
        <v>196.93569092829449</v>
      </c>
      <c r="H98" s="76">
        <f t="shared" si="33"/>
        <v>-5.223412040684372E-2</v>
      </c>
      <c r="I98" s="76">
        <f t="shared" si="33"/>
        <v>1.9748891654561618E-2</v>
      </c>
      <c r="J98" s="77">
        <f t="shared" si="34"/>
        <v>2.7300885243886963E-2</v>
      </c>
      <c r="L98" s="6" t="s">
        <v>143</v>
      </c>
      <c r="M98" s="5"/>
      <c r="N98" s="75">
        <f>N96*(1-'SAR and RAR'!$AB$16)+N97*'SAR and RAR'!$AB$16</f>
        <v>199.63363137600214</v>
      </c>
      <c r="O98" s="75">
        <f>O96*(1-'SAR and RAR'!$AB$16)+O97*'SAR and RAR'!$AB$16</f>
        <v>185.52179416657401</v>
      </c>
      <c r="P98" s="164">
        <f>P96*(1-'SAR and RAR'!$AB$16)+P97*'SAR and RAR'!$AB$16</f>
        <v>184.15796841663948</v>
      </c>
      <c r="Q98" s="164">
        <f>Q96*(1-'SAR and RAR'!$AB$16)+Q97*'SAR and RAR'!$AB$16</f>
        <v>189.18564397912951</v>
      </c>
      <c r="R98" s="165">
        <f t="shared" si="35"/>
        <v>-5.2335807974129622E-2</v>
      </c>
      <c r="S98" s="165">
        <f t="shared" si="35"/>
        <v>1.9748891654561396E-2</v>
      </c>
      <c r="T98" s="93">
        <f t="shared" si="35"/>
        <v>2.7300885243886963E-2</v>
      </c>
    </row>
    <row r="99" spans="2:20" ht="15.75" thickBot="1"/>
    <row r="100" spans="2:20">
      <c r="B100" s="4" t="s">
        <v>480</v>
      </c>
      <c r="C100" s="3"/>
      <c r="D100" s="3"/>
      <c r="E100" s="3"/>
      <c r="F100" s="3"/>
      <c r="G100" s="3"/>
      <c r="H100" s="3"/>
      <c r="I100" s="3"/>
      <c r="J100" s="2"/>
    </row>
    <row r="101" spans="2:20" ht="30">
      <c r="B101" s="70"/>
      <c r="C101" s="71"/>
      <c r="D101" s="55">
        <v>44927</v>
      </c>
      <c r="E101" s="55">
        <v>45170</v>
      </c>
      <c r="F101" s="58" t="str">
        <f>$D$3&amp;" Authorized"</f>
        <v>2024 Authorized</v>
      </c>
      <c r="G101" s="58" t="str">
        <f>$D$3&amp;" w/Pending"</f>
        <v>2024 w/Pending</v>
      </c>
      <c r="H101" s="58" t="s">
        <v>481</v>
      </c>
      <c r="I101" s="58" t="s">
        <v>482</v>
      </c>
      <c r="J101" s="116" t="s">
        <v>197</v>
      </c>
    </row>
    <row r="102" spans="2:20">
      <c r="B102" s="8" t="s">
        <v>442</v>
      </c>
      <c r="C102" s="7"/>
      <c r="D102" s="226">
        <f>('Bill Impact (B-1)'!C33*4+'Bill Impact (B-1)'!D33*8)/12</f>
        <v>443.31001458849249</v>
      </c>
      <c r="E102" s="226">
        <f>('Bill Impact (B-1)'!E33*4+'Bill Impact (B-1)'!F33*8)/12</f>
        <v>415.86512810554967</v>
      </c>
      <c r="F102" s="226">
        <f>('Bill Impact (B-1)'!G33*4+'Bill Impact (B-1)'!H33*8)/12</f>
        <v>415.82985704645813</v>
      </c>
      <c r="G102" s="226">
        <f>('Bill Impact (B-1)'!I33*4+'Bill Impact (B-1)'!J33*8)/12</f>
        <v>427.3096621060854</v>
      </c>
      <c r="H102" s="73">
        <f t="shared" ref="H102:I104" si="36">$G102/D102-1</f>
        <v>-3.609291907664125E-2</v>
      </c>
      <c r="I102" s="73">
        <f t="shared" si="36"/>
        <v>2.751982127636099E-2</v>
      </c>
      <c r="J102" s="74">
        <f t="shared" ref="J102:J104" si="37">$G102/F102-1</f>
        <v>2.7606976423399709E-2</v>
      </c>
    </row>
    <row r="103" spans="2:20">
      <c r="B103" s="8" t="s">
        <v>441</v>
      </c>
      <c r="C103" s="7"/>
      <c r="D103" s="72">
        <f>('Bill Impact (B-1)'!C34*4+'Bill Impact (B-1)'!D34*8)/12</f>
        <v>529.51929527212803</v>
      </c>
      <c r="E103" s="72">
        <f>('Bill Impact (B-1)'!E34*4+'Bill Impact (B-1)'!F34*8)/12</f>
        <v>496.65668531119627</v>
      </c>
      <c r="F103" s="72">
        <f>('Bill Impact (B-1)'!G34*4+'Bill Impact (B-1)'!H34*8)/12</f>
        <v>496.61445191259537</v>
      </c>
      <c r="G103" s="72">
        <f>('Bill Impact (B-1)'!I34*4+'Bill Impact (B-1)'!J34*8)/12</f>
        <v>510.36031595614628</v>
      </c>
      <c r="H103" s="73">
        <f t="shared" si="36"/>
        <v>-3.6181834140974312E-2</v>
      </c>
      <c r="I103" s="73">
        <f t="shared" si="36"/>
        <v>2.7591757143797579E-2</v>
      </c>
      <c r="J103" s="74">
        <f t="shared" si="37"/>
        <v>2.7679146248386299E-2</v>
      </c>
    </row>
    <row r="104" spans="2:20" ht="15.75" thickBot="1">
      <c r="B104" s="6" t="s">
        <v>439</v>
      </c>
      <c r="C104" s="5"/>
      <c r="D104" s="75">
        <f>('Bill Impact (B-1)'!C35*4+'Bill Impact (B-1)'!D35*8)/12</f>
        <v>1327.637670316122</v>
      </c>
      <c r="E104" s="75">
        <f>('Bill Impact (B-1)'!E35*4+'Bill Impact (B-1)'!F35*8)/12</f>
        <v>1244.7857330807788</v>
      </c>
      <c r="F104" s="75">
        <f>('Bill Impact (B-1)'!G35*4+'Bill Impact (B-1)'!H35*8)/12</f>
        <v>1244.679255416354</v>
      </c>
      <c r="G104" s="75">
        <f>('Bill Impact (B-1)'!I35*4+'Bill Impact (B-1)'!J35*8)/12</f>
        <v>1279.3349437422255</v>
      </c>
      <c r="H104" s="76">
        <f t="shared" si="36"/>
        <v>-3.6382461611228045E-2</v>
      </c>
      <c r="I104" s="76">
        <f t="shared" si="36"/>
        <v>2.7755146723877688E-2</v>
      </c>
      <c r="J104" s="77">
        <f t="shared" si="37"/>
        <v>2.7843067340492356E-2</v>
      </c>
    </row>
    <row r="105" spans="2:20" ht="15.75" thickBot="1"/>
    <row r="106" spans="2:20">
      <c r="B106" s="4" t="s">
        <v>483</v>
      </c>
      <c r="C106" s="3"/>
      <c r="D106" s="3"/>
      <c r="E106" s="3"/>
      <c r="F106" s="3"/>
      <c r="G106" s="3"/>
      <c r="H106" s="3"/>
      <c r="I106" s="3"/>
      <c r="J106" s="2"/>
    </row>
    <row r="107" spans="2:20" ht="30">
      <c r="B107" s="70"/>
      <c r="C107" s="71"/>
      <c r="D107" s="55">
        <v>44927</v>
      </c>
      <c r="E107" s="55">
        <v>45170</v>
      </c>
      <c r="F107" s="58" t="str">
        <f>$D$3&amp;" Authorized"</f>
        <v>2024 Authorized</v>
      </c>
      <c r="G107" s="58" t="str">
        <f>$D$3&amp;" w/Pending"</f>
        <v>2024 w/Pending</v>
      </c>
      <c r="H107" s="58" t="s">
        <v>481</v>
      </c>
      <c r="I107" s="58" t="s">
        <v>482</v>
      </c>
      <c r="J107" s="116" t="s">
        <v>197</v>
      </c>
    </row>
    <row r="108" spans="2:20">
      <c r="B108" s="8" t="s">
        <v>442</v>
      </c>
      <c r="C108" s="7"/>
      <c r="D108" s="72">
        <f>'Bill Impact (B-1)'!C33</f>
        <v>491.87388844303655</v>
      </c>
      <c r="E108" s="72">
        <f>'Bill Impact (B-1)'!E33</f>
        <v>463.04789082986565</v>
      </c>
      <c r="F108" s="72">
        <f>'Bill Impact (B-1)'!G33</f>
        <v>463.01084410666851</v>
      </c>
      <c r="G108" s="72">
        <f>'Bill Impact (B-1)'!I33</f>
        <v>475.06858128142699</v>
      </c>
      <c r="H108" s="73">
        <f t="shared" ref="H108:I110" si="38">$G108/D108-1</f>
        <v>-3.4165885924143269E-2</v>
      </c>
      <c r="I108" s="73">
        <f t="shared" si="38"/>
        <v>2.5959929177127083E-2</v>
      </c>
      <c r="J108" s="74">
        <f t="shared" ref="J108:J110" si="39">$G108/F108-1</f>
        <v>2.6042018946710987E-2</v>
      </c>
    </row>
    <row r="109" spans="2:20">
      <c r="B109" s="8" t="s">
        <v>441</v>
      </c>
      <c r="C109" s="7"/>
      <c r="D109" s="72">
        <f>'Bill Impact (B-1)'!C34</f>
        <v>637.96848025260783</v>
      </c>
      <c r="E109" s="72">
        <f>'Bill Impact (B-1)'!E34</f>
        <v>600.38590526340317</v>
      </c>
      <c r="F109" s="72">
        <f>'Bill Impact (B-1)'!G34</f>
        <v>600.33760472333711</v>
      </c>
      <c r="G109" s="72">
        <f>'Bill Impact (B-1)'!I34</f>
        <v>616.05816425614671</v>
      </c>
      <c r="H109" s="73">
        <f t="shared" si="38"/>
        <v>-3.4343884807264469E-2</v>
      </c>
      <c r="I109" s="73">
        <f t="shared" si="38"/>
        <v>2.6103642432891094E-2</v>
      </c>
      <c r="J109" s="74">
        <f t="shared" si="39"/>
        <v>2.6186198247658332E-2</v>
      </c>
    </row>
    <row r="110" spans="2:20" ht="15.75" thickBot="1">
      <c r="B110" s="6" t="s">
        <v>439</v>
      </c>
      <c r="C110" s="5"/>
      <c r="D110" s="75">
        <f>'Bill Impact (B-1)'!C35</f>
        <v>1626.6053263889487</v>
      </c>
      <c r="E110" s="75">
        <f>'Bill Impact (B-1)'!E35</f>
        <v>1530.6646665596409</v>
      </c>
      <c r="F110" s="75">
        <f>'Bill Impact (B-1)'!G35</f>
        <v>1530.5413651178053</v>
      </c>
      <c r="G110" s="75">
        <f>'Bill Impact (B-1)'!I35</f>
        <v>1570.6727519346189</v>
      </c>
      <c r="H110" s="76">
        <f t="shared" si="38"/>
        <v>-3.4386076048637859E-2</v>
      </c>
      <c r="I110" s="76">
        <f t="shared" si="38"/>
        <v>2.6137720592258162E-2</v>
      </c>
      <c r="J110" s="77">
        <f t="shared" si="39"/>
        <v>2.6220386937222395E-2</v>
      </c>
    </row>
    <row r="111" spans="2:20" ht="15.75" thickBot="1"/>
    <row r="112" spans="2:20">
      <c r="B112" s="4" t="s">
        <v>484</v>
      </c>
      <c r="C112" s="3"/>
      <c r="D112" s="3"/>
      <c r="E112" s="3"/>
      <c r="F112" s="3"/>
      <c r="G112" s="3"/>
      <c r="H112" s="3"/>
      <c r="I112" s="3"/>
      <c r="J112" s="2"/>
    </row>
    <row r="113" spans="2:10" ht="30">
      <c r="B113" s="70"/>
      <c r="C113" s="71"/>
      <c r="D113" s="55">
        <v>44927</v>
      </c>
      <c r="E113" s="55">
        <v>45170</v>
      </c>
      <c r="F113" s="58" t="str">
        <f>$D$3&amp;" Authorized"</f>
        <v>2024 Authorized</v>
      </c>
      <c r="G113" s="58" t="str">
        <f>$D$3&amp;" w/Pending"</f>
        <v>2024 w/Pending</v>
      </c>
      <c r="H113" s="58" t="s">
        <v>481</v>
      </c>
      <c r="I113" s="58" t="s">
        <v>482</v>
      </c>
      <c r="J113" s="116" t="s">
        <v>197</v>
      </c>
    </row>
    <row r="114" spans="2:10">
      <c r="B114" s="8" t="s">
        <v>442</v>
      </c>
      <c r="C114" s="7"/>
      <c r="D114" s="72">
        <f>'Bill Impact (B-1)'!D33</f>
        <v>419.02807766122049</v>
      </c>
      <c r="E114" s="72">
        <f>'Bill Impact (B-1)'!F33</f>
        <v>392.27374674339171</v>
      </c>
      <c r="F114" s="72">
        <f>'Bill Impact (B-1)'!H33</f>
        <v>392.23936351635297</v>
      </c>
      <c r="G114" s="72">
        <f>'Bill Impact (B-1)'!J33</f>
        <v>403.43020251841455</v>
      </c>
      <c r="H114" s="73">
        <f t="shared" ref="H114:I116" si="40">$G114/D114-1</f>
        <v>-3.7223937903790416E-2</v>
      </c>
      <c r="I114" s="73">
        <f t="shared" si="40"/>
        <v>2.8440485420302419E-2</v>
      </c>
      <c r="J114" s="74">
        <f t="shared" ref="J114:J116" si="41">$G114/F114-1</f>
        <v>2.8530637266330983E-2</v>
      </c>
    </row>
    <row r="115" spans="2:10">
      <c r="B115" s="8" t="s">
        <v>441</v>
      </c>
      <c r="C115" s="7"/>
      <c r="D115" s="72">
        <f>'Bill Impact (B-1)'!D34</f>
        <v>475.29470278188808</v>
      </c>
      <c r="E115" s="72">
        <f>'Bill Impact (B-1)'!F34</f>
        <v>444.79207533509287</v>
      </c>
      <c r="F115" s="72">
        <f>'Bill Impact (B-1)'!H34</f>
        <v>444.75287550722453</v>
      </c>
      <c r="G115" s="72">
        <f>'Bill Impact (B-1)'!J34</f>
        <v>457.51139180614609</v>
      </c>
      <c r="H115" s="73">
        <f t="shared" si="40"/>
        <v>-3.7415335941378469E-2</v>
      </c>
      <c r="I115" s="73">
        <f t="shared" si="40"/>
        <v>2.8596095066376614E-2</v>
      </c>
      <c r="J115" s="74">
        <f t="shared" si="41"/>
        <v>2.8686753929068942E-2</v>
      </c>
    </row>
    <row r="116" spans="2:10" ht="15.75" thickBot="1">
      <c r="B116" s="6" t="s">
        <v>439</v>
      </c>
      <c r="C116" s="5"/>
      <c r="D116" s="75">
        <f>'Bill Impact (B-1)'!D35</f>
        <v>1178.1538422797087</v>
      </c>
      <c r="E116" s="75">
        <f>'Bill Impact (B-1)'!F35</f>
        <v>1101.8462663413477</v>
      </c>
      <c r="F116" s="75">
        <f>'Bill Impact (B-1)'!H35</f>
        <v>1101.7482005656282</v>
      </c>
      <c r="G116" s="75">
        <f>'Bill Impact (B-1)'!J35</f>
        <v>1133.6660396460288</v>
      </c>
      <c r="H116" s="76">
        <f t="shared" si="40"/>
        <v>-3.7760605650274504E-2</v>
      </c>
      <c r="I116" s="76">
        <f t="shared" si="40"/>
        <v>2.887859611335597E-2</v>
      </c>
      <c r="J116" s="77">
        <f t="shared" si="41"/>
        <v>2.8970175820586253E-2</v>
      </c>
    </row>
  </sheetData>
  <mergeCells count="92">
    <mergeCell ref="B100:J100"/>
    <mergeCell ref="B80:J80"/>
    <mergeCell ref="B45:J45"/>
    <mergeCell ref="L90:M90"/>
    <mergeCell ref="L94:T94"/>
    <mergeCell ref="L96:M96"/>
    <mergeCell ref="L97:M97"/>
    <mergeCell ref="L73:T73"/>
    <mergeCell ref="L80:T80"/>
    <mergeCell ref="L82:M82"/>
    <mergeCell ref="L83:M83"/>
    <mergeCell ref="L87:T87"/>
    <mergeCell ref="L89:M89"/>
    <mergeCell ref="L66:T66"/>
    <mergeCell ref="L54:M54"/>
    <mergeCell ref="L55:M55"/>
    <mergeCell ref="L56:M56"/>
    <mergeCell ref="L59:T59"/>
    <mergeCell ref="L45:T45"/>
    <mergeCell ref="L47:M47"/>
    <mergeCell ref="L48:M48"/>
    <mergeCell ref="L49:M49"/>
    <mergeCell ref="L52:T52"/>
    <mergeCell ref="B90:C90"/>
    <mergeCell ref="B94:J94"/>
    <mergeCell ref="B96:C96"/>
    <mergeCell ref="B97:C97"/>
    <mergeCell ref="B82:C82"/>
    <mergeCell ref="B83:C83"/>
    <mergeCell ref="B87:J87"/>
    <mergeCell ref="B89:C89"/>
    <mergeCell ref="L69:M69"/>
    <mergeCell ref="B73:J73"/>
    <mergeCell ref="B75:C75"/>
    <mergeCell ref="B76:C76"/>
    <mergeCell ref="L75:M75"/>
    <mergeCell ref="L76:M76"/>
    <mergeCell ref="B59:J59"/>
    <mergeCell ref="B61:C61"/>
    <mergeCell ref="B62:C62"/>
    <mergeCell ref="L61:M61"/>
    <mergeCell ref="L62:M62"/>
    <mergeCell ref="B42:C42"/>
    <mergeCell ref="B31:J31"/>
    <mergeCell ref="L31:T31"/>
    <mergeCell ref="B32:C32"/>
    <mergeCell ref="L32:M32"/>
    <mergeCell ref="B33:C33"/>
    <mergeCell ref="L33:M33"/>
    <mergeCell ref="B35:C35"/>
    <mergeCell ref="L35:M35"/>
    <mergeCell ref="B38:J38"/>
    <mergeCell ref="B40:C40"/>
    <mergeCell ref="B41:C41"/>
    <mergeCell ref="L42:M42"/>
    <mergeCell ref="L38:T38"/>
    <mergeCell ref="L40:M40"/>
    <mergeCell ref="L41:M41"/>
    <mergeCell ref="B55:C55"/>
    <mergeCell ref="B56:C56"/>
    <mergeCell ref="B47:C47"/>
    <mergeCell ref="B48:C48"/>
    <mergeCell ref="B49:C49"/>
    <mergeCell ref="B52:J52"/>
    <mergeCell ref="B54:C54"/>
    <mergeCell ref="B98:C98"/>
    <mergeCell ref="L63:M63"/>
    <mergeCell ref="L84:M84"/>
    <mergeCell ref="L70:M70"/>
    <mergeCell ref="L77:M77"/>
    <mergeCell ref="L91:M91"/>
    <mergeCell ref="L98:M98"/>
    <mergeCell ref="B63:C63"/>
    <mergeCell ref="B70:C70"/>
    <mergeCell ref="B77:C77"/>
    <mergeCell ref="B84:C84"/>
    <mergeCell ref="B91:C91"/>
    <mergeCell ref="B66:J66"/>
    <mergeCell ref="B68:C68"/>
    <mergeCell ref="B69:C69"/>
    <mergeCell ref="L68:M68"/>
    <mergeCell ref="B110:C110"/>
    <mergeCell ref="B114:C114"/>
    <mergeCell ref="B115:C115"/>
    <mergeCell ref="B116:C116"/>
    <mergeCell ref="B106:J106"/>
    <mergeCell ref="B112:J112"/>
    <mergeCell ref="B102:C102"/>
    <mergeCell ref="B103:C103"/>
    <mergeCell ref="B104:C104"/>
    <mergeCell ref="B108:C108"/>
    <mergeCell ref="B109:C109"/>
  </mergeCells>
  <dataValidations count="1">
    <dataValidation type="list" allowBlank="1" showInputMessage="1" showErrorMessage="1" sqref="I3 D8:D19 D26" xr:uid="{00000000-0002-0000-0300-000000000000}">
      <formula1>"Y, N"</formula1>
    </dataValidation>
  </dataValidations>
  <pageMargins left="0.7" right="0.7" top="0.75" bottom="0.75" header="0.3" footer="0.3"/>
  <pageSetup orientation="portrait" r:id="rId1"/>
  <headerFooter>
    <oddFooter xml:space="preserve">&amp;C_x000D_&amp;1#&amp;"Calibri"&amp;12&amp;K000000 Public 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1000000}">
          <x14:formula1>
            <xm:f>'Res Bill Impact'!$B$38:$B$48</xm:f>
          </x14:formula1>
          <xm:sqref>D4</xm:sqref>
        </x14:dataValidation>
        <x14:dataValidation type="list" allowBlank="1" showInputMessage="1" showErrorMessage="1" xr:uid="{00000000-0002-0000-0300-000002000000}">
          <x14:formula1>
            <xm:f>'Incremental Rev Req'!$R$9:$U$9</xm:f>
          </x14:formula1>
          <xm:sqref>D3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69D28-87E3-445F-89CF-C3F304F54B9A}">
  <sheetPr codeName="Sheet1">
    <pageSetUpPr fitToPage="1"/>
  </sheetPr>
  <dimension ref="A2:AD148"/>
  <sheetViews>
    <sheetView zoomScale="70" zoomScaleNormal="70" workbookViewId="0">
      <pane xSplit="1" ySplit="7" topLeftCell="G61" activePane="bottomRight" state="frozen"/>
      <selection pane="topRight" activeCell="B1" sqref="B1"/>
      <selection pane="bottomLeft" activeCell="A8" sqref="A8"/>
      <selection pane="bottomRight" activeCell="W113" sqref="W113"/>
    </sheetView>
  </sheetViews>
  <sheetFormatPr defaultColWidth="9.140625" defaultRowHeight="15" outlineLevelCol="1"/>
  <cols>
    <col min="1" max="1" width="60.140625" customWidth="1"/>
    <col min="2" max="2" width="33.42578125" hidden="1" customWidth="1" outlineLevel="1"/>
    <col min="3" max="4" width="35.5703125" hidden="1" customWidth="1" outlineLevel="1"/>
    <col min="5" max="5" width="41.42578125" hidden="1" customWidth="1" outlineLevel="1"/>
    <col min="6" max="6" width="48" hidden="1" customWidth="1" outlineLevel="1"/>
    <col min="7" max="7" width="41.42578125" customWidth="1" collapsed="1"/>
    <col min="8" max="9" width="41.42578125" customWidth="1"/>
    <col min="10" max="10" width="43.85546875" customWidth="1"/>
    <col min="11" max="11" width="46.42578125" customWidth="1"/>
    <col min="12" max="12" width="15.85546875" style="53" hidden="1" customWidth="1" outlineLevel="1"/>
    <col min="13" max="13" width="16.140625" hidden="1" customWidth="1" outlineLevel="1"/>
    <col min="14" max="14" width="15.42578125" hidden="1" customWidth="1" outlineLevel="1"/>
    <col min="15" max="15" width="12.140625" style="53" hidden="1" customWidth="1" outlineLevel="1"/>
    <col min="16" max="16" width="12.28515625" style="53" hidden="1" customWidth="1" outlineLevel="1"/>
    <col min="17" max="17" width="16" style="53" customWidth="1" collapsed="1"/>
    <col min="18" max="21" width="16" style="53" customWidth="1"/>
    <col min="22" max="22" width="45.85546875" bestFit="1" customWidth="1"/>
    <col min="23" max="23" width="14.28515625" bestFit="1" customWidth="1"/>
    <col min="24" max="24" width="20.42578125" customWidth="1"/>
    <col min="25" max="25" width="25.7109375" bestFit="1" customWidth="1"/>
    <col min="26" max="26" width="19.5703125" bestFit="1" customWidth="1"/>
    <col min="27" max="27" width="20.140625" bestFit="1" customWidth="1"/>
    <col min="28" max="28" width="19.85546875" customWidth="1"/>
    <col min="30" max="30" width="11.28515625" bestFit="1" customWidth="1"/>
  </cols>
  <sheetData>
    <row r="2" spans="1:30">
      <c r="A2" t="s">
        <v>530</v>
      </c>
      <c r="B2" s="282"/>
      <c r="L2" s="283"/>
    </row>
    <row r="3" spans="1:30">
      <c r="A3" t="s">
        <v>606</v>
      </c>
      <c r="B3" s="282"/>
      <c r="L3" s="283"/>
    </row>
    <row r="4" spans="1:30">
      <c r="B4" s="284"/>
      <c r="L4" s="283"/>
    </row>
    <row r="5" spans="1:30">
      <c r="A5" s="285"/>
      <c r="B5" t="s">
        <v>338</v>
      </c>
      <c r="C5" s="286" t="s">
        <v>228</v>
      </c>
      <c r="D5" s="286" t="s">
        <v>408</v>
      </c>
      <c r="E5" s="286" t="s">
        <v>411</v>
      </c>
      <c r="F5" s="286" t="s">
        <v>409</v>
      </c>
      <c r="G5" s="286" t="s">
        <v>490</v>
      </c>
      <c r="H5" s="286" t="s">
        <v>492</v>
      </c>
      <c r="I5" s="286" t="s">
        <v>554</v>
      </c>
      <c r="J5" s="286" t="s">
        <v>586</v>
      </c>
      <c r="K5" s="286" t="s">
        <v>607</v>
      </c>
      <c r="L5" s="286" t="s">
        <v>338</v>
      </c>
      <c r="M5" s="287" t="s">
        <v>228</v>
      </c>
      <c r="N5" s="287" t="s">
        <v>408</v>
      </c>
      <c r="O5" s="287" t="s">
        <v>411</v>
      </c>
      <c r="P5" s="287" t="s">
        <v>409</v>
      </c>
      <c r="Q5" s="286" t="s">
        <v>490</v>
      </c>
      <c r="R5" s="287" t="s">
        <v>492</v>
      </c>
      <c r="S5" s="286" t="s">
        <v>554</v>
      </c>
      <c r="T5" s="286" t="s">
        <v>586</v>
      </c>
      <c r="U5" s="286" t="s">
        <v>607</v>
      </c>
    </row>
    <row r="6" spans="1:30" ht="15.75">
      <c r="B6" s="288" t="s">
        <v>340</v>
      </c>
      <c r="C6" s="288" t="s">
        <v>341</v>
      </c>
      <c r="D6" s="288" t="s">
        <v>413</v>
      </c>
      <c r="E6" s="288" t="s">
        <v>412</v>
      </c>
      <c r="F6" s="288" t="s">
        <v>424</v>
      </c>
      <c r="G6" s="288" t="s">
        <v>491</v>
      </c>
      <c r="H6" s="288" t="s">
        <v>532</v>
      </c>
      <c r="I6" s="288" t="s">
        <v>555</v>
      </c>
      <c r="J6" s="288" t="s">
        <v>592</v>
      </c>
      <c r="K6" s="288" t="s">
        <v>608</v>
      </c>
      <c r="L6" s="288" t="str">
        <f t="shared" ref="L6:R6" si="0">B6</f>
        <v>6805-E</v>
      </c>
      <c r="M6" s="289" t="str">
        <f t="shared" si="0"/>
        <v>6863-E-A</v>
      </c>
      <c r="N6" s="289" t="str">
        <f t="shared" si="0"/>
        <v>6946-E</v>
      </c>
      <c r="O6" s="289" t="str">
        <f t="shared" si="0"/>
        <v>6968-E</v>
      </c>
      <c r="P6" s="289" t="str">
        <f t="shared" si="0"/>
        <v>7009-E</v>
      </c>
      <c r="Q6" s="289" t="str">
        <f t="shared" si="0"/>
        <v>7116-E</v>
      </c>
      <c r="R6" s="289" t="str">
        <f t="shared" si="0"/>
        <v>7191-E</v>
      </c>
      <c r="S6" s="53" t="s">
        <v>555</v>
      </c>
      <c r="T6" s="288" t="s">
        <v>592</v>
      </c>
      <c r="U6" s="288" t="s">
        <v>608</v>
      </c>
      <c r="Y6" s="139"/>
    </row>
    <row r="7" spans="1:30" ht="28.5" customHeight="1">
      <c r="A7" s="290" t="s">
        <v>1</v>
      </c>
      <c r="B7" s="423" t="s">
        <v>5</v>
      </c>
      <c r="C7" s="424"/>
      <c r="D7" s="424"/>
      <c r="E7" s="424"/>
      <c r="F7" s="424"/>
      <c r="G7" s="424"/>
      <c r="H7" s="424"/>
      <c r="I7" s="291"/>
      <c r="J7" s="291"/>
      <c r="K7" s="291"/>
      <c r="L7" s="423" t="s">
        <v>313</v>
      </c>
      <c r="M7" s="424"/>
      <c r="N7" s="424"/>
      <c r="O7" s="424"/>
      <c r="P7" s="424"/>
      <c r="Q7" s="424"/>
      <c r="R7" s="425"/>
      <c r="S7" s="292"/>
      <c r="T7" s="292"/>
      <c r="U7" s="292"/>
      <c r="V7" s="293" t="s">
        <v>2</v>
      </c>
      <c r="W7" t="s">
        <v>135</v>
      </c>
    </row>
    <row r="8" spans="1:30">
      <c r="A8" s="285" t="s">
        <v>3</v>
      </c>
      <c r="L8"/>
      <c r="M8" s="53"/>
      <c r="N8" s="53"/>
      <c r="Y8" s="139"/>
    </row>
    <row r="9" spans="1:30">
      <c r="A9" t="s">
        <v>157</v>
      </c>
      <c r="B9" t="s">
        <v>358</v>
      </c>
      <c r="C9" s="52" t="str">
        <f t="shared" ref="C9:C28" si="1">B9</f>
        <v>D.20-12-005, AL 6389-E</v>
      </c>
      <c r="D9" s="52" t="str">
        <f t="shared" ref="D9:F11" si="2">C9</f>
        <v>D.20-12-005, AL 6389-E</v>
      </c>
      <c r="E9" s="52" t="str">
        <f t="shared" si="2"/>
        <v>D.20-12-005, AL 6389-E</v>
      </c>
      <c r="F9" s="52" t="str">
        <f t="shared" si="2"/>
        <v>D.20-12-005, AL 6389-E</v>
      </c>
      <c r="G9" s="52" t="s">
        <v>473</v>
      </c>
      <c r="H9" s="52" t="str">
        <f>G9</f>
        <v>D.23-11-069</v>
      </c>
      <c r="I9" s="52" t="str">
        <f t="shared" ref="I9:I33" si="3">G9</f>
        <v>D.23-11-069</v>
      </c>
      <c r="J9" s="52" t="str">
        <f>H9</f>
        <v>D.23-11-069</v>
      </c>
      <c r="K9" s="52" t="str">
        <f>J9</f>
        <v>D.23-11-069</v>
      </c>
      <c r="L9" s="52" t="str">
        <f>K9</f>
        <v>D.23-11-069</v>
      </c>
      <c r="M9" s="52" t="str">
        <f t="shared" ref="M9:P9" si="4">L9</f>
        <v>D.23-11-069</v>
      </c>
      <c r="N9" s="52" t="str">
        <f t="shared" si="4"/>
        <v>D.23-11-069</v>
      </c>
      <c r="O9" s="52" t="str">
        <f t="shared" si="4"/>
        <v>D.23-11-069</v>
      </c>
      <c r="P9" s="52" t="str">
        <f t="shared" si="4"/>
        <v>D.23-11-069</v>
      </c>
      <c r="Q9" s="173">
        <v>6515126.9516018834</v>
      </c>
      <c r="R9" s="173">
        <f>Q9</f>
        <v>6515126.9516018834</v>
      </c>
      <c r="S9" s="173">
        <f>R9</f>
        <v>6515126.9516018834</v>
      </c>
      <c r="T9" s="173">
        <f>S9</f>
        <v>6515126.9516018834</v>
      </c>
      <c r="U9" s="173">
        <f>T9</f>
        <v>6515126.9516018834</v>
      </c>
      <c r="V9" t="s">
        <v>6</v>
      </c>
      <c r="W9" t="str">
        <f>IF(RIGHT(A9,1)="*","Y","N")</f>
        <v>N</v>
      </c>
      <c r="Y9" s="140"/>
      <c r="AB9" s="239"/>
    </row>
    <row r="10" spans="1:30">
      <c r="A10" t="s">
        <v>335</v>
      </c>
      <c r="B10" t="s">
        <v>358</v>
      </c>
      <c r="C10" s="52" t="str">
        <f t="shared" si="1"/>
        <v>D.20-12-005, AL 6389-E</v>
      </c>
      <c r="D10" s="52" t="str">
        <f t="shared" si="2"/>
        <v>D.20-12-005, AL 6389-E</v>
      </c>
      <c r="E10" s="52" t="str">
        <f t="shared" si="2"/>
        <v>D.20-12-005, AL 6389-E</v>
      </c>
      <c r="F10" s="52" t="str">
        <f t="shared" si="2"/>
        <v>D.20-12-005, AL 6389-E</v>
      </c>
      <c r="G10" s="52" t="s">
        <v>473</v>
      </c>
      <c r="H10" s="52" t="str">
        <f t="shared" ref="H10:H33" si="5">G10</f>
        <v>D.23-11-069</v>
      </c>
      <c r="I10" s="52" t="str">
        <f t="shared" si="3"/>
        <v>D.23-11-069</v>
      </c>
      <c r="J10" s="52" t="str">
        <f>H10</f>
        <v>D.23-11-069</v>
      </c>
      <c r="K10" s="52" t="str">
        <f>J10</f>
        <v>D.23-11-069</v>
      </c>
      <c r="L10" s="294">
        <v>473620.75358106912</v>
      </c>
      <c r="M10" s="173">
        <f>L10</f>
        <v>473620.75358106912</v>
      </c>
      <c r="N10" s="173">
        <f t="shared" ref="N10:O79" si="6">M10</f>
        <v>473620.75358106912</v>
      </c>
      <c r="O10" s="173">
        <f t="shared" si="6"/>
        <v>473620.75358106912</v>
      </c>
      <c r="P10" s="173">
        <f t="shared" ref="P10:P70" si="7">O10</f>
        <v>473620.75358106912</v>
      </c>
      <c r="Q10" s="173">
        <v>817618.53230883065</v>
      </c>
      <c r="R10" s="173">
        <f t="shared" ref="R10:R73" si="8">Q10</f>
        <v>817618.53230883065</v>
      </c>
      <c r="S10" s="173">
        <f>R10</f>
        <v>817618.53230883065</v>
      </c>
      <c r="T10" s="173">
        <f>S10</f>
        <v>817618.53230883065</v>
      </c>
      <c r="U10" s="173">
        <f t="shared" ref="U10:U11" si="9">T10</f>
        <v>817618.53230883065</v>
      </c>
      <c r="V10" t="s">
        <v>328</v>
      </c>
      <c r="W10" t="str">
        <f>IF(RIGHT(A10,1)="*","Y","N")</f>
        <v>N</v>
      </c>
      <c r="Y10" s="140"/>
      <c r="AB10" s="239"/>
    </row>
    <row r="11" spans="1:30">
      <c r="A11" t="s">
        <v>158</v>
      </c>
      <c r="B11" t="s">
        <v>118</v>
      </c>
      <c r="C11" s="52" t="str">
        <f t="shared" si="1"/>
        <v>Preliminary Statement  CZ</v>
      </c>
      <c r="D11" s="52" t="str">
        <f t="shared" si="2"/>
        <v>Preliminary Statement  CZ</v>
      </c>
      <c r="E11" s="52" t="str">
        <f t="shared" si="2"/>
        <v>Preliminary Statement  CZ</v>
      </c>
      <c r="F11" s="52" t="str">
        <f t="shared" si="2"/>
        <v>Preliminary Statement  CZ</v>
      </c>
      <c r="G11" s="52" t="str">
        <f>F11</f>
        <v>Preliminary Statement  CZ</v>
      </c>
      <c r="H11" s="52" t="str">
        <f t="shared" si="5"/>
        <v>Preliminary Statement  CZ</v>
      </c>
      <c r="I11" s="52" t="str">
        <f t="shared" si="3"/>
        <v>Preliminary Statement  CZ</v>
      </c>
      <c r="J11" s="52" t="str">
        <f>H11</f>
        <v>Preliminary Statement  CZ</v>
      </c>
      <c r="K11" s="52" t="str">
        <f>J11</f>
        <v>Preliminary Statement  CZ</v>
      </c>
      <c r="L11" s="294">
        <v>332625.73925997119</v>
      </c>
      <c r="M11" s="173">
        <f>L11</f>
        <v>332625.73925997119</v>
      </c>
      <c r="N11" s="173">
        <f t="shared" si="6"/>
        <v>332625.73925997119</v>
      </c>
      <c r="O11" s="173">
        <f t="shared" si="6"/>
        <v>332625.73925997119</v>
      </c>
      <c r="P11" s="173">
        <f t="shared" si="7"/>
        <v>332625.73925997119</v>
      </c>
      <c r="Q11" s="173">
        <v>882975.70770475338</v>
      </c>
      <c r="R11" s="173">
        <f t="shared" si="8"/>
        <v>882975.70770475338</v>
      </c>
      <c r="S11" s="173">
        <f t="shared" ref="S11:S47" si="10">R11</f>
        <v>882975.70770475338</v>
      </c>
      <c r="T11" s="173">
        <f>S11</f>
        <v>882975.70770475338</v>
      </c>
      <c r="U11" s="173">
        <f t="shared" si="9"/>
        <v>882975.70770475338</v>
      </c>
      <c r="V11" t="s">
        <v>6</v>
      </c>
      <c r="W11" t="str">
        <f>IF(RIGHT(A11,1)="*","Y","N")</f>
        <v>Y</v>
      </c>
      <c r="Y11" s="139"/>
      <c r="AB11" s="239"/>
    </row>
    <row r="12" spans="1:30">
      <c r="A12" t="s">
        <v>493</v>
      </c>
      <c r="C12" s="52"/>
      <c r="D12" s="52"/>
      <c r="E12" s="52"/>
      <c r="F12" s="52"/>
      <c r="G12" s="52" t="s">
        <v>473</v>
      </c>
      <c r="H12" s="52" t="str">
        <f t="shared" si="5"/>
        <v>D.23-11-069</v>
      </c>
      <c r="I12" s="52" t="str">
        <f t="shared" si="3"/>
        <v>D.23-11-069</v>
      </c>
      <c r="J12" s="52" t="str">
        <f t="shared" ref="J12:J33" si="11">H12</f>
        <v>D.23-11-069</v>
      </c>
      <c r="K12" s="52" t="str">
        <f>J12</f>
        <v>D.23-11-069</v>
      </c>
      <c r="L12" s="294"/>
      <c r="M12" s="173"/>
      <c r="N12" s="173"/>
      <c r="O12" s="173"/>
      <c r="P12" s="173"/>
      <c r="Q12" s="173">
        <v>872096.71037771134</v>
      </c>
      <c r="R12" s="173">
        <f t="shared" si="8"/>
        <v>872096.71037771134</v>
      </c>
      <c r="S12" s="173">
        <f t="shared" si="10"/>
        <v>872096.71037771134</v>
      </c>
      <c r="T12" s="173">
        <f t="shared" ref="T12:T62" si="12">S12</f>
        <v>872096.71037771134</v>
      </c>
      <c r="U12" s="173">
        <f>T12</f>
        <v>872096.71037771134</v>
      </c>
      <c r="V12" t="s">
        <v>6</v>
      </c>
      <c r="W12" t="str">
        <f t="shared" ref="W12:W47" si="13">IF(RIGHT(A12,1)="*","Y","N")</f>
        <v>N</v>
      </c>
      <c r="Y12" s="139"/>
      <c r="AB12" s="239"/>
    </row>
    <row r="13" spans="1:30">
      <c r="A13" t="s">
        <v>502</v>
      </c>
      <c r="C13" s="52"/>
      <c r="D13" s="52"/>
      <c r="E13" s="52"/>
      <c r="F13" s="52"/>
      <c r="G13" s="52" t="s">
        <v>376</v>
      </c>
      <c r="H13" s="52" t="str">
        <f t="shared" si="5"/>
        <v>D.23-01-005</v>
      </c>
      <c r="I13" s="52" t="str">
        <f t="shared" si="3"/>
        <v>D.23-01-005</v>
      </c>
      <c r="J13" s="52" t="str">
        <f t="shared" si="11"/>
        <v>D.23-01-005</v>
      </c>
      <c r="K13" s="52" t="str">
        <f t="shared" ref="K13:K73" si="14">J13</f>
        <v>D.23-01-005</v>
      </c>
      <c r="L13" s="294"/>
      <c r="M13" s="173"/>
      <c r="N13" s="173"/>
      <c r="O13" s="173"/>
      <c r="P13" s="173"/>
      <c r="Q13" s="173">
        <v>8928.6850254772435</v>
      </c>
      <c r="R13" s="173">
        <f t="shared" si="8"/>
        <v>8928.6850254772435</v>
      </c>
      <c r="S13" s="173">
        <f t="shared" si="10"/>
        <v>8928.6850254772435</v>
      </c>
      <c r="T13" s="173">
        <f t="shared" si="12"/>
        <v>8928.6850254772435</v>
      </c>
      <c r="U13" s="173">
        <f t="shared" ref="U13:U61" si="15">T13</f>
        <v>8928.6850254772435</v>
      </c>
      <c r="V13" t="s">
        <v>6</v>
      </c>
      <c r="W13" t="str">
        <f t="shared" si="13"/>
        <v>N</v>
      </c>
      <c r="Z13" s="140"/>
      <c r="AA13" s="140"/>
      <c r="AB13" s="239"/>
      <c r="AD13" s="140"/>
    </row>
    <row r="14" spans="1:30">
      <c r="A14" t="s">
        <v>351</v>
      </c>
      <c r="C14" s="52" t="s">
        <v>376</v>
      </c>
      <c r="D14" s="52" t="str">
        <f>C14</f>
        <v>D.23-01-005</v>
      </c>
      <c r="E14" s="52" t="str">
        <f t="shared" ref="E14:E81" si="16">D14</f>
        <v>D.23-01-005</v>
      </c>
      <c r="F14" s="52" t="str">
        <f>E14</f>
        <v>D.23-01-005</v>
      </c>
      <c r="G14" s="52" t="s">
        <v>376</v>
      </c>
      <c r="H14" s="52" t="str">
        <f t="shared" si="5"/>
        <v>D.23-01-005</v>
      </c>
      <c r="I14" s="52" t="str">
        <f t="shared" si="3"/>
        <v>D.23-01-005</v>
      </c>
      <c r="J14" s="52" t="str">
        <f t="shared" si="11"/>
        <v>D.23-01-005</v>
      </c>
      <c r="K14" s="52" t="str">
        <f t="shared" si="14"/>
        <v>D.23-01-005</v>
      </c>
      <c r="L14" s="294"/>
      <c r="M14" s="173">
        <v>404324.39999999997</v>
      </c>
      <c r="N14" s="173">
        <f t="shared" si="6"/>
        <v>404324.39999999997</v>
      </c>
      <c r="O14" s="173">
        <f t="shared" si="6"/>
        <v>404324.39999999997</v>
      </c>
      <c r="P14" s="173">
        <f t="shared" si="7"/>
        <v>404324.39999999997</v>
      </c>
      <c r="Q14" s="173">
        <v>404008.12629373185</v>
      </c>
      <c r="R14" s="173">
        <f t="shared" si="8"/>
        <v>404008.12629373185</v>
      </c>
      <c r="S14" s="173">
        <f t="shared" si="10"/>
        <v>404008.12629373185</v>
      </c>
      <c r="T14" s="173">
        <f t="shared" si="12"/>
        <v>404008.12629373185</v>
      </c>
      <c r="U14" s="173">
        <f t="shared" si="15"/>
        <v>404008.12629373185</v>
      </c>
      <c r="V14" t="s">
        <v>6</v>
      </c>
      <c r="W14" t="str">
        <f t="shared" si="13"/>
        <v>N</v>
      </c>
      <c r="Y14" s="139"/>
      <c r="Z14" s="140"/>
      <c r="AA14" s="140"/>
      <c r="AB14" s="239"/>
      <c r="AD14" s="140"/>
    </row>
    <row r="15" spans="1:30">
      <c r="A15" t="s">
        <v>157</v>
      </c>
      <c r="B15" t="s">
        <v>358</v>
      </c>
      <c r="C15" s="52" t="str">
        <f t="shared" si="1"/>
        <v>D.20-12-005, AL 6389-E</v>
      </c>
      <c r="D15" s="52" t="str">
        <f>C15</f>
        <v>D.20-12-005, AL 6389-E</v>
      </c>
      <c r="E15" s="52" t="str">
        <f t="shared" si="16"/>
        <v>D.20-12-005, AL 6389-E</v>
      </c>
      <c r="F15" s="52" t="str">
        <f>E15</f>
        <v>D.20-12-005, AL 6389-E</v>
      </c>
      <c r="G15" s="52" t="s">
        <v>473</v>
      </c>
      <c r="H15" s="52" t="str">
        <f t="shared" si="5"/>
        <v>D.23-11-069</v>
      </c>
      <c r="I15" s="52" t="str">
        <f t="shared" si="3"/>
        <v>D.23-11-069</v>
      </c>
      <c r="J15" s="52" t="str">
        <f t="shared" si="11"/>
        <v>D.23-11-069</v>
      </c>
      <c r="K15" s="52" t="str">
        <f t="shared" si="14"/>
        <v>D.23-11-069</v>
      </c>
      <c r="L15" s="171">
        <v>2286604.1989959814</v>
      </c>
      <c r="M15" s="173">
        <f>L15</f>
        <v>2286604.1989959814</v>
      </c>
      <c r="N15" s="173">
        <f t="shared" si="6"/>
        <v>2286604.1989959814</v>
      </c>
      <c r="O15" s="173">
        <f t="shared" si="6"/>
        <v>2286604.1989959814</v>
      </c>
      <c r="P15" s="173">
        <f t="shared" si="7"/>
        <v>2286604.1989959814</v>
      </c>
      <c r="Q15" s="173">
        <v>2264591.3655145746</v>
      </c>
      <c r="R15" s="173">
        <f t="shared" si="8"/>
        <v>2264591.3655145746</v>
      </c>
      <c r="S15" s="173">
        <f t="shared" si="10"/>
        <v>2264591.3655145746</v>
      </c>
      <c r="T15" s="173">
        <f t="shared" si="12"/>
        <v>2264591.3655145746</v>
      </c>
      <c r="U15" s="173">
        <f t="shared" si="15"/>
        <v>2264591.3655145746</v>
      </c>
      <c r="V15" t="s">
        <v>219</v>
      </c>
      <c r="W15" t="str">
        <f t="shared" si="13"/>
        <v>N</v>
      </c>
      <c r="Y15" s="139"/>
      <c r="Z15" s="140"/>
      <c r="AA15" s="140"/>
      <c r="AB15" s="239"/>
      <c r="AD15" s="140"/>
    </row>
    <row r="16" spans="1:30">
      <c r="A16" t="s">
        <v>493</v>
      </c>
      <c r="B16" t="s">
        <v>224</v>
      </c>
      <c r="C16" s="52" t="str">
        <f t="shared" si="1"/>
        <v>D.20-12-005</v>
      </c>
      <c r="D16" s="52" t="str">
        <f>C16</f>
        <v>D.20-12-005</v>
      </c>
      <c r="E16" s="52" t="str">
        <f t="shared" si="16"/>
        <v>D.20-12-005</v>
      </c>
      <c r="F16" s="52" t="str">
        <f>E16</f>
        <v>D.20-12-005</v>
      </c>
      <c r="G16" s="52" t="s">
        <v>473</v>
      </c>
      <c r="H16" s="52" t="str">
        <f t="shared" si="5"/>
        <v>D.23-11-069</v>
      </c>
      <c r="I16" s="52" t="str">
        <f t="shared" si="3"/>
        <v>D.23-11-069</v>
      </c>
      <c r="J16" s="52" t="str">
        <f t="shared" si="11"/>
        <v>D.23-11-069</v>
      </c>
      <c r="K16" s="52" t="str">
        <f t="shared" si="14"/>
        <v>D.23-11-069</v>
      </c>
      <c r="L16" s="171"/>
      <c r="M16" s="173"/>
      <c r="N16" s="173"/>
      <c r="O16" s="173"/>
      <c r="P16" s="173"/>
      <c r="Q16" s="173">
        <v>-993.7272371893788</v>
      </c>
      <c r="R16" s="173">
        <f t="shared" si="8"/>
        <v>-993.7272371893788</v>
      </c>
      <c r="S16" s="173">
        <f t="shared" si="10"/>
        <v>-993.7272371893788</v>
      </c>
      <c r="T16" s="173">
        <f t="shared" si="12"/>
        <v>-993.7272371893788</v>
      </c>
      <c r="U16" s="173">
        <f t="shared" si="15"/>
        <v>-993.7272371893788</v>
      </c>
      <c r="V16" t="s">
        <v>219</v>
      </c>
      <c r="W16" t="str">
        <f t="shared" si="13"/>
        <v>N</v>
      </c>
      <c r="Z16" s="140"/>
      <c r="AA16" s="140"/>
      <c r="AB16" s="239"/>
      <c r="AD16" s="140"/>
    </row>
    <row r="17" spans="1:30">
      <c r="A17" t="s">
        <v>68</v>
      </c>
      <c r="B17" t="s">
        <v>359</v>
      </c>
      <c r="C17" s="52" t="str">
        <f t="shared" si="1"/>
        <v>AL 6492-E-B</v>
      </c>
      <c r="D17" s="52" t="str">
        <f>C17</f>
        <v>AL 6492-E-B</v>
      </c>
      <c r="E17" s="52" t="str">
        <f t="shared" si="16"/>
        <v>AL 6492-E-B</v>
      </c>
      <c r="F17" s="52" t="str">
        <f>E17</f>
        <v>AL 6492-E-B</v>
      </c>
      <c r="G17" s="52" t="s">
        <v>508</v>
      </c>
      <c r="H17" s="52" t="str">
        <f t="shared" si="5"/>
        <v>AL 4568-G-B/6492-E-B</v>
      </c>
      <c r="I17" s="52" t="str">
        <f t="shared" si="3"/>
        <v>AL 4568-G-B/6492-E-B</v>
      </c>
      <c r="J17" s="52" t="str">
        <f t="shared" si="11"/>
        <v>AL 4568-G-B/6492-E-B</v>
      </c>
      <c r="K17" s="52" t="str">
        <f t="shared" si="14"/>
        <v>AL 4568-G-B/6492-E-B</v>
      </c>
      <c r="L17" s="294">
        <v>54524.929300000003</v>
      </c>
      <c r="M17" s="173">
        <f t="shared" ref="M17:M24" si="17">L17</f>
        <v>54524.929300000003</v>
      </c>
      <c r="N17" s="173">
        <f t="shared" si="6"/>
        <v>54524.929300000003</v>
      </c>
      <c r="O17" s="173">
        <f t="shared" si="6"/>
        <v>54524.929300000003</v>
      </c>
      <c r="P17" s="173">
        <f t="shared" si="7"/>
        <v>54524.929300000003</v>
      </c>
      <c r="Q17" s="173">
        <v>66013.951671243645</v>
      </c>
      <c r="R17" s="173">
        <f t="shared" si="8"/>
        <v>66013.951671243645</v>
      </c>
      <c r="S17" s="173">
        <f t="shared" si="10"/>
        <v>66013.951671243645</v>
      </c>
      <c r="T17" s="173">
        <v>71556.24213014952</v>
      </c>
      <c r="U17" s="173">
        <f t="shared" si="15"/>
        <v>71556.24213014952</v>
      </c>
      <c r="V17" t="s">
        <v>6</v>
      </c>
      <c r="W17" t="str">
        <f t="shared" si="13"/>
        <v>N</v>
      </c>
      <c r="Y17" s="139"/>
      <c r="Z17" s="140"/>
      <c r="AA17" s="140"/>
      <c r="AB17" s="239"/>
      <c r="AD17" s="140"/>
    </row>
    <row r="18" spans="1:30">
      <c r="A18" t="s">
        <v>344</v>
      </c>
      <c r="B18" t="s">
        <v>359</v>
      </c>
      <c r="C18" s="52"/>
      <c r="D18" s="52"/>
      <c r="E18" s="52"/>
      <c r="F18" s="52"/>
      <c r="G18" s="52" t="s">
        <v>508</v>
      </c>
      <c r="H18" s="52" t="str">
        <f t="shared" si="5"/>
        <v>AL 4568-G-B/6492-E-B</v>
      </c>
      <c r="I18" s="52" t="str">
        <f t="shared" si="3"/>
        <v>AL 4568-G-B/6492-E-B</v>
      </c>
      <c r="J18" s="52" t="str">
        <f t="shared" si="11"/>
        <v>AL 4568-G-B/6492-E-B</v>
      </c>
      <c r="K18" s="52" t="str">
        <f t="shared" si="14"/>
        <v>AL 4568-G-B/6492-E-B</v>
      </c>
      <c r="L18" s="294">
        <v>-10.143013303830001</v>
      </c>
      <c r="M18" s="173">
        <f t="shared" si="17"/>
        <v>-10.143013303830001</v>
      </c>
      <c r="N18" s="173">
        <f t="shared" si="6"/>
        <v>-10.143013303830001</v>
      </c>
      <c r="O18" s="173">
        <f t="shared" si="6"/>
        <v>-10.143013303830001</v>
      </c>
      <c r="P18" s="173">
        <f t="shared" si="7"/>
        <v>-10.143013303830001</v>
      </c>
      <c r="Q18" s="173">
        <v>-5.94814309E-2</v>
      </c>
      <c r="R18" s="173">
        <f t="shared" si="8"/>
        <v>-5.94814309E-2</v>
      </c>
      <c r="S18" s="173">
        <f t="shared" si="10"/>
        <v>-5.94814309E-2</v>
      </c>
      <c r="T18" s="173">
        <f t="shared" si="12"/>
        <v>-5.94814309E-2</v>
      </c>
      <c r="U18" s="173">
        <f t="shared" si="15"/>
        <v>-5.94814309E-2</v>
      </c>
      <c r="V18" t="s">
        <v>6</v>
      </c>
      <c r="W18" t="str">
        <f t="shared" si="13"/>
        <v>Y</v>
      </c>
      <c r="Z18" s="140"/>
      <c r="AA18" s="140"/>
      <c r="AB18" s="239"/>
      <c r="AC18" s="139"/>
      <c r="AD18" s="140"/>
    </row>
    <row r="19" spans="1:30">
      <c r="A19" t="s">
        <v>68</v>
      </c>
      <c r="B19" t="s">
        <v>359</v>
      </c>
      <c r="C19" s="52" t="str">
        <f t="shared" si="1"/>
        <v>AL 6492-E-B</v>
      </c>
      <c r="D19" s="52" t="str">
        <f t="shared" ref="D19:D24" si="18">C19</f>
        <v>AL 6492-E-B</v>
      </c>
      <c r="E19" s="52" t="str">
        <f t="shared" si="16"/>
        <v>AL 6492-E-B</v>
      </c>
      <c r="F19" s="52" t="str">
        <f t="shared" ref="F19:F24" si="19">E19</f>
        <v>AL 6492-E-B</v>
      </c>
      <c r="G19" s="52" t="s">
        <v>508</v>
      </c>
      <c r="H19" s="52" t="str">
        <f t="shared" si="5"/>
        <v>AL 4568-G-B/6492-E-B</v>
      </c>
      <c r="I19" s="52" t="str">
        <f t="shared" si="3"/>
        <v>AL 4568-G-B/6492-E-B</v>
      </c>
      <c r="J19" s="52" t="str">
        <f t="shared" si="11"/>
        <v>AL 4568-G-B/6492-E-B</v>
      </c>
      <c r="K19" s="52" t="str">
        <f t="shared" si="14"/>
        <v>AL 4568-G-B/6492-E-B</v>
      </c>
      <c r="L19" s="171">
        <v>35519.599200000004</v>
      </c>
      <c r="M19" s="173">
        <f t="shared" si="17"/>
        <v>35519.599200000004</v>
      </c>
      <c r="N19" s="173">
        <f t="shared" si="6"/>
        <v>35519.599200000004</v>
      </c>
      <c r="O19" s="173">
        <f t="shared" si="6"/>
        <v>35519.599200000004</v>
      </c>
      <c r="P19" s="173">
        <f t="shared" si="7"/>
        <v>35519.599200000004</v>
      </c>
      <c r="Q19" s="173">
        <v>40840.810625489292</v>
      </c>
      <c r="R19" s="173">
        <f t="shared" si="8"/>
        <v>40840.810625489292</v>
      </c>
      <c r="S19" s="173">
        <f t="shared" si="10"/>
        <v>40840.810625489292</v>
      </c>
      <c r="T19" s="173">
        <f>S19</f>
        <v>40840.810625489292</v>
      </c>
      <c r="U19" s="173">
        <f t="shared" si="15"/>
        <v>40840.810625489292</v>
      </c>
      <c r="V19" t="s">
        <v>219</v>
      </c>
      <c r="W19" t="str">
        <f t="shared" si="13"/>
        <v>N</v>
      </c>
      <c r="Y19" s="139"/>
      <c r="Z19" s="140"/>
      <c r="AA19" s="140"/>
      <c r="AB19" s="239"/>
      <c r="AD19" s="140"/>
    </row>
    <row r="20" spans="1:30">
      <c r="A20" s="52" t="s">
        <v>73</v>
      </c>
      <c r="B20" t="s">
        <v>74</v>
      </c>
      <c r="C20" s="52" t="str">
        <f t="shared" si="1"/>
        <v>D. 17-05-013</v>
      </c>
      <c r="D20" s="52" t="str">
        <f t="shared" si="18"/>
        <v>D. 17-05-013</v>
      </c>
      <c r="E20" s="52" t="str">
        <f t="shared" si="16"/>
        <v>D. 17-05-013</v>
      </c>
      <c r="F20" s="52" t="str">
        <f t="shared" si="19"/>
        <v>D. 17-05-013</v>
      </c>
      <c r="G20" s="52" t="s">
        <v>519</v>
      </c>
      <c r="H20" s="52" t="str">
        <f t="shared" si="5"/>
        <v>n/a</v>
      </c>
      <c r="I20" s="52" t="str">
        <f t="shared" si="3"/>
        <v>n/a</v>
      </c>
      <c r="J20" s="52" t="str">
        <f t="shared" si="11"/>
        <v>n/a</v>
      </c>
      <c r="K20" s="52" t="str">
        <f t="shared" si="14"/>
        <v>n/a</v>
      </c>
      <c r="L20" s="294">
        <v>-5740.0000000000009</v>
      </c>
      <c r="M20" s="173">
        <f t="shared" si="17"/>
        <v>-5740.0000000000009</v>
      </c>
      <c r="N20" s="173">
        <f t="shared" si="6"/>
        <v>-5740.0000000000009</v>
      </c>
      <c r="O20" s="173">
        <f t="shared" si="6"/>
        <v>-5740.0000000000009</v>
      </c>
      <c r="P20" s="173">
        <f t="shared" si="7"/>
        <v>-5740.0000000000009</v>
      </c>
      <c r="Q20" s="173"/>
      <c r="R20" s="173">
        <f t="shared" si="8"/>
        <v>0</v>
      </c>
      <c r="S20" s="173">
        <f t="shared" si="10"/>
        <v>0</v>
      </c>
      <c r="T20" s="173">
        <f t="shared" si="12"/>
        <v>0</v>
      </c>
      <c r="U20" s="173">
        <f t="shared" si="15"/>
        <v>0</v>
      </c>
      <c r="V20" t="s">
        <v>17</v>
      </c>
      <c r="W20" t="str">
        <f t="shared" si="13"/>
        <v>N</v>
      </c>
      <c r="Z20" s="140"/>
      <c r="AA20" s="140"/>
      <c r="AB20" s="239"/>
      <c r="AD20" s="140"/>
    </row>
    <row r="21" spans="1:30">
      <c r="A21" s="52" t="s">
        <v>73</v>
      </c>
      <c r="B21" t="s">
        <v>74</v>
      </c>
      <c r="C21" s="52" t="str">
        <f t="shared" si="1"/>
        <v>D. 17-05-013</v>
      </c>
      <c r="D21" s="52" t="str">
        <f t="shared" si="18"/>
        <v>D. 17-05-013</v>
      </c>
      <c r="E21" s="52" t="str">
        <f t="shared" si="16"/>
        <v>D. 17-05-013</v>
      </c>
      <c r="F21" s="52" t="str">
        <f t="shared" si="19"/>
        <v>D. 17-05-013</v>
      </c>
      <c r="G21" s="52" t="s">
        <v>473</v>
      </c>
      <c r="H21" s="52" t="str">
        <f t="shared" si="5"/>
        <v>D.23-11-069</v>
      </c>
      <c r="I21" s="52" t="str">
        <f t="shared" si="3"/>
        <v>D.23-11-069</v>
      </c>
      <c r="J21" s="52" t="str">
        <f t="shared" si="11"/>
        <v>D.23-11-069</v>
      </c>
      <c r="K21" s="52" t="str">
        <f t="shared" si="14"/>
        <v>D.23-11-069</v>
      </c>
      <c r="L21" s="171">
        <v>-14760</v>
      </c>
      <c r="M21" s="173">
        <f t="shared" si="17"/>
        <v>-14760</v>
      </c>
      <c r="N21" s="173">
        <f t="shared" si="6"/>
        <v>-14760</v>
      </c>
      <c r="O21" s="173">
        <f t="shared" si="6"/>
        <v>-14760</v>
      </c>
      <c r="P21" s="173">
        <f t="shared" si="7"/>
        <v>-14760</v>
      </c>
      <c r="Q21" s="173">
        <v>-1828</v>
      </c>
      <c r="R21" s="173">
        <f t="shared" si="8"/>
        <v>-1828</v>
      </c>
      <c r="S21" s="173">
        <f t="shared" si="10"/>
        <v>-1828</v>
      </c>
      <c r="T21" s="173">
        <f t="shared" si="12"/>
        <v>-1828</v>
      </c>
      <c r="U21" s="173">
        <f t="shared" si="15"/>
        <v>-1828</v>
      </c>
      <c r="V21" t="s">
        <v>219</v>
      </c>
      <c r="W21" t="str">
        <f t="shared" si="13"/>
        <v>N</v>
      </c>
      <c r="Y21" s="139"/>
      <c r="Z21" s="140"/>
      <c r="AA21" s="140"/>
      <c r="AB21" s="239"/>
      <c r="AD21" s="140"/>
    </row>
    <row r="22" spans="1:30">
      <c r="A22" t="s">
        <v>95</v>
      </c>
      <c r="B22" t="s">
        <v>360</v>
      </c>
      <c r="C22" s="52" t="str">
        <f t="shared" si="1"/>
        <v>D.22-12-044</v>
      </c>
      <c r="D22" s="52" t="str">
        <f t="shared" si="18"/>
        <v>D.22-12-044</v>
      </c>
      <c r="E22" s="52" t="str">
        <f t="shared" si="16"/>
        <v>D.22-12-044</v>
      </c>
      <c r="F22" s="52" t="str">
        <f t="shared" si="19"/>
        <v>D.22-12-044</v>
      </c>
      <c r="G22" s="52" t="s">
        <v>506</v>
      </c>
      <c r="H22" s="52" t="str">
        <f t="shared" si="5"/>
        <v>D.23-12-022</v>
      </c>
      <c r="I22" s="52" t="str">
        <f t="shared" si="3"/>
        <v>D.23-12-022</v>
      </c>
      <c r="J22" s="52" t="str">
        <f t="shared" si="11"/>
        <v>D.23-12-022</v>
      </c>
      <c r="K22" s="52" t="str">
        <f t="shared" si="14"/>
        <v>D.23-12-022</v>
      </c>
      <c r="L22" s="171">
        <v>4012293.0886706826</v>
      </c>
      <c r="M22" s="173">
        <f t="shared" si="17"/>
        <v>4012293.0886706826</v>
      </c>
      <c r="N22" s="173">
        <f t="shared" si="6"/>
        <v>4012293.0886706826</v>
      </c>
      <c r="O22" s="173">
        <f t="shared" si="6"/>
        <v>4012293.0886706826</v>
      </c>
      <c r="P22" s="173">
        <f t="shared" si="7"/>
        <v>4012293.0886706826</v>
      </c>
      <c r="Q22" s="173">
        <v>4421013.2718403628</v>
      </c>
      <c r="R22" s="173">
        <f t="shared" si="8"/>
        <v>4421013.2718403628</v>
      </c>
      <c r="S22" s="173">
        <f t="shared" si="10"/>
        <v>4421013.2718403628</v>
      </c>
      <c r="T22" s="173">
        <f>S22</f>
        <v>4421013.2718403628</v>
      </c>
      <c r="U22" s="173">
        <f t="shared" si="15"/>
        <v>4421013.2718403628</v>
      </c>
      <c r="V22" t="s">
        <v>4</v>
      </c>
      <c r="W22" t="str">
        <f t="shared" si="13"/>
        <v>N</v>
      </c>
      <c r="Y22" s="139"/>
      <c r="Z22" s="140"/>
      <c r="AA22" s="140"/>
      <c r="AB22" s="239"/>
      <c r="AD22" s="140"/>
    </row>
    <row r="23" spans="1:30">
      <c r="A23" t="s">
        <v>95</v>
      </c>
      <c r="B23" t="s">
        <v>360</v>
      </c>
      <c r="C23" s="52" t="str">
        <f t="shared" si="1"/>
        <v>D.22-12-044</v>
      </c>
      <c r="D23" s="52" t="str">
        <f t="shared" si="18"/>
        <v>D.22-12-044</v>
      </c>
      <c r="E23" s="52" t="str">
        <f t="shared" si="16"/>
        <v>D.22-12-044</v>
      </c>
      <c r="F23" s="52" t="str">
        <f t="shared" si="19"/>
        <v>D.22-12-044</v>
      </c>
      <c r="G23" s="52" t="s">
        <v>506</v>
      </c>
      <c r="H23" s="52" t="str">
        <f t="shared" si="5"/>
        <v>D.23-12-022</v>
      </c>
      <c r="I23" s="52" t="str">
        <f t="shared" si="3"/>
        <v>D.23-12-022</v>
      </c>
      <c r="J23" s="52" t="str">
        <f t="shared" si="11"/>
        <v>D.23-12-022</v>
      </c>
      <c r="K23" s="52" t="str">
        <f t="shared" si="14"/>
        <v>D.23-12-022</v>
      </c>
      <c r="L23" s="173">
        <v>-2229130.6403101501</v>
      </c>
      <c r="M23" s="173">
        <f t="shared" si="17"/>
        <v>-2229130.6403101501</v>
      </c>
      <c r="N23" s="173">
        <f t="shared" si="6"/>
        <v>-2229130.6403101501</v>
      </c>
      <c r="O23" s="173">
        <f t="shared" si="6"/>
        <v>-2229130.6403101501</v>
      </c>
      <c r="P23" s="173">
        <f t="shared" si="7"/>
        <v>-2229130.6403101501</v>
      </c>
      <c r="Q23" s="173">
        <v>-1895054.416589357</v>
      </c>
      <c r="R23" s="173">
        <f t="shared" si="8"/>
        <v>-1895054.416589357</v>
      </c>
      <c r="S23" s="173">
        <f t="shared" si="10"/>
        <v>-1895054.416589357</v>
      </c>
      <c r="T23" s="173">
        <f t="shared" si="12"/>
        <v>-1895054.416589357</v>
      </c>
      <c r="U23" s="173">
        <f t="shared" si="15"/>
        <v>-1895054.416589357</v>
      </c>
      <c r="V23" t="s">
        <v>219</v>
      </c>
      <c r="W23" t="str">
        <f t="shared" si="13"/>
        <v>N</v>
      </c>
      <c r="Z23" s="140"/>
      <c r="AA23" s="140"/>
      <c r="AB23" s="239"/>
      <c r="AD23" s="140"/>
    </row>
    <row r="24" spans="1:30">
      <c r="A24" t="s">
        <v>385</v>
      </c>
      <c r="B24" t="s">
        <v>360</v>
      </c>
      <c r="C24" s="52" t="str">
        <f>B24</f>
        <v>D.22-12-044</v>
      </c>
      <c r="D24" s="52" t="str">
        <f t="shared" si="18"/>
        <v>D.22-12-044</v>
      </c>
      <c r="E24" s="52" t="str">
        <f t="shared" si="16"/>
        <v>D.22-12-044</v>
      </c>
      <c r="F24" s="52" t="str">
        <f t="shared" si="19"/>
        <v>D.22-12-044</v>
      </c>
      <c r="G24" s="52" t="s">
        <v>506</v>
      </c>
      <c r="H24" s="52" t="str">
        <f t="shared" si="5"/>
        <v>D.23-12-022</v>
      </c>
      <c r="I24" s="52" t="str">
        <f t="shared" si="3"/>
        <v>D.23-12-022</v>
      </c>
      <c r="J24" s="52" t="str">
        <f t="shared" si="11"/>
        <v>D.23-12-022</v>
      </c>
      <c r="K24" s="52" t="str">
        <f t="shared" si="14"/>
        <v>D.23-12-022</v>
      </c>
      <c r="L24" s="171">
        <v>533519.26416678389</v>
      </c>
      <c r="M24" s="173">
        <f t="shared" si="17"/>
        <v>533519.26416678389</v>
      </c>
      <c r="N24" s="173">
        <f t="shared" si="6"/>
        <v>533519.26416678389</v>
      </c>
      <c r="O24" s="173">
        <f t="shared" si="6"/>
        <v>533519.26416678389</v>
      </c>
      <c r="P24" s="173">
        <f t="shared" si="7"/>
        <v>533519.26416678389</v>
      </c>
      <c r="Q24" s="173">
        <v>0</v>
      </c>
      <c r="R24" s="173">
        <f t="shared" si="8"/>
        <v>0</v>
      </c>
      <c r="S24" s="173">
        <f t="shared" si="10"/>
        <v>0</v>
      </c>
      <c r="T24" s="173">
        <f t="shared" si="12"/>
        <v>0</v>
      </c>
      <c r="U24" s="173">
        <f t="shared" si="15"/>
        <v>0</v>
      </c>
      <c r="V24" t="s">
        <v>4</v>
      </c>
      <c r="W24" t="str">
        <f t="shared" si="13"/>
        <v>Y</v>
      </c>
      <c r="Z24" s="140"/>
      <c r="AA24" s="140"/>
      <c r="AB24" s="239"/>
      <c r="AD24" s="140"/>
    </row>
    <row r="25" spans="1:30">
      <c r="A25" t="s">
        <v>498</v>
      </c>
      <c r="C25" s="52"/>
      <c r="D25" s="52"/>
      <c r="E25" s="52"/>
      <c r="F25" s="52"/>
      <c r="G25" s="52" t="s">
        <v>506</v>
      </c>
      <c r="H25" s="52" t="str">
        <f t="shared" si="5"/>
        <v>D.23-12-022</v>
      </c>
      <c r="I25" s="52" t="str">
        <f t="shared" si="3"/>
        <v>D.23-12-022</v>
      </c>
      <c r="J25" s="52" t="str">
        <f t="shared" si="11"/>
        <v>D.23-12-022</v>
      </c>
      <c r="K25" s="52" t="str">
        <f t="shared" si="14"/>
        <v>D.23-12-022</v>
      </c>
      <c r="L25" s="171"/>
      <c r="M25" s="173"/>
      <c r="N25" s="173"/>
      <c r="O25" s="173"/>
      <c r="P25" s="173"/>
      <c r="Q25" s="173">
        <v>315549.55412115454</v>
      </c>
      <c r="R25" s="173">
        <f t="shared" si="8"/>
        <v>315549.55412115454</v>
      </c>
      <c r="S25" s="173">
        <f t="shared" si="10"/>
        <v>315549.55412115454</v>
      </c>
      <c r="T25" s="173">
        <v>-256000</v>
      </c>
      <c r="U25" s="173">
        <f t="shared" si="15"/>
        <v>-256000</v>
      </c>
      <c r="V25" t="s">
        <v>4</v>
      </c>
      <c r="W25" t="str">
        <f t="shared" si="13"/>
        <v>N</v>
      </c>
      <c r="Y25" s="139"/>
      <c r="Z25" s="140"/>
      <c r="AA25" s="140"/>
      <c r="AB25" s="239"/>
      <c r="AD25" s="140"/>
    </row>
    <row r="26" spans="1:30">
      <c r="A26" t="s">
        <v>356</v>
      </c>
      <c r="B26" t="s">
        <v>119</v>
      </c>
      <c r="C26" s="52" t="str">
        <f t="shared" si="1"/>
        <v>Preliminary Statement  CP</v>
      </c>
      <c r="D26" s="52" t="str">
        <f>C26</f>
        <v>Preliminary Statement  CP</v>
      </c>
      <c r="E26" s="52" t="str">
        <f t="shared" si="16"/>
        <v>Preliminary Statement  CP</v>
      </c>
      <c r="F26" s="52" t="str">
        <f>E26</f>
        <v>Preliminary Statement  CP</v>
      </c>
      <c r="G26" s="52" t="s">
        <v>506</v>
      </c>
      <c r="H26" s="52" t="str">
        <f t="shared" si="5"/>
        <v>D.23-12-022</v>
      </c>
      <c r="I26" s="52" t="str">
        <f t="shared" si="3"/>
        <v>D.23-12-022</v>
      </c>
      <c r="J26" s="52" t="str">
        <f t="shared" si="11"/>
        <v>D.23-12-022</v>
      </c>
      <c r="K26" s="52" t="str">
        <f t="shared" si="14"/>
        <v>D.23-12-022</v>
      </c>
      <c r="L26" s="294">
        <v>-89483.168057824092</v>
      </c>
      <c r="M26" s="173">
        <f t="shared" ref="M26:M32" si="20">L26</f>
        <v>-89483.168057824092</v>
      </c>
      <c r="N26" s="173">
        <f t="shared" si="6"/>
        <v>-89483.168057824092</v>
      </c>
      <c r="O26" s="173">
        <f t="shared" si="6"/>
        <v>-89483.168057824092</v>
      </c>
      <c r="P26" s="173">
        <f t="shared" si="7"/>
        <v>-89483.168057824092</v>
      </c>
      <c r="Q26" s="173">
        <v>11483.85945862339</v>
      </c>
      <c r="R26" s="173">
        <f t="shared" si="8"/>
        <v>11483.85945862339</v>
      </c>
      <c r="S26" s="173">
        <f t="shared" si="10"/>
        <v>11483.85945862339</v>
      </c>
      <c r="T26" s="173">
        <f t="shared" si="12"/>
        <v>11483.85945862339</v>
      </c>
      <c r="U26" s="173">
        <f t="shared" si="15"/>
        <v>11483.85945862339</v>
      </c>
      <c r="V26" t="s">
        <v>219</v>
      </c>
      <c r="W26" t="str">
        <f t="shared" si="13"/>
        <v>Y</v>
      </c>
      <c r="Z26" s="140"/>
      <c r="AA26" s="140"/>
      <c r="AB26" s="239"/>
      <c r="AD26" s="140"/>
    </row>
    <row r="27" spans="1:30">
      <c r="A27" t="s">
        <v>357</v>
      </c>
      <c r="B27" t="s">
        <v>360</v>
      </c>
      <c r="C27" s="52"/>
      <c r="D27" s="52"/>
      <c r="E27" s="52"/>
      <c r="F27" s="52"/>
      <c r="G27" s="52" t="s">
        <v>506</v>
      </c>
      <c r="H27" s="52" t="str">
        <f t="shared" si="5"/>
        <v>D.23-12-022</v>
      </c>
      <c r="I27" s="52" t="str">
        <f t="shared" si="3"/>
        <v>D.23-12-022</v>
      </c>
      <c r="J27" s="52" t="str">
        <f t="shared" si="11"/>
        <v>D.23-12-022</v>
      </c>
      <c r="K27" s="52" t="str">
        <f t="shared" si="14"/>
        <v>D.23-12-022</v>
      </c>
      <c r="L27" s="294">
        <v>450.62403180084004</v>
      </c>
      <c r="M27" s="173">
        <f t="shared" si="20"/>
        <v>450.62403180084004</v>
      </c>
      <c r="N27" s="173">
        <f t="shared" si="6"/>
        <v>450.62403180084004</v>
      </c>
      <c r="O27" s="173">
        <f t="shared" si="6"/>
        <v>450.62403180084004</v>
      </c>
      <c r="P27" s="173">
        <f t="shared" si="7"/>
        <v>450.62403180084004</v>
      </c>
      <c r="Q27" s="173">
        <v>904.68382282581786</v>
      </c>
      <c r="R27" s="173">
        <f t="shared" si="8"/>
        <v>904.68382282581786</v>
      </c>
      <c r="S27" s="173">
        <f t="shared" si="10"/>
        <v>904.68382282581786</v>
      </c>
      <c r="T27" s="173">
        <f t="shared" si="12"/>
        <v>904.68382282581786</v>
      </c>
      <c r="U27" s="173">
        <f t="shared" si="15"/>
        <v>904.68382282581786</v>
      </c>
      <c r="V27" t="s">
        <v>219</v>
      </c>
      <c r="W27" t="str">
        <f t="shared" si="13"/>
        <v>Y</v>
      </c>
    </row>
    <row r="28" spans="1:30">
      <c r="A28" t="s">
        <v>112</v>
      </c>
      <c r="B28" t="s">
        <v>120</v>
      </c>
      <c r="C28" s="52" t="str">
        <f t="shared" si="1"/>
        <v>Preliminary Statement  DT</v>
      </c>
      <c r="D28" s="52" t="str">
        <f t="shared" ref="D28:D36" si="21">C28</f>
        <v>Preliminary Statement  DT</v>
      </c>
      <c r="E28" s="52" t="str">
        <f t="shared" si="16"/>
        <v>Preliminary Statement  DT</v>
      </c>
      <c r="F28" s="52" t="str">
        <f t="shared" ref="F28:F36" si="22">E28</f>
        <v>Preliminary Statement  DT</v>
      </c>
      <c r="G28" s="52" t="s">
        <v>120</v>
      </c>
      <c r="H28" s="52" t="str">
        <f t="shared" si="5"/>
        <v>Preliminary Statement  DT</v>
      </c>
      <c r="I28" s="52" t="str">
        <f t="shared" si="3"/>
        <v>Preliminary Statement  DT</v>
      </c>
      <c r="J28" s="52" t="str">
        <f t="shared" si="11"/>
        <v>Preliminary Statement  DT</v>
      </c>
      <c r="K28" s="52" t="str">
        <f t="shared" si="14"/>
        <v>Preliminary Statement  DT</v>
      </c>
      <c r="L28" s="294">
        <v>-56973.321812328577</v>
      </c>
      <c r="M28" s="173">
        <f t="shared" si="20"/>
        <v>-56973.321812328577</v>
      </c>
      <c r="N28" s="173">
        <f t="shared" si="6"/>
        <v>-56973.321812328577</v>
      </c>
      <c r="O28" s="173">
        <f t="shared" si="6"/>
        <v>-56973.321812328577</v>
      </c>
      <c r="P28" s="173">
        <f t="shared" si="7"/>
        <v>-56973.321812328577</v>
      </c>
      <c r="Q28" s="173">
        <v>-2005.9644950460411</v>
      </c>
      <c r="R28" s="173">
        <f t="shared" si="8"/>
        <v>-2005.9644950460411</v>
      </c>
      <c r="S28" s="173">
        <f t="shared" si="10"/>
        <v>-2005.9644950460411</v>
      </c>
      <c r="T28" s="173">
        <f t="shared" si="12"/>
        <v>-2005.9644950460411</v>
      </c>
      <c r="U28" s="173">
        <f t="shared" si="15"/>
        <v>-2005.9644950460411</v>
      </c>
      <c r="V28" t="s">
        <v>138</v>
      </c>
      <c r="W28" t="str">
        <f t="shared" si="13"/>
        <v>Y</v>
      </c>
      <c r="Z28" s="139"/>
      <c r="AA28" s="54"/>
      <c r="AB28" s="239"/>
    </row>
    <row r="29" spans="1:30">
      <c r="A29" t="s">
        <v>69</v>
      </c>
      <c r="B29" t="s">
        <v>360</v>
      </c>
      <c r="C29" s="52" t="str">
        <f t="shared" ref="C29:C68" si="23">B29</f>
        <v>D.22-12-044</v>
      </c>
      <c r="D29" s="52" t="str">
        <f t="shared" si="21"/>
        <v>D.22-12-044</v>
      </c>
      <c r="E29" s="52" t="str">
        <f t="shared" si="16"/>
        <v>D.22-12-044</v>
      </c>
      <c r="F29" s="52" t="str">
        <f t="shared" si="22"/>
        <v>D.22-12-044</v>
      </c>
      <c r="G29" s="52" t="s">
        <v>506</v>
      </c>
      <c r="H29" s="52" t="str">
        <f t="shared" si="5"/>
        <v>D.23-12-022</v>
      </c>
      <c r="I29" s="52" t="str">
        <f t="shared" si="3"/>
        <v>D.23-12-022</v>
      </c>
      <c r="J29" s="52" t="str">
        <f t="shared" si="11"/>
        <v>D.23-12-022</v>
      </c>
      <c r="K29" s="52" t="str">
        <f t="shared" si="14"/>
        <v>D.23-12-022</v>
      </c>
      <c r="L29" s="294">
        <v>27165.214316312926</v>
      </c>
      <c r="M29" s="173">
        <f t="shared" si="20"/>
        <v>27165.214316312926</v>
      </c>
      <c r="N29" s="173">
        <f t="shared" si="6"/>
        <v>27165.214316312926</v>
      </c>
      <c r="O29" s="173">
        <f t="shared" si="6"/>
        <v>27165.214316312926</v>
      </c>
      <c r="P29" s="173">
        <f t="shared" si="7"/>
        <v>27165.214316312926</v>
      </c>
      <c r="Q29" s="173">
        <v>14630.403030328112</v>
      </c>
      <c r="R29" s="173">
        <f t="shared" si="8"/>
        <v>14630.403030328112</v>
      </c>
      <c r="S29" s="173">
        <f t="shared" si="10"/>
        <v>14630.403030328112</v>
      </c>
      <c r="T29" s="173">
        <f t="shared" si="12"/>
        <v>14630.403030328112</v>
      </c>
      <c r="U29" s="173">
        <f t="shared" si="15"/>
        <v>14630.403030328112</v>
      </c>
      <c r="V29" t="s">
        <v>69</v>
      </c>
      <c r="W29" t="str">
        <f t="shared" si="13"/>
        <v>N</v>
      </c>
      <c r="Y29" s="139"/>
      <c r="Z29" s="139"/>
    </row>
    <row r="30" spans="1:30">
      <c r="A30" t="s">
        <v>109</v>
      </c>
      <c r="B30" t="s">
        <v>121</v>
      </c>
      <c r="C30" s="52" t="str">
        <f t="shared" si="23"/>
        <v>Preliminary Statement  CQ</v>
      </c>
      <c r="D30" s="52" t="str">
        <f t="shared" si="21"/>
        <v>Preliminary Statement  CQ</v>
      </c>
      <c r="E30" s="52" t="str">
        <f t="shared" si="16"/>
        <v>Preliminary Statement  CQ</v>
      </c>
      <c r="F30" s="52" t="str">
        <f t="shared" si="22"/>
        <v>Preliminary Statement  CQ</v>
      </c>
      <c r="G30" s="52" t="s">
        <v>506</v>
      </c>
      <c r="H30" s="52" t="str">
        <f t="shared" si="5"/>
        <v>D.23-12-022</v>
      </c>
      <c r="I30" s="52" t="str">
        <f t="shared" si="3"/>
        <v>D.23-12-022</v>
      </c>
      <c r="J30" s="52" t="str">
        <f t="shared" si="11"/>
        <v>D.23-12-022</v>
      </c>
      <c r="K30" s="52" t="str">
        <f t="shared" si="14"/>
        <v>D.23-12-022</v>
      </c>
      <c r="L30" s="294">
        <v>-3963.8680499774641</v>
      </c>
      <c r="M30" s="173">
        <f t="shared" si="20"/>
        <v>-3963.8680499774641</v>
      </c>
      <c r="N30" s="173">
        <f t="shared" si="6"/>
        <v>-3963.8680499774641</v>
      </c>
      <c r="O30" s="173">
        <f t="shared" si="6"/>
        <v>-3963.8680499774641</v>
      </c>
      <c r="P30" s="173">
        <f t="shared" si="7"/>
        <v>-3963.8680499774641</v>
      </c>
      <c r="Q30" s="173">
        <v>60966.130677301502</v>
      </c>
      <c r="R30" s="173">
        <f t="shared" si="8"/>
        <v>60966.130677301502</v>
      </c>
      <c r="S30" s="173">
        <f t="shared" si="10"/>
        <v>60966.130677301502</v>
      </c>
      <c r="T30" s="173">
        <f t="shared" si="12"/>
        <v>60966.130677301502</v>
      </c>
      <c r="U30" s="173">
        <f t="shared" si="15"/>
        <v>60966.130677301502</v>
      </c>
      <c r="V30" t="s">
        <v>69</v>
      </c>
      <c r="W30" t="str">
        <f t="shared" si="13"/>
        <v>Y</v>
      </c>
      <c r="Z30" s="178"/>
    </row>
    <row r="31" spans="1:30">
      <c r="A31" t="s">
        <v>110</v>
      </c>
      <c r="B31" t="s">
        <v>360</v>
      </c>
      <c r="C31" s="52" t="str">
        <f t="shared" si="23"/>
        <v>D.22-12-044</v>
      </c>
      <c r="D31" s="52" t="str">
        <f t="shared" si="21"/>
        <v>D.22-12-044</v>
      </c>
      <c r="E31" s="52" t="str">
        <f t="shared" si="16"/>
        <v>D.22-12-044</v>
      </c>
      <c r="F31" s="52" t="str">
        <f t="shared" si="22"/>
        <v>D.22-12-044</v>
      </c>
      <c r="G31" s="52" t="s">
        <v>506</v>
      </c>
      <c r="H31" s="52" t="str">
        <f t="shared" si="5"/>
        <v>D.23-12-022</v>
      </c>
      <c r="I31" s="52" t="str">
        <f t="shared" si="3"/>
        <v>D.23-12-022</v>
      </c>
      <c r="J31" s="52" t="str">
        <f t="shared" si="11"/>
        <v>D.23-12-022</v>
      </c>
      <c r="K31" s="52" t="str">
        <f t="shared" si="14"/>
        <v>D.23-12-022</v>
      </c>
      <c r="L31" s="294">
        <v>188334.66086824812</v>
      </c>
      <c r="M31" s="173">
        <f t="shared" si="20"/>
        <v>188334.66086824812</v>
      </c>
      <c r="N31" s="173">
        <f t="shared" si="6"/>
        <v>188334.66086824812</v>
      </c>
      <c r="O31" s="173">
        <f t="shared" si="6"/>
        <v>188334.66086824812</v>
      </c>
      <c r="P31" s="173">
        <f t="shared" si="7"/>
        <v>188334.66086824812</v>
      </c>
      <c r="Q31" s="173">
        <v>378526.51755633799</v>
      </c>
      <c r="R31" s="173">
        <f t="shared" si="8"/>
        <v>378526.51755633799</v>
      </c>
      <c r="S31" s="173">
        <f t="shared" si="10"/>
        <v>378526.51755633799</v>
      </c>
      <c r="T31" s="173">
        <f t="shared" si="12"/>
        <v>378526.51755633799</v>
      </c>
      <c r="U31" s="173">
        <f t="shared" si="15"/>
        <v>378526.51755633799</v>
      </c>
      <c r="V31" t="s">
        <v>15</v>
      </c>
      <c r="W31" t="str">
        <f t="shared" si="13"/>
        <v>N</v>
      </c>
    </row>
    <row r="32" spans="1:30">
      <c r="A32" t="s">
        <v>111</v>
      </c>
      <c r="B32" t="s">
        <v>122</v>
      </c>
      <c r="C32" s="52" t="str">
        <f t="shared" si="23"/>
        <v>Preliminary Statement  FS</v>
      </c>
      <c r="D32" s="52" t="str">
        <f t="shared" si="21"/>
        <v>Preliminary Statement  FS</v>
      </c>
      <c r="E32" s="52" t="str">
        <f t="shared" si="16"/>
        <v>Preliminary Statement  FS</v>
      </c>
      <c r="F32" s="52" t="str">
        <f t="shared" si="22"/>
        <v>Preliminary Statement  FS</v>
      </c>
      <c r="G32" s="52" t="s">
        <v>506</v>
      </c>
      <c r="H32" s="52" t="str">
        <f t="shared" si="5"/>
        <v>D.23-12-022</v>
      </c>
      <c r="I32" s="52" t="str">
        <f t="shared" si="3"/>
        <v>D.23-12-022</v>
      </c>
      <c r="J32" s="52" t="str">
        <f t="shared" si="11"/>
        <v>D.23-12-022</v>
      </c>
      <c r="K32" s="52" t="str">
        <f t="shared" si="14"/>
        <v>D.23-12-022</v>
      </c>
      <c r="L32" s="294">
        <v>18382.069849083746</v>
      </c>
      <c r="M32" s="173">
        <f t="shared" si="20"/>
        <v>18382.069849083746</v>
      </c>
      <c r="N32" s="173">
        <f t="shared" si="6"/>
        <v>18382.069849083746</v>
      </c>
      <c r="O32" s="173">
        <f t="shared" si="6"/>
        <v>18382.069849083746</v>
      </c>
      <c r="P32" s="173">
        <f t="shared" si="7"/>
        <v>18382.069849083746</v>
      </c>
      <c r="Q32" s="173">
        <v>64270.123859475272</v>
      </c>
      <c r="R32" s="173">
        <f t="shared" si="8"/>
        <v>64270.123859475272</v>
      </c>
      <c r="S32" s="173">
        <f t="shared" si="10"/>
        <v>64270.123859475272</v>
      </c>
      <c r="T32" s="173">
        <f t="shared" si="12"/>
        <v>64270.123859475272</v>
      </c>
      <c r="U32" s="173">
        <f t="shared" si="15"/>
        <v>64270.123859475272</v>
      </c>
      <c r="V32" t="s">
        <v>15</v>
      </c>
      <c r="W32" t="str">
        <f t="shared" si="13"/>
        <v>Y</v>
      </c>
    </row>
    <row r="33" spans="1:26">
      <c r="A33" t="s">
        <v>345</v>
      </c>
      <c r="C33" s="52" t="s">
        <v>375</v>
      </c>
      <c r="D33" s="52" t="str">
        <f t="shared" si="21"/>
        <v>D.23-02-017</v>
      </c>
      <c r="E33" s="52" t="str">
        <f t="shared" si="16"/>
        <v>D.23-02-017</v>
      </c>
      <c r="F33" s="52" t="str">
        <f t="shared" si="22"/>
        <v>D.23-02-017</v>
      </c>
      <c r="G33" s="52" t="s">
        <v>375</v>
      </c>
      <c r="H33" s="52" t="str">
        <f t="shared" si="5"/>
        <v>D.23-02-017</v>
      </c>
      <c r="I33" s="52" t="str">
        <f t="shared" si="3"/>
        <v>D.23-02-017</v>
      </c>
      <c r="J33" s="52" t="str">
        <f t="shared" si="11"/>
        <v>D.23-02-017</v>
      </c>
      <c r="K33" s="52" t="str">
        <f t="shared" si="14"/>
        <v>D.23-02-017</v>
      </c>
      <c r="L33" s="294"/>
      <c r="M33" s="173">
        <v>319848.39770249999</v>
      </c>
      <c r="N33" s="173">
        <f t="shared" si="6"/>
        <v>319848.39770249999</v>
      </c>
      <c r="O33" s="173">
        <f t="shared" si="6"/>
        <v>319848.39770249999</v>
      </c>
      <c r="P33" s="173">
        <f t="shared" si="7"/>
        <v>319848.39770249999</v>
      </c>
      <c r="Q33" s="173">
        <v>319987.2119071029</v>
      </c>
      <c r="R33" s="173">
        <f t="shared" si="8"/>
        <v>319987.2119071029</v>
      </c>
      <c r="S33" s="173">
        <f t="shared" si="10"/>
        <v>319987.2119071029</v>
      </c>
      <c r="T33" s="173">
        <f t="shared" si="12"/>
        <v>319987.2119071029</v>
      </c>
      <c r="U33" s="173">
        <f t="shared" si="15"/>
        <v>319987.2119071029</v>
      </c>
      <c r="V33" t="s">
        <v>328</v>
      </c>
      <c r="W33" t="str">
        <f t="shared" si="13"/>
        <v>N</v>
      </c>
      <c r="Y33" s="138"/>
      <c r="Z33" s="140"/>
    </row>
    <row r="34" spans="1:26">
      <c r="A34" t="s">
        <v>70</v>
      </c>
      <c r="B34" t="s">
        <v>361</v>
      </c>
      <c r="C34" s="52" t="str">
        <f t="shared" si="23"/>
        <v>D.22-12-031</v>
      </c>
      <c r="D34" s="52" t="str">
        <f t="shared" si="21"/>
        <v>D.22-12-031</v>
      </c>
      <c r="E34" s="52" t="str">
        <f t="shared" si="16"/>
        <v>D.22-12-031</v>
      </c>
      <c r="F34" s="52" t="str">
        <f t="shared" si="22"/>
        <v>D.22-12-031</v>
      </c>
      <c r="G34" s="52" t="s">
        <v>519</v>
      </c>
      <c r="H34" s="52" t="s">
        <v>507</v>
      </c>
      <c r="I34" s="52" t="str">
        <f t="shared" ref="I34:I37" si="24">H34</f>
        <v>AL 4813-G/7046-E</v>
      </c>
      <c r="J34" s="52" t="str">
        <f>I34</f>
        <v>AL 4813-G/7046-E</v>
      </c>
      <c r="K34" s="52" t="str">
        <f t="shared" si="14"/>
        <v>AL 4813-G/7046-E</v>
      </c>
      <c r="L34" s="294">
        <v>-95934.182818202826</v>
      </c>
      <c r="M34" s="173">
        <f>L34</f>
        <v>-95934.182818202826</v>
      </c>
      <c r="N34" s="173">
        <f t="shared" si="6"/>
        <v>-95934.182818202826</v>
      </c>
      <c r="O34" s="173">
        <f t="shared" si="6"/>
        <v>-95934.182818202826</v>
      </c>
      <c r="P34" s="173">
        <f t="shared" si="7"/>
        <v>-95934.182818202826</v>
      </c>
      <c r="Q34" s="173">
        <v>0</v>
      </c>
      <c r="R34" s="173">
        <v>168344.38255275568</v>
      </c>
      <c r="S34" s="173">
        <f t="shared" si="10"/>
        <v>168344.38255275568</v>
      </c>
      <c r="T34" s="173">
        <f t="shared" si="12"/>
        <v>168344.38255275568</v>
      </c>
      <c r="U34" s="173">
        <f t="shared" si="15"/>
        <v>168344.38255275568</v>
      </c>
      <c r="V34" t="s">
        <v>6</v>
      </c>
      <c r="W34" t="str">
        <f t="shared" si="13"/>
        <v>N</v>
      </c>
      <c r="Y34" s="138"/>
      <c r="Z34" s="140"/>
    </row>
    <row r="35" spans="1:26">
      <c r="A35" t="s">
        <v>70</v>
      </c>
      <c r="B35" t="s">
        <v>361</v>
      </c>
      <c r="C35" s="52" t="str">
        <f>B35</f>
        <v>D.22-12-031</v>
      </c>
      <c r="D35" s="52" t="str">
        <f t="shared" si="21"/>
        <v>D.22-12-031</v>
      </c>
      <c r="E35" s="52" t="str">
        <f>D35</f>
        <v>D.22-12-031</v>
      </c>
      <c r="F35" s="52" t="str">
        <f t="shared" si="22"/>
        <v>D.22-12-031</v>
      </c>
      <c r="G35" s="52" t="s">
        <v>519</v>
      </c>
      <c r="H35" s="52" t="s">
        <v>507</v>
      </c>
      <c r="I35" s="52" t="str">
        <f t="shared" si="24"/>
        <v>AL 4813-G/7046-E</v>
      </c>
      <c r="J35" s="52" t="str">
        <f>I35</f>
        <v>AL 4813-G/7046-E</v>
      </c>
      <c r="K35" s="52" t="str">
        <f t="shared" si="14"/>
        <v>AL 4813-G/7046-E</v>
      </c>
      <c r="L35" s="171">
        <v>-17976.236224631528</v>
      </c>
      <c r="M35" s="173">
        <f>L35</f>
        <v>-17976.236224631528</v>
      </c>
      <c r="N35" s="173">
        <f>M35</f>
        <v>-17976.236224631528</v>
      </c>
      <c r="O35" s="173">
        <f>N35</f>
        <v>-17976.236224631528</v>
      </c>
      <c r="P35" s="173">
        <f>O35</f>
        <v>-17976.236224631528</v>
      </c>
      <c r="Q35" s="173">
        <v>0</v>
      </c>
      <c r="R35" s="173">
        <v>31649.30943173822</v>
      </c>
      <c r="S35" s="173">
        <f t="shared" si="10"/>
        <v>31649.30943173822</v>
      </c>
      <c r="T35" s="173">
        <f t="shared" si="12"/>
        <v>31649.30943173822</v>
      </c>
      <c r="U35" s="173">
        <f t="shared" si="15"/>
        <v>31649.30943173822</v>
      </c>
      <c r="V35" t="s">
        <v>219</v>
      </c>
      <c r="W35" t="str">
        <f t="shared" si="13"/>
        <v>N</v>
      </c>
      <c r="Y35" s="138"/>
      <c r="Z35" s="140"/>
    </row>
    <row r="36" spans="1:26">
      <c r="A36" t="s">
        <v>70</v>
      </c>
      <c r="B36" t="s">
        <v>361</v>
      </c>
      <c r="C36" s="52" t="str">
        <f t="shared" si="23"/>
        <v>D.22-12-031</v>
      </c>
      <c r="D36" s="52" t="str">
        <f t="shared" si="21"/>
        <v>D.22-12-031</v>
      </c>
      <c r="E36" s="52" t="str">
        <f t="shared" si="16"/>
        <v>D.22-12-031</v>
      </c>
      <c r="F36" s="52" t="str">
        <f t="shared" si="22"/>
        <v>D.22-12-031</v>
      </c>
      <c r="G36" s="52" t="s">
        <v>519</v>
      </c>
      <c r="H36" s="52" t="s">
        <v>507</v>
      </c>
      <c r="I36" s="52" t="str">
        <f t="shared" si="24"/>
        <v>AL 4813-G/7046-E</v>
      </c>
      <c r="J36" s="52" t="str">
        <f>I36</f>
        <v>AL 4813-G/7046-E</v>
      </c>
      <c r="K36" s="52" t="str">
        <f t="shared" si="14"/>
        <v>AL 4813-G/7046-E</v>
      </c>
      <c r="L36" s="171">
        <v>-17976.236224631528</v>
      </c>
      <c r="M36" s="173">
        <f>L36</f>
        <v>-17976.236224631528</v>
      </c>
      <c r="N36" s="173">
        <f t="shared" si="6"/>
        <v>-17976.236224631528</v>
      </c>
      <c r="O36" s="173">
        <f t="shared" si="6"/>
        <v>-17976.236224631528</v>
      </c>
      <c r="P36" s="173">
        <f t="shared" si="7"/>
        <v>-17976.236224631528</v>
      </c>
      <c r="Q36" s="173">
        <v>0</v>
      </c>
      <c r="R36" s="173">
        <v>1090.3444778743578</v>
      </c>
      <c r="S36" s="173">
        <f t="shared" si="10"/>
        <v>1090.3444778743578</v>
      </c>
      <c r="T36" s="173">
        <f t="shared" si="12"/>
        <v>1090.3444778743578</v>
      </c>
      <c r="U36" s="173">
        <f t="shared" si="15"/>
        <v>1090.3444778743578</v>
      </c>
      <c r="V36" t="s">
        <v>4</v>
      </c>
      <c r="W36" t="str">
        <f t="shared" si="13"/>
        <v>N</v>
      </c>
      <c r="Y36" s="138"/>
      <c r="Z36" s="140"/>
    </row>
    <row r="37" spans="1:26">
      <c r="A37" t="s">
        <v>70</v>
      </c>
      <c r="C37" s="52"/>
      <c r="D37" s="52"/>
      <c r="E37" s="52"/>
      <c r="F37" s="52"/>
      <c r="G37" s="52" t="s">
        <v>519</v>
      </c>
      <c r="H37" s="52" t="s">
        <v>507</v>
      </c>
      <c r="I37" s="52" t="str">
        <f t="shared" si="24"/>
        <v>AL 4813-G/7046-E</v>
      </c>
      <c r="J37" s="52" t="str">
        <f>I37</f>
        <v>AL 4813-G/7046-E</v>
      </c>
      <c r="K37" s="52" t="str">
        <f t="shared" si="14"/>
        <v>AL 4813-G/7046-E</v>
      </c>
      <c r="L37" s="294"/>
      <c r="M37" s="173"/>
      <c r="N37" s="173">
        <f t="shared" si="6"/>
        <v>0</v>
      </c>
      <c r="O37" s="173">
        <f t="shared" si="6"/>
        <v>0</v>
      </c>
      <c r="P37" s="173">
        <f t="shared" si="7"/>
        <v>0</v>
      </c>
      <c r="Q37" s="173">
        <v>0</v>
      </c>
      <c r="R37" s="173">
        <v>1553.6565161756589</v>
      </c>
      <c r="S37" s="173">
        <f t="shared" si="10"/>
        <v>1553.6565161756589</v>
      </c>
      <c r="T37" s="173">
        <f t="shared" si="12"/>
        <v>1553.6565161756589</v>
      </c>
      <c r="U37" s="173">
        <f t="shared" si="15"/>
        <v>1553.6565161756589</v>
      </c>
      <c r="V37" t="s">
        <v>15</v>
      </c>
      <c r="W37" t="str">
        <f t="shared" si="13"/>
        <v>N</v>
      </c>
      <c r="Y37" s="138"/>
      <c r="Z37" s="140"/>
    </row>
    <row r="38" spans="1:26">
      <c r="A38" s="52" t="s">
        <v>229</v>
      </c>
      <c r="B38" t="s">
        <v>362</v>
      </c>
      <c r="C38" s="52" t="str">
        <f t="shared" si="23"/>
        <v>D.20-12-005, AL 6423-E</v>
      </c>
      <c r="D38" t="s">
        <v>418</v>
      </c>
      <c r="E38" t="s">
        <v>419</v>
      </c>
      <c r="F38" s="52" t="str">
        <f t="shared" ref="F38:F47" si="25">E38</f>
        <v>D.20-12-005, AL 6423-E, AL 6867-E, D.23-01-005</v>
      </c>
      <c r="G38" s="52" t="s">
        <v>509</v>
      </c>
      <c r="H38" s="52" t="str">
        <f t="shared" ref="H38:H55" si="26">G38</f>
        <v>D.23-01-005 , D.23-11-069</v>
      </c>
      <c r="I38" s="52" t="str">
        <f t="shared" ref="I38:I47" si="27">G38</f>
        <v>D.23-01-005 , D.23-11-069</v>
      </c>
      <c r="J38" s="52" t="str">
        <f t="shared" ref="J38:J47" si="28">H38</f>
        <v>D.23-01-005 , D.23-11-069</v>
      </c>
      <c r="K38" s="52" t="str">
        <f t="shared" si="14"/>
        <v>D.23-01-005 , D.23-11-069</v>
      </c>
      <c r="L38" s="294">
        <v>250186.83944592901</v>
      </c>
      <c r="M38" s="173">
        <f t="shared" ref="M38:M45" si="29">L38</f>
        <v>250186.83944592901</v>
      </c>
      <c r="N38" s="173">
        <v>289942.46682292857</v>
      </c>
      <c r="O38" s="173">
        <v>376995.38431792846</v>
      </c>
      <c r="P38" s="173">
        <f t="shared" si="7"/>
        <v>376995.38431792846</v>
      </c>
      <c r="Q38" s="173">
        <v>75377.013559286454</v>
      </c>
      <c r="R38" s="173">
        <f t="shared" si="8"/>
        <v>75377.013559286454</v>
      </c>
      <c r="S38" s="173">
        <f t="shared" si="10"/>
        <v>75377.013559286454</v>
      </c>
      <c r="T38" s="173">
        <f t="shared" si="12"/>
        <v>75377.013559286454</v>
      </c>
      <c r="U38" s="173">
        <f t="shared" si="15"/>
        <v>75377.013559286454</v>
      </c>
      <c r="V38" t="s">
        <v>6</v>
      </c>
      <c r="W38" t="str">
        <f t="shared" si="13"/>
        <v>Y</v>
      </c>
      <c r="Y38" s="138"/>
      <c r="Z38" s="140"/>
    </row>
    <row r="39" spans="1:26">
      <c r="A39" t="s">
        <v>71</v>
      </c>
      <c r="B39" t="s">
        <v>299</v>
      </c>
      <c r="C39" s="52" t="str">
        <f t="shared" si="23"/>
        <v>D.18-01-022</v>
      </c>
      <c r="D39" s="52" t="str">
        <f t="shared" ref="D39:D47" si="30">C39</f>
        <v>D.18-01-022</v>
      </c>
      <c r="E39" s="52" t="str">
        <f t="shared" si="16"/>
        <v>D.18-01-022</v>
      </c>
      <c r="F39" s="52" t="str">
        <f t="shared" si="25"/>
        <v>D.18-01-022</v>
      </c>
      <c r="G39" s="52" t="s">
        <v>299</v>
      </c>
      <c r="H39" s="52" t="str">
        <f t="shared" si="26"/>
        <v>D.18-01-022</v>
      </c>
      <c r="I39" s="52" t="str">
        <f t="shared" si="27"/>
        <v>D.18-01-022</v>
      </c>
      <c r="J39" s="52" t="str">
        <f t="shared" si="28"/>
        <v>D.18-01-022</v>
      </c>
      <c r="K39" s="52" t="str">
        <f t="shared" si="14"/>
        <v>D.18-01-022</v>
      </c>
      <c r="L39" s="294">
        <v>11767.511015</v>
      </c>
      <c r="M39" s="173">
        <f t="shared" si="29"/>
        <v>11767.511015</v>
      </c>
      <c r="N39" s="173">
        <f t="shared" si="6"/>
        <v>11767.511015</v>
      </c>
      <c r="O39" s="173">
        <f t="shared" si="6"/>
        <v>11767.511015</v>
      </c>
      <c r="P39" s="173">
        <f t="shared" si="7"/>
        <v>11767.511015</v>
      </c>
      <c r="Q39" s="173">
        <v>11760.785984999997</v>
      </c>
      <c r="R39" s="173">
        <f t="shared" si="8"/>
        <v>11760.785984999997</v>
      </c>
      <c r="S39" s="173">
        <f t="shared" si="10"/>
        <v>11760.785984999997</v>
      </c>
      <c r="T39" s="173">
        <f t="shared" si="12"/>
        <v>11760.785984999997</v>
      </c>
      <c r="U39" s="173">
        <f t="shared" si="15"/>
        <v>11760.785984999997</v>
      </c>
      <c r="V39" t="s">
        <v>17</v>
      </c>
      <c r="W39" t="str">
        <f t="shared" si="13"/>
        <v>N</v>
      </c>
      <c r="Y39" s="233"/>
      <c r="Z39" s="140"/>
    </row>
    <row r="40" spans="1:26">
      <c r="A40" t="s">
        <v>71</v>
      </c>
      <c r="B40" t="s">
        <v>299</v>
      </c>
      <c r="C40" s="52" t="str">
        <f t="shared" si="23"/>
        <v>D.18-01-022</v>
      </c>
      <c r="D40" s="52" t="str">
        <f t="shared" si="30"/>
        <v>D.18-01-022</v>
      </c>
      <c r="E40" s="52" t="str">
        <f t="shared" si="16"/>
        <v>D.18-01-022</v>
      </c>
      <c r="F40" s="52" t="str">
        <f t="shared" si="25"/>
        <v>D.18-01-022</v>
      </c>
      <c r="G40" s="52" t="s">
        <v>299</v>
      </c>
      <c r="H40" s="52" t="str">
        <f t="shared" si="26"/>
        <v>D.18-01-022</v>
      </c>
      <c r="I40" s="52" t="str">
        <f t="shared" si="27"/>
        <v>D.18-01-022</v>
      </c>
      <c r="J40" s="52" t="str">
        <f t="shared" si="28"/>
        <v>D.18-01-022</v>
      </c>
      <c r="K40" s="52" t="str">
        <f t="shared" si="14"/>
        <v>D.18-01-022</v>
      </c>
      <c r="L40" s="171">
        <v>53191.926780000002</v>
      </c>
      <c r="M40" s="173">
        <f t="shared" si="29"/>
        <v>53191.926780000002</v>
      </c>
      <c r="N40" s="173">
        <f t="shared" si="6"/>
        <v>53191.926780000002</v>
      </c>
      <c r="O40" s="173">
        <f t="shared" si="6"/>
        <v>53191.926780000002</v>
      </c>
      <c r="P40" s="173">
        <f t="shared" si="7"/>
        <v>53191.926780000002</v>
      </c>
      <c r="Q40" s="173">
        <v>53191.926780000002</v>
      </c>
      <c r="R40" s="173">
        <f t="shared" si="8"/>
        <v>53191.926780000002</v>
      </c>
      <c r="S40" s="173">
        <f t="shared" si="10"/>
        <v>53191.926780000002</v>
      </c>
      <c r="T40" s="173">
        <f t="shared" si="12"/>
        <v>53191.926780000002</v>
      </c>
      <c r="U40" s="173">
        <f t="shared" si="15"/>
        <v>53191.926780000002</v>
      </c>
      <c r="V40" t="s">
        <v>219</v>
      </c>
      <c r="W40" t="str">
        <f t="shared" si="13"/>
        <v>N</v>
      </c>
      <c r="Y40" s="233"/>
      <c r="Z40" s="140"/>
    </row>
    <row r="41" spans="1:26">
      <c r="A41" t="s">
        <v>72</v>
      </c>
      <c r="B41" t="s">
        <v>300</v>
      </c>
      <c r="C41" s="52" t="str">
        <f t="shared" si="23"/>
        <v>D.21-09-003</v>
      </c>
      <c r="D41" s="52" t="str">
        <f t="shared" si="30"/>
        <v>D.21-09-003</v>
      </c>
      <c r="E41" s="52" t="str">
        <f t="shared" si="16"/>
        <v>D.21-09-003</v>
      </c>
      <c r="F41" s="52" t="str">
        <f t="shared" si="25"/>
        <v>D.21-09-003</v>
      </c>
      <c r="G41" s="52" t="s">
        <v>510</v>
      </c>
      <c r="H41" s="52" t="str">
        <f t="shared" si="26"/>
        <v>AL 7056-E/ D.23-09-004</v>
      </c>
      <c r="I41" s="52" t="str">
        <f t="shared" si="27"/>
        <v>AL 7056-E/ D.23-09-004</v>
      </c>
      <c r="J41" s="52" t="str">
        <f t="shared" si="28"/>
        <v>AL 7056-E/ D.23-09-004</v>
      </c>
      <c r="K41" s="52" t="str">
        <f t="shared" si="14"/>
        <v>AL 7056-E/ D.23-09-004</v>
      </c>
      <c r="L41" s="294">
        <v>112500</v>
      </c>
      <c r="M41" s="173">
        <f t="shared" si="29"/>
        <v>112500</v>
      </c>
      <c r="N41" s="173">
        <f t="shared" si="6"/>
        <v>112500</v>
      </c>
      <c r="O41" s="173">
        <f t="shared" si="6"/>
        <v>112500</v>
      </c>
      <c r="P41" s="173">
        <f t="shared" si="7"/>
        <v>112500</v>
      </c>
      <c r="Q41" s="173">
        <v>0</v>
      </c>
      <c r="R41" s="173">
        <f t="shared" si="8"/>
        <v>0</v>
      </c>
      <c r="S41" s="173">
        <f t="shared" si="10"/>
        <v>0</v>
      </c>
      <c r="T41" s="173">
        <f t="shared" si="12"/>
        <v>0</v>
      </c>
      <c r="U41" s="173">
        <f t="shared" si="15"/>
        <v>0</v>
      </c>
      <c r="V41" t="s">
        <v>17</v>
      </c>
      <c r="W41" t="str">
        <f t="shared" si="13"/>
        <v>N</v>
      </c>
      <c r="Y41" s="242"/>
      <c r="Z41" s="140"/>
    </row>
    <row r="42" spans="1:26">
      <c r="A42" t="s">
        <v>113</v>
      </c>
      <c r="B42" t="s">
        <v>123</v>
      </c>
      <c r="C42" s="52" t="str">
        <f t="shared" si="23"/>
        <v>Preliminary Statement  DB</v>
      </c>
      <c r="D42" s="52" t="str">
        <f t="shared" si="30"/>
        <v>Preliminary Statement  DB</v>
      </c>
      <c r="E42" s="52" t="str">
        <f t="shared" si="16"/>
        <v>Preliminary Statement  DB</v>
      </c>
      <c r="F42" s="52" t="str">
        <f t="shared" si="25"/>
        <v>Preliminary Statement  DB</v>
      </c>
      <c r="G42" s="52" t="s">
        <v>123</v>
      </c>
      <c r="H42" s="52" t="str">
        <f t="shared" si="26"/>
        <v>Preliminary Statement  DB</v>
      </c>
      <c r="I42" s="52" t="str">
        <f t="shared" si="27"/>
        <v>Preliminary Statement  DB</v>
      </c>
      <c r="J42" s="52" t="str">
        <f t="shared" si="28"/>
        <v>Preliminary Statement  DB</v>
      </c>
      <c r="K42" s="52" t="str">
        <f t="shared" si="14"/>
        <v>Preliminary Statement  DB</v>
      </c>
      <c r="L42" s="294">
        <v>-7078.6849770974941</v>
      </c>
      <c r="M42" s="173">
        <f t="shared" si="29"/>
        <v>-7078.6849770974941</v>
      </c>
      <c r="N42" s="173">
        <f t="shared" si="6"/>
        <v>-7078.6849770974941</v>
      </c>
      <c r="O42" s="173">
        <f t="shared" si="6"/>
        <v>-7078.6849770974941</v>
      </c>
      <c r="P42" s="173">
        <f t="shared" si="7"/>
        <v>-7078.6849770974941</v>
      </c>
      <c r="Q42" s="173">
        <v>-220833.70777226734</v>
      </c>
      <c r="R42" s="173">
        <f t="shared" si="8"/>
        <v>-220833.70777226734</v>
      </c>
      <c r="S42" s="173">
        <f t="shared" si="10"/>
        <v>-220833.70777226734</v>
      </c>
      <c r="T42" s="173">
        <f t="shared" si="12"/>
        <v>-220833.70777226734</v>
      </c>
      <c r="U42" s="173">
        <f t="shared" si="15"/>
        <v>-220833.70777226734</v>
      </c>
      <c r="V42" t="s">
        <v>17</v>
      </c>
      <c r="W42" t="str">
        <f t="shared" si="13"/>
        <v>Y</v>
      </c>
      <c r="Y42" s="233"/>
      <c r="Z42" s="173"/>
    </row>
    <row r="43" spans="1:26">
      <c r="A43" t="s">
        <v>116</v>
      </c>
      <c r="B43" t="s">
        <v>94</v>
      </c>
      <c r="C43" s="52" t="str">
        <f t="shared" si="23"/>
        <v>Preliminary Statement S</v>
      </c>
      <c r="D43" s="52" t="str">
        <f t="shared" si="30"/>
        <v>Preliminary Statement S</v>
      </c>
      <c r="E43" s="52" t="str">
        <f t="shared" si="16"/>
        <v>Preliminary Statement S</v>
      </c>
      <c r="F43" s="52" t="str">
        <f t="shared" si="25"/>
        <v>Preliminary Statement S</v>
      </c>
      <c r="G43" s="52" t="s">
        <v>94</v>
      </c>
      <c r="H43" s="52" t="str">
        <f t="shared" si="26"/>
        <v>Preliminary Statement S</v>
      </c>
      <c r="I43" s="52" t="str">
        <f t="shared" si="27"/>
        <v>Preliminary Statement S</v>
      </c>
      <c r="J43" s="52" t="str">
        <f t="shared" si="28"/>
        <v>Preliminary Statement S</v>
      </c>
      <c r="K43" s="52" t="str">
        <f t="shared" si="14"/>
        <v>Preliminary Statement S</v>
      </c>
      <c r="L43" s="294">
        <v>33349.346149633333</v>
      </c>
      <c r="M43" s="173">
        <f t="shared" si="29"/>
        <v>33349.346149633333</v>
      </c>
      <c r="N43" s="173">
        <f t="shared" si="6"/>
        <v>33349.346149633333</v>
      </c>
      <c r="O43" s="173">
        <f t="shared" si="6"/>
        <v>33349.346149633333</v>
      </c>
      <c r="P43" s="173">
        <f t="shared" si="7"/>
        <v>33349.346149633333</v>
      </c>
      <c r="Q43" s="173">
        <v>45960.392363315994</v>
      </c>
      <c r="R43" s="173">
        <f t="shared" si="8"/>
        <v>45960.392363315994</v>
      </c>
      <c r="S43" s="173">
        <f t="shared" si="10"/>
        <v>45960.392363315994</v>
      </c>
      <c r="T43" s="173">
        <f t="shared" si="12"/>
        <v>45960.392363315994</v>
      </c>
      <c r="U43" s="173">
        <f t="shared" si="15"/>
        <v>45960.392363315994</v>
      </c>
      <c r="V43" t="s">
        <v>328</v>
      </c>
      <c r="W43" t="str">
        <f t="shared" si="13"/>
        <v>Y</v>
      </c>
    </row>
    <row r="44" spans="1:26">
      <c r="A44" t="s">
        <v>117</v>
      </c>
      <c r="B44" t="s">
        <v>93</v>
      </c>
      <c r="C44" s="52" t="str">
        <f t="shared" si="23"/>
        <v>Preliminary Statement ET</v>
      </c>
      <c r="D44" s="52" t="str">
        <f t="shared" si="30"/>
        <v>Preliminary Statement ET</v>
      </c>
      <c r="E44" s="52" t="str">
        <f t="shared" si="16"/>
        <v>Preliminary Statement ET</v>
      </c>
      <c r="F44" s="52" t="str">
        <f t="shared" si="25"/>
        <v>Preliminary Statement ET</v>
      </c>
      <c r="G44" s="52" t="s">
        <v>93</v>
      </c>
      <c r="H44" s="52" t="str">
        <f t="shared" si="26"/>
        <v>Preliminary Statement ET</v>
      </c>
      <c r="I44" s="52" t="str">
        <f t="shared" si="27"/>
        <v>Preliminary Statement ET</v>
      </c>
      <c r="J44" s="52" t="str">
        <f t="shared" si="28"/>
        <v>Preliminary Statement ET</v>
      </c>
      <c r="K44" s="52" t="str">
        <f t="shared" si="14"/>
        <v>Preliminary Statement ET</v>
      </c>
      <c r="L44" s="294">
        <v>-415.81511118958332</v>
      </c>
      <c r="M44" s="173">
        <f t="shared" si="29"/>
        <v>-415.81511118958332</v>
      </c>
      <c r="N44" s="173">
        <f t="shared" si="6"/>
        <v>-415.81511118958332</v>
      </c>
      <c r="O44" s="173">
        <f t="shared" si="6"/>
        <v>-415.81511118958332</v>
      </c>
      <c r="P44" s="173">
        <f t="shared" si="7"/>
        <v>-415.81511118958332</v>
      </c>
      <c r="Q44" s="173">
        <v>-486.58327604759057</v>
      </c>
      <c r="R44" s="173">
        <f t="shared" si="8"/>
        <v>-486.58327604759057</v>
      </c>
      <c r="S44" s="173">
        <f t="shared" si="10"/>
        <v>-486.58327604759057</v>
      </c>
      <c r="T44" s="173">
        <f t="shared" si="12"/>
        <v>-486.58327604759057</v>
      </c>
      <c r="U44" s="173">
        <f t="shared" si="15"/>
        <v>-486.58327604759057</v>
      </c>
      <c r="V44" t="s">
        <v>6</v>
      </c>
      <c r="W44" t="str">
        <f t="shared" si="13"/>
        <v>Y</v>
      </c>
    </row>
    <row r="45" spans="1:26">
      <c r="A45" t="s">
        <v>289</v>
      </c>
      <c r="B45" t="s">
        <v>301</v>
      </c>
      <c r="C45" s="52" t="str">
        <f t="shared" si="23"/>
        <v>D.21-12-006</v>
      </c>
      <c r="D45" s="52" t="str">
        <f t="shared" si="30"/>
        <v>D.21-12-006</v>
      </c>
      <c r="E45" s="52" t="str">
        <f t="shared" si="16"/>
        <v>D.21-12-006</v>
      </c>
      <c r="F45" s="52" t="str">
        <f t="shared" si="25"/>
        <v>D.21-12-006</v>
      </c>
      <c r="G45" s="52" t="s">
        <v>511</v>
      </c>
      <c r="H45" s="52" t="str">
        <f t="shared" si="26"/>
        <v>D.23-11-090</v>
      </c>
      <c r="I45" s="52" t="str">
        <f t="shared" si="27"/>
        <v>D.23-11-090</v>
      </c>
      <c r="J45" s="52" t="str">
        <f t="shared" si="28"/>
        <v>D.23-11-090</v>
      </c>
      <c r="K45" s="52" t="str">
        <f t="shared" si="14"/>
        <v>D.23-11-090</v>
      </c>
      <c r="L45" s="294">
        <v>378335.58635205327</v>
      </c>
      <c r="M45" s="173">
        <f t="shared" si="29"/>
        <v>378335.58635205327</v>
      </c>
      <c r="N45" s="173">
        <f t="shared" si="6"/>
        <v>378335.58635205327</v>
      </c>
      <c r="O45" s="173">
        <f t="shared" si="6"/>
        <v>378335.58635205327</v>
      </c>
      <c r="P45" s="173">
        <f t="shared" si="7"/>
        <v>378335.58635205327</v>
      </c>
      <c r="Q45" s="173">
        <v>393053.02899999998</v>
      </c>
      <c r="R45" s="173">
        <f t="shared" si="8"/>
        <v>393053.02899999998</v>
      </c>
      <c r="S45" s="173">
        <f t="shared" si="10"/>
        <v>393053.02899999998</v>
      </c>
      <c r="T45" s="173">
        <f t="shared" si="12"/>
        <v>393053.02899999998</v>
      </c>
      <c r="U45" s="173">
        <f t="shared" si="15"/>
        <v>393053.02899999998</v>
      </c>
      <c r="V45" t="s">
        <v>18</v>
      </c>
      <c r="W45" t="str">
        <f t="shared" si="13"/>
        <v>N</v>
      </c>
    </row>
    <row r="46" spans="1:26">
      <c r="A46" t="s">
        <v>88</v>
      </c>
      <c r="B46" t="s">
        <v>163</v>
      </c>
      <c r="C46" s="52" t="str">
        <f t="shared" si="23"/>
        <v>CPUC Code 6350-6354</v>
      </c>
      <c r="D46" s="52" t="str">
        <f t="shared" si="30"/>
        <v>CPUC Code 6350-6354</v>
      </c>
      <c r="E46" s="52" t="str">
        <f t="shared" si="16"/>
        <v>CPUC Code 6350-6354</v>
      </c>
      <c r="F46" s="52" t="str">
        <f t="shared" si="25"/>
        <v>CPUC Code 6350-6354</v>
      </c>
      <c r="G46" s="52" t="s">
        <v>163</v>
      </c>
      <c r="H46" s="52" t="str">
        <f t="shared" si="26"/>
        <v>CPUC Code 6350-6354</v>
      </c>
      <c r="I46" s="52" t="str">
        <f t="shared" si="27"/>
        <v>CPUC Code 6350-6354</v>
      </c>
      <c r="J46" s="52" t="str">
        <f t="shared" si="28"/>
        <v>CPUC Code 6350-6354</v>
      </c>
      <c r="K46" s="52" t="str">
        <f t="shared" si="14"/>
        <v>CPUC Code 6350-6354</v>
      </c>
      <c r="L46" s="140">
        <v>2717.5845167667985</v>
      </c>
      <c r="M46" s="173">
        <f>L46</f>
        <v>2717.5845167667985</v>
      </c>
      <c r="N46" s="173">
        <f t="shared" si="6"/>
        <v>2717.5845167667985</v>
      </c>
      <c r="O46" s="173">
        <f t="shared" si="6"/>
        <v>2717.5845167667985</v>
      </c>
      <c r="P46" s="173">
        <f t="shared" si="7"/>
        <v>2717.5845167667985</v>
      </c>
      <c r="Q46" s="173">
        <v>2821.7280000000001</v>
      </c>
      <c r="R46" s="173">
        <f t="shared" si="8"/>
        <v>2821.7280000000001</v>
      </c>
      <c r="S46" s="173">
        <f t="shared" si="10"/>
        <v>2821.7280000000001</v>
      </c>
      <c r="T46" s="173">
        <f t="shared" si="12"/>
        <v>2821.7280000000001</v>
      </c>
      <c r="U46" s="173">
        <f t="shared" si="15"/>
        <v>2821.7280000000001</v>
      </c>
      <c r="V46" t="s">
        <v>4</v>
      </c>
      <c r="W46" t="str">
        <f t="shared" si="13"/>
        <v>N</v>
      </c>
    </row>
    <row r="47" spans="1:26">
      <c r="A47" t="s">
        <v>293</v>
      </c>
      <c r="B47" t="s">
        <v>302</v>
      </c>
      <c r="C47" s="52" t="str">
        <f t="shared" si="23"/>
        <v>Electric Preliminary Statement Part HJ</v>
      </c>
      <c r="D47" s="52" t="str">
        <f t="shared" si="30"/>
        <v>Electric Preliminary Statement Part HJ</v>
      </c>
      <c r="E47" s="52" t="str">
        <f t="shared" si="16"/>
        <v>Electric Preliminary Statement Part HJ</v>
      </c>
      <c r="F47" s="52" t="str">
        <f t="shared" si="25"/>
        <v>Electric Preliminary Statement Part HJ</v>
      </c>
      <c r="G47" s="52" t="s">
        <v>302</v>
      </c>
      <c r="H47" s="52" t="str">
        <f t="shared" si="26"/>
        <v>Electric Preliminary Statement Part HJ</v>
      </c>
      <c r="I47" s="52" t="str">
        <f t="shared" si="27"/>
        <v>Electric Preliminary Statement Part HJ</v>
      </c>
      <c r="J47" s="52" t="str">
        <f t="shared" si="28"/>
        <v>Electric Preliminary Statement Part HJ</v>
      </c>
      <c r="K47" s="52" t="str">
        <f t="shared" si="14"/>
        <v>Electric Preliminary Statement Part HJ</v>
      </c>
      <c r="L47" s="294">
        <v>695.58989289330009</v>
      </c>
      <c r="M47" s="173">
        <f>L47</f>
        <v>695.58989289330009</v>
      </c>
      <c r="N47" s="173">
        <f t="shared" si="6"/>
        <v>695.58989289330009</v>
      </c>
      <c r="O47" s="173">
        <f t="shared" si="6"/>
        <v>695.58989289330009</v>
      </c>
      <c r="P47" s="173">
        <f t="shared" si="7"/>
        <v>695.58989289330009</v>
      </c>
      <c r="Q47" s="173">
        <v>864.77092471394985</v>
      </c>
      <c r="R47" s="173">
        <f t="shared" si="8"/>
        <v>864.77092471394985</v>
      </c>
      <c r="S47" s="173">
        <f t="shared" si="10"/>
        <v>864.77092471394985</v>
      </c>
      <c r="T47" s="173">
        <f t="shared" si="12"/>
        <v>864.77092471394985</v>
      </c>
      <c r="U47" s="173">
        <f t="shared" si="15"/>
        <v>864.77092471394985</v>
      </c>
      <c r="V47" t="s">
        <v>6</v>
      </c>
      <c r="W47" t="str">
        <f t="shared" si="13"/>
        <v>Y</v>
      </c>
    </row>
    <row r="48" spans="1:26">
      <c r="A48" t="s">
        <v>556</v>
      </c>
      <c r="C48" s="52"/>
      <c r="D48" s="52"/>
      <c r="E48" s="52"/>
      <c r="F48" s="52"/>
      <c r="G48" s="52" t="s">
        <v>559</v>
      </c>
      <c r="H48" s="52" t="s">
        <v>519</v>
      </c>
      <c r="I48" s="52" t="s">
        <v>559</v>
      </c>
      <c r="J48" s="52" t="s">
        <v>559</v>
      </c>
      <c r="K48" s="52" t="str">
        <f t="shared" si="14"/>
        <v>D.24-03-006</v>
      </c>
      <c r="L48" s="294"/>
      <c r="M48" s="173"/>
      <c r="N48" s="173"/>
      <c r="O48" s="173"/>
      <c r="P48" s="173"/>
      <c r="Q48" s="173">
        <v>0</v>
      </c>
      <c r="R48" s="173">
        <v>0</v>
      </c>
      <c r="S48" s="173">
        <v>408416.68302289414</v>
      </c>
      <c r="T48" s="173">
        <f t="shared" si="12"/>
        <v>408416.68302289414</v>
      </c>
      <c r="U48" s="173">
        <f t="shared" si="15"/>
        <v>408416.68302289414</v>
      </c>
      <c r="V48" t="s">
        <v>328</v>
      </c>
      <c r="W48" t="s">
        <v>164</v>
      </c>
    </row>
    <row r="49" spans="1:23" hidden="1">
      <c r="C49" s="52"/>
      <c r="D49" s="52"/>
      <c r="E49" s="52"/>
      <c r="F49" s="52"/>
      <c r="G49" s="52"/>
      <c r="H49" s="52"/>
      <c r="I49" s="52"/>
      <c r="J49" s="52"/>
      <c r="K49" s="52">
        <f t="shared" si="14"/>
        <v>0</v>
      </c>
      <c r="L49" s="294"/>
      <c r="M49" s="173"/>
      <c r="N49" s="173"/>
      <c r="O49" s="173"/>
      <c r="P49" s="173"/>
      <c r="Q49" s="173"/>
      <c r="R49" s="173"/>
      <c r="S49" s="173"/>
      <c r="T49" s="173">
        <f t="shared" si="12"/>
        <v>0</v>
      </c>
      <c r="U49" s="173">
        <f t="shared" si="15"/>
        <v>0</v>
      </c>
      <c r="W49" t="s">
        <v>164</v>
      </c>
    </row>
    <row r="50" spans="1:23" hidden="1">
      <c r="C50" s="52"/>
      <c r="D50" s="52"/>
      <c r="E50" s="52"/>
      <c r="F50" s="52"/>
      <c r="G50" s="52"/>
      <c r="H50" s="52"/>
      <c r="I50" s="52"/>
      <c r="J50" s="52"/>
      <c r="K50" s="52">
        <f t="shared" si="14"/>
        <v>0</v>
      </c>
      <c r="L50" s="294"/>
      <c r="M50" s="173"/>
      <c r="N50" s="173"/>
      <c r="O50" s="173"/>
      <c r="P50" s="173"/>
      <c r="Q50" s="173"/>
      <c r="R50" s="173"/>
      <c r="S50" s="173"/>
      <c r="T50" s="173">
        <f t="shared" si="12"/>
        <v>0</v>
      </c>
      <c r="U50" s="173">
        <f t="shared" si="15"/>
        <v>0</v>
      </c>
      <c r="W50" t="s">
        <v>164</v>
      </c>
    </row>
    <row r="51" spans="1:23" hidden="1">
      <c r="C51" s="52"/>
      <c r="D51" s="52"/>
      <c r="E51" s="52"/>
      <c r="F51" s="52"/>
      <c r="G51" s="52" t="s">
        <v>519</v>
      </c>
      <c r="H51" s="52" t="str">
        <f t="shared" si="26"/>
        <v>n/a</v>
      </c>
      <c r="I51" s="52"/>
      <c r="J51" s="52"/>
      <c r="K51" s="52">
        <f t="shared" si="14"/>
        <v>0</v>
      </c>
      <c r="L51" s="294"/>
      <c r="M51" s="173"/>
      <c r="N51" s="173">
        <f t="shared" si="6"/>
        <v>0</v>
      </c>
      <c r="O51" s="173">
        <f t="shared" si="6"/>
        <v>0</v>
      </c>
      <c r="P51" s="173">
        <f t="shared" si="7"/>
        <v>0</v>
      </c>
      <c r="Q51" s="173"/>
      <c r="R51" s="173">
        <f t="shared" si="8"/>
        <v>0</v>
      </c>
      <c r="S51" s="173"/>
      <c r="T51" s="173">
        <f t="shared" si="12"/>
        <v>0</v>
      </c>
      <c r="U51" s="173">
        <f t="shared" si="15"/>
        <v>0</v>
      </c>
      <c r="W51" t="s">
        <v>164</v>
      </c>
    </row>
    <row r="52" spans="1:23">
      <c r="A52" t="s">
        <v>556</v>
      </c>
      <c r="C52" s="52"/>
      <c r="D52" s="52"/>
      <c r="E52" s="52"/>
      <c r="F52" s="52"/>
      <c r="G52" s="52" t="s">
        <v>559</v>
      </c>
      <c r="H52" s="52" t="s">
        <v>519</v>
      </c>
      <c r="I52" s="52" t="s">
        <v>559</v>
      </c>
      <c r="J52" s="52" t="s">
        <v>559</v>
      </c>
      <c r="K52" s="52" t="str">
        <f t="shared" si="14"/>
        <v>D.24-03-006</v>
      </c>
      <c r="L52" s="294"/>
      <c r="M52" s="173"/>
      <c r="N52" s="173"/>
      <c r="O52" s="173"/>
      <c r="P52" s="173"/>
      <c r="Q52" s="173"/>
      <c r="R52" s="173">
        <v>0</v>
      </c>
      <c r="S52" s="173">
        <v>6144.3180408703111</v>
      </c>
      <c r="T52" s="173">
        <f t="shared" si="12"/>
        <v>6144.3180408703111</v>
      </c>
      <c r="U52" s="173">
        <f t="shared" si="15"/>
        <v>6144.3180408703111</v>
      </c>
      <c r="V52" t="s">
        <v>6</v>
      </c>
      <c r="W52" t="s">
        <v>164</v>
      </c>
    </row>
    <row r="53" spans="1:23">
      <c r="A53" t="s">
        <v>294</v>
      </c>
      <c r="B53" t="s">
        <v>363</v>
      </c>
      <c r="C53" s="52" t="str">
        <f t="shared" si="23"/>
        <v>D. 20-12-005, AL 6661-E</v>
      </c>
      <c r="D53" s="52" t="str">
        <f>C53</f>
        <v>D. 20-12-005, AL 6661-E</v>
      </c>
      <c r="E53" s="52" t="str">
        <f t="shared" si="16"/>
        <v>D. 20-12-005, AL 6661-E</v>
      </c>
      <c r="F53" s="52" t="str">
        <f>E53</f>
        <v>D. 20-12-005, AL 6661-E</v>
      </c>
      <c r="G53" s="52" t="s">
        <v>519</v>
      </c>
      <c r="H53" s="52" t="str">
        <f t="shared" si="26"/>
        <v>n/a</v>
      </c>
      <c r="I53" s="52" t="str">
        <f t="shared" ref="I53:I55" si="31">H53</f>
        <v>n/a</v>
      </c>
      <c r="J53" s="52" t="str">
        <f>I53</f>
        <v>n/a</v>
      </c>
      <c r="K53" s="52" t="str">
        <f t="shared" si="14"/>
        <v>n/a</v>
      </c>
      <c r="L53" s="294">
        <v>67866.093816424895</v>
      </c>
      <c r="M53" s="295">
        <f>L53</f>
        <v>67866.093816424895</v>
      </c>
      <c r="N53" s="173">
        <f t="shared" si="6"/>
        <v>67866.093816424895</v>
      </c>
      <c r="O53" s="173">
        <f t="shared" si="6"/>
        <v>67866.093816424895</v>
      </c>
      <c r="P53" s="173">
        <f t="shared" si="7"/>
        <v>67866.093816424895</v>
      </c>
      <c r="Q53" s="173">
        <v>0</v>
      </c>
      <c r="R53" s="173">
        <f t="shared" si="8"/>
        <v>0</v>
      </c>
      <c r="S53" s="173">
        <f>R53</f>
        <v>0</v>
      </c>
      <c r="T53" s="173">
        <f t="shared" si="12"/>
        <v>0</v>
      </c>
      <c r="U53" s="173">
        <f t="shared" si="15"/>
        <v>0</v>
      </c>
      <c r="V53" t="s">
        <v>6</v>
      </c>
      <c r="W53" t="str">
        <f>IF(RIGHT(A53,1)="*","Y","N")</f>
        <v>N</v>
      </c>
    </row>
    <row r="54" spans="1:23">
      <c r="A54" t="s">
        <v>333</v>
      </c>
      <c r="B54" t="s">
        <v>363</v>
      </c>
      <c r="C54" s="52" t="str">
        <f t="shared" si="23"/>
        <v>D. 20-12-005, AL 6661-E</v>
      </c>
      <c r="D54" s="52" t="str">
        <f>C54</f>
        <v>D. 20-12-005, AL 6661-E</v>
      </c>
      <c r="E54" s="52" t="str">
        <f t="shared" si="16"/>
        <v>D. 20-12-005, AL 6661-E</v>
      </c>
      <c r="F54" s="52" t="str">
        <f>E54</f>
        <v>D. 20-12-005, AL 6661-E</v>
      </c>
      <c r="G54" s="52" t="s">
        <v>519</v>
      </c>
      <c r="H54" s="52" t="str">
        <f t="shared" si="26"/>
        <v>n/a</v>
      </c>
      <c r="I54" s="52" t="str">
        <f t="shared" si="31"/>
        <v>n/a</v>
      </c>
      <c r="J54" s="52" t="str">
        <f>I54</f>
        <v>n/a</v>
      </c>
      <c r="K54" s="52" t="str">
        <f t="shared" si="14"/>
        <v>n/a</v>
      </c>
      <c r="L54" s="294">
        <v>70852.369709999999</v>
      </c>
      <c r="M54" s="295">
        <f>L54</f>
        <v>70852.369709999999</v>
      </c>
      <c r="N54" s="173">
        <f t="shared" si="6"/>
        <v>70852.369709999999</v>
      </c>
      <c r="O54" s="173">
        <f t="shared" si="6"/>
        <v>70852.369709999999</v>
      </c>
      <c r="P54" s="173">
        <f t="shared" si="7"/>
        <v>70852.369709999999</v>
      </c>
      <c r="Q54" s="173">
        <v>0</v>
      </c>
      <c r="R54" s="173">
        <f t="shared" si="8"/>
        <v>0</v>
      </c>
      <c r="S54" s="173">
        <f t="shared" ref="S54:S72" si="32">R54</f>
        <v>0</v>
      </c>
      <c r="T54" s="173">
        <f t="shared" si="12"/>
        <v>0</v>
      </c>
      <c r="U54" s="173">
        <f t="shared" si="15"/>
        <v>0</v>
      </c>
      <c r="V54" t="s">
        <v>328</v>
      </c>
      <c r="W54" t="str">
        <f>IF(RIGHT(A54,1)="*","Y","N")</f>
        <v>N</v>
      </c>
    </row>
    <row r="55" spans="1:23">
      <c r="A55" t="s">
        <v>295</v>
      </c>
      <c r="B55" t="s">
        <v>364</v>
      </c>
      <c r="C55" s="52" t="str">
        <f t="shared" si="23"/>
        <v>D. 20-12-005, D.21-06-030, D.22-08-004</v>
      </c>
      <c r="D55" s="52" t="str">
        <f>C55</f>
        <v>D. 20-12-005, D.21-06-030, D.22-08-004</v>
      </c>
      <c r="E55" s="52" t="str">
        <f t="shared" si="16"/>
        <v>D. 20-12-005, D.21-06-030, D.22-08-004</v>
      </c>
      <c r="F55" s="52" t="str">
        <f>E55</f>
        <v>D. 20-12-005, D.21-06-030, D.22-08-004</v>
      </c>
      <c r="G55" s="52" t="s">
        <v>519</v>
      </c>
      <c r="H55" s="52" t="str">
        <f t="shared" si="26"/>
        <v>n/a</v>
      </c>
      <c r="I55" s="52" t="str">
        <f t="shared" si="31"/>
        <v>n/a</v>
      </c>
      <c r="J55" s="52" t="str">
        <f>I55</f>
        <v>n/a</v>
      </c>
      <c r="K55" s="52" t="str">
        <f t="shared" si="14"/>
        <v>n/a</v>
      </c>
      <c r="L55" s="294">
        <v>423.70846385911574</v>
      </c>
      <c r="M55" s="295">
        <f>L55</f>
        <v>423.70846385911574</v>
      </c>
      <c r="N55" s="173">
        <f t="shared" si="6"/>
        <v>423.70846385911574</v>
      </c>
      <c r="O55" s="173">
        <f t="shared" si="6"/>
        <v>423.70846385911574</v>
      </c>
      <c r="P55" s="173">
        <f t="shared" si="7"/>
        <v>423.70846385911574</v>
      </c>
      <c r="Q55" s="173">
        <v>0</v>
      </c>
      <c r="R55" s="173">
        <f t="shared" si="8"/>
        <v>0</v>
      </c>
      <c r="S55" s="173">
        <f t="shared" si="32"/>
        <v>0</v>
      </c>
      <c r="T55" s="173">
        <f t="shared" si="12"/>
        <v>0</v>
      </c>
      <c r="U55" s="173">
        <f t="shared" si="15"/>
        <v>0</v>
      </c>
      <c r="V55" t="s">
        <v>328</v>
      </c>
      <c r="W55" t="str">
        <f>IF(RIGHT(A55,1)="*","Y","N")</f>
        <v>N</v>
      </c>
    </row>
    <row r="56" spans="1:23" hidden="1">
      <c r="C56" s="52"/>
      <c r="D56" s="52"/>
      <c r="E56" s="52"/>
      <c r="F56" s="52"/>
      <c r="G56" s="52"/>
      <c r="H56" s="52"/>
      <c r="I56" s="52"/>
      <c r="J56" s="52"/>
      <c r="K56" s="52">
        <f t="shared" si="14"/>
        <v>0</v>
      </c>
      <c r="L56" s="294"/>
      <c r="M56" s="295"/>
      <c r="N56" s="173"/>
      <c r="O56" s="173"/>
      <c r="P56" s="173"/>
      <c r="Q56" s="173"/>
      <c r="R56" s="173"/>
      <c r="S56" s="173">
        <f t="shared" si="32"/>
        <v>0</v>
      </c>
      <c r="T56" s="173">
        <f t="shared" si="12"/>
        <v>0</v>
      </c>
      <c r="U56" s="173">
        <f t="shared" si="15"/>
        <v>0</v>
      </c>
    </row>
    <row r="57" spans="1:23" hidden="1">
      <c r="C57" s="52"/>
      <c r="D57" s="52"/>
      <c r="E57" s="52"/>
      <c r="F57" s="52"/>
      <c r="G57" s="52"/>
      <c r="H57" s="52"/>
      <c r="I57" s="52"/>
      <c r="J57" s="52"/>
      <c r="K57" s="52">
        <f t="shared" si="14"/>
        <v>0</v>
      </c>
      <c r="L57" s="294"/>
      <c r="M57" s="295"/>
      <c r="N57" s="173"/>
      <c r="O57" s="173"/>
      <c r="P57" s="173"/>
      <c r="Q57" s="173"/>
      <c r="R57" s="173"/>
      <c r="S57" s="173">
        <f t="shared" si="32"/>
        <v>0</v>
      </c>
      <c r="T57" s="173">
        <f t="shared" si="12"/>
        <v>0</v>
      </c>
      <c r="U57" s="173">
        <f t="shared" si="15"/>
        <v>0</v>
      </c>
    </row>
    <row r="58" spans="1:23">
      <c r="A58" t="s">
        <v>336</v>
      </c>
      <c r="B58" t="s">
        <v>380</v>
      </c>
      <c r="C58" s="52" t="s">
        <v>381</v>
      </c>
      <c r="D58" s="52" t="str">
        <f t="shared" ref="D58:D68" si="33">C58</f>
        <v>D.21-06-030, D.21-05-015, AL 6819-E</v>
      </c>
      <c r="E58" s="52" t="str">
        <f t="shared" si="16"/>
        <v>D.21-06-030, D.21-05-015, AL 6819-E</v>
      </c>
      <c r="F58" s="52" t="str">
        <f t="shared" ref="F58:F68" si="34">E58</f>
        <v>D.21-06-030, D.21-05-015, AL 6819-E</v>
      </c>
      <c r="G58" s="52" t="s">
        <v>512</v>
      </c>
      <c r="H58" s="52" t="s">
        <v>526</v>
      </c>
      <c r="I58" s="52" t="str">
        <f t="shared" ref="I58:I73" si="35">H58</f>
        <v>D.21-06-030, AL 7106-E</v>
      </c>
      <c r="J58" s="52" t="str">
        <f>I58</f>
        <v>D.21-06-030, AL 7106-E</v>
      </c>
      <c r="K58" s="52" t="str">
        <f t="shared" si="14"/>
        <v>D.21-06-030, AL 7106-E</v>
      </c>
      <c r="L58" s="140">
        <v>82550.529459806436</v>
      </c>
      <c r="M58" s="295">
        <v>22864.154221958364</v>
      </c>
      <c r="N58" s="173">
        <f t="shared" si="6"/>
        <v>22864.154221958364</v>
      </c>
      <c r="O58" s="173">
        <f t="shared" si="6"/>
        <v>22864.154221958364</v>
      </c>
      <c r="P58" s="173">
        <f t="shared" si="7"/>
        <v>22864.154221958364</v>
      </c>
      <c r="Q58" s="173">
        <v>22478.598400784289</v>
      </c>
      <c r="R58" s="173">
        <v>65887.47887289428</v>
      </c>
      <c r="S58" s="173">
        <f t="shared" si="32"/>
        <v>65887.47887289428</v>
      </c>
      <c r="T58" s="173">
        <f t="shared" si="12"/>
        <v>65887.47887289428</v>
      </c>
      <c r="U58" s="173">
        <f t="shared" si="15"/>
        <v>65887.47887289428</v>
      </c>
      <c r="V58" t="s">
        <v>297</v>
      </c>
      <c r="W58" t="str">
        <f>IF(RIGHT(A58,1)="*","Y","N")</f>
        <v>N</v>
      </c>
    </row>
    <row r="59" spans="1:23">
      <c r="A59" t="s">
        <v>336</v>
      </c>
      <c r="B59" t="s">
        <v>380</v>
      </c>
      <c r="C59" s="52" t="s">
        <v>381</v>
      </c>
      <c r="D59" s="52" t="str">
        <f t="shared" si="33"/>
        <v>D.21-06-030, D.21-05-015, AL 6819-E</v>
      </c>
      <c r="E59" s="52" t="str">
        <f t="shared" si="16"/>
        <v>D.21-06-030, D.21-05-015, AL 6819-E</v>
      </c>
      <c r="F59" s="52" t="str">
        <f t="shared" si="34"/>
        <v>D.21-06-030, D.21-05-015, AL 6819-E</v>
      </c>
      <c r="G59" s="52" t="s">
        <v>512</v>
      </c>
      <c r="H59" s="52" t="str">
        <f>G59</f>
        <v>D.21-06-030, AL 6390-E</v>
      </c>
      <c r="I59" s="52" t="str">
        <f t="shared" si="35"/>
        <v>D.21-06-030, AL 6390-E</v>
      </c>
      <c r="J59" s="52" t="str">
        <f>I59</f>
        <v>D.21-06-030, AL 6390-E</v>
      </c>
      <c r="K59" s="52" t="str">
        <f t="shared" si="14"/>
        <v>D.21-06-030, AL 6390-E</v>
      </c>
      <c r="L59" s="140">
        <v>-3565.7570998199994</v>
      </c>
      <c r="M59" s="295">
        <f>L59</f>
        <v>-3565.7570998199994</v>
      </c>
      <c r="N59" s="173">
        <f t="shared" si="6"/>
        <v>-3565.7570998199994</v>
      </c>
      <c r="O59" s="173">
        <f t="shared" si="6"/>
        <v>-3565.7570998199994</v>
      </c>
      <c r="P59" s="173">
        <f t="shared" si="7"/>
        <v>-3565.7570998199994</v>
      </c>
      <c r="Q59" s="173">
        <v>-277.61216137696971</v>
      </c>
      <c r="R59" s="173">
        <f t="shared" si="8"/>
        <v>-277.61216137696971</v>
      </c>
      <c r="S59" s="173">
        <f t="shared" si="32"/>
        <v>-277.61216137696971</v>
      </c>
      <c r="T59" s="173">
        <f t="shared" si="12"/>
        <v>-277.61216137696971</v>
      </c>
      <c r="U59" s="173">
        <f t="shared" si="15"/>
        <v>-277.61216137696971</v>
      </c>
      <c r="V59" t="s">
        <v>328</v>
      </c>
      <c r="W59" t="str">
        <f>IF(RIGHT(A59,1)="*","Y","N")</f>
        <v>N</v>
      </c>
    </row>
    <row r="60" spans="1:23">
      <c r="A60" t="s">
        <v>337</v>
      </c>
      <c r="B60" t="s">
        <v>382</v>
      </c>
      <c r="C60" s="52" t="s">
        <v>383</v>
      </c>
      <c r="D60" s="52" t="str">
        <f t="shared" si="33"/>
        <v>D.22-08-004, D.21-05-015, AL 6820-E</v>
      </c>
      <c r="E60" s="52" t="str">
        <f t="shared" si="16"/>
        <v>D.22-08-004, D.21-05-015, AL 6820-E</v>
      </c>
      <c r="F60" s="52" t="str">
        <f t="shared" si="34"/>
        <v>D.22-08-004, D.21-05-015, AL 6820-E</v>
      </c>
      <c r="G60" s="52" t="s">
        <v>513</v>
      </c>
      <c r="H60" s="52" t="s">
        <v>527</v>
      </c>
      <c r="I60" s="52" t="str">
        <f t="shared" si="35"/>
        <v>D.22-08-004, AL 7126-E</v>
      </c>
      <c r="J60" s="52" t="str">
        <f>I60</f>
        <v>D.22-08-004, AL 7126-E</v>
      </c>
      <c r="K60" s="52" t="str">
        <f t="shared" si="14"/>
        <v>D.22-08-004, AL 7126-E</v>
      </c>
      <c r="L60" s="140">
        <v>125944.55061187848</v>
      </c>
      <c r="M60" s="295">
        <f>L60</f>
        <v>125944.55061187848</v>
      </c>
      <c r="N60" s="173">
        <f t="shared" si="6"/>
        <v>125944.55061187848</v>
      </c>
      <c r="O60" s="173">
        <f t="shared" si="6"/>
        <v>125944.55061187848</v>
      </c>
      <c r="P60" s="173">
        <f t="shared" si="7"/>
        <v>125944.55061187848</v>
      </c>
      <c r="Q60" s="173">
        <v>123775.13325821608</v>
      </c>
      <c r="R60" s="173">
        <v>55096.69203695187</v>
      </c>
      <c r="S60" s="173">
        <f t="shared" si="32"/>
        <v>55096.69203695187</v>
      </c>
      <c r="T60" s="173">
        <f t="shared" si="12"/>
        <v>55096.69203695187</v>
      </c>
      <c r="U60" s="173">
        <f t="shared" si="15"/>
        <v>55096.69203695187</v>
      </c>
      <c r="V60" t="s">
        <v>297</v>
      </c>
      <c r="W60" t="str">
        <f>IF(RIGHT(A60,1)="*","Y","N")</f>
        <v>N</v>
      </c>
    </row>
    <row r="61" spans="1:23">
      <c r="A61" t="s">
        <v>337</v>
      </c>
      <c r="B61" t="s">
        <v>382</v>
      </c>
      <c r="C61" s="52" t="s">
        <v>383</v>
      </c>
      <c r="D61" s="52" t="str">
        <f t="shared" si="33"/>
        <v>D.22-08-004, D.21-05-015, AL 6820-E</v>
      </c>
      <c r="E61" s="52" t="str">
        <f t="shared" si="16"/>
        <v>D.22-08-004, D.21-05-015, AL 6820-E</v>
      </c>
      <c r="F61" s="52" t="str">
        <f t="shared" si="34"/>
        <v>D.22-08-004, D.21-05-015, AL 6820-E</v>
      </c>
      <c r="G61" s="52" t="s">
        <v>513</v>
      </c>
      <c r="H61" s="52" t="str">
        <f>G61</f>
        <v>D.22-08-004, AL 6769-E</v>
      </c>
      <c r="I61" s="52" t="str">
        <f t="shared" si="35"/>
        <v>D.22-08-004, AL 6769-E</v>
      </c>
      <c r="J61" s="52" t="str">
        <f>I61</f>
        <v>D.22-08-004, AL 6769-E</v>
      </c>
      <c r="K61" s="52" t="str">
        <f t="shared" si="14"/>
        <v>D.22-08-004, AL 6769-E</v>
      </c>
      <c r="L61" s="294">
        <v>-59014.276954802182</v>
      </c>
      <c r="M61" s="295">
        <f>L61</f>
        <v>-59014.276954802182</v>
      </c>
      <c r="N61" s="173">
        <f t="shared" si="6"/>
        <v>-59014.276954802182</v>
      </c>
      <c r="O61" s="173">
        <f t="shared" si="6"/>
        <v>-59014.276954802182</v>
      </c>
      <c r="P61" s="173">
        <f t="shared" si="7"/>
        <v>-59014.276954802182</v>
      </c>
      <c r="Q61" s="173">
        <v>-13674.582966657574</v>
      </c>
      <c r="R61" s="173">
        <f t="shared" si="8"/>
        <v>-13674.582966657574</v>
      </c>
      <c r="S61" s="173">
        <f t="shared" si="32"/>
        <v>-13674.582966657574</v>
      </c>
      <c r="T61" s="173">
        <f t="shared" si="12"/>
        <v>-13674.582966657574</v>
      </c>
      <c r="U61" s="173">
        <f t="shared" si="15"/>
        <v>-13674.582966657574</v>
      </c>
      <c r="V61" t="s">
        <v>328</v>
      </c>
      <c r="W61" t="str">
        <f>IF(RIGHT(A61,1)="*","Y","N")</f>
        <v>N</v>
      </c>
    </row>
    <row r="62" spans="1:23">
      <c r="A62" t="s">
        <v>449</v>
      </c>
      <c r="C62" s="52"/>
      <c r="D62" s="52"/>
      <c r="E62" s="52"/>
      <c r="F62" s="52"/>
      <c r="G62" t="s">
        <v>519</v>
      </c>
      <c r="H62" s="52" t="s">
        <v>519</v>
      </c>
      <c r="I62" s="52" t="s">
        <v>519</v>
      </c>
      <c r="J62" t="s">
        <v>519</v>
      </c>
      <c r="K62" t="s">
        <v>504</v>
      </c>
      <c r="L62" s="295"/>
      <c r="M62" s="173"/>
      <c r="N62" s="173"/>
      <c r="O62" s="173"/>
      <c r="P62" s="173">
        <v>0</v>
      </c>
      <c r="Q62" s="173">
        <v>0</v>
      </c>
      <c r="R62" s="173">
        <f t="shared" si="8"/>
        <v>0</v>
      </c>
      <c r="S62" s="173">
        <v>0</v>
      </c>
      <c r="T62" s="173">
        <f t="shared" si="12"/>
        <v>0</v>
      </c>
      <c r="U62" s="294">
        <v>175353.61802688477</v>
      </c>
      <c r="V62" t="s">
        <v>297</v>
      </c>
      <c r="W62" t="s">
        <v>164</v>
      </c>
    </row>
    <row r="63" spans="1:23">
      <c r="A63" t="s">
        <v>288</v>
      </c>
      <c r="B63" t="s">
        <v>315</v>
      </c>
      <c r="C63" s="52" t="str">
        <f t="shared" si="23"/>
        <v>D.21-03-056, D.21-12-015</v>
      </c>
      <c r="D63" s="52" t="str">
        <f t="shared" si="33"/>
        <v>D.21-03-056, D.21-12-015</v>
      </c>
      <c r="E63" s="52" t="str">
        <f t="shared" si="16"/>
        <v>D.21-03-056, D.21-12-015</v>
      </c>
      <c r="F63" s="52" t="str">
        <f t="shared" si="34"/>
        <v>D.21-03-056, D.21-12-015</v>
      </c>
      <c r="G63" s="52" t="s">
        <v>315</v>
      </c>
      <c r="H63" s="52" t="str">
        <f t="shared" ref="H63:H121" si="36">G63</f>
        <v>D.21-03-056, D.21-12-015</v>
      </c>
      <c r="I63" s="52" t="str">
        <f t="shared" si="35"/>
        <v>D.21-03-056, D.21-12-015</v>
      </c>
      <c r="J63" s="52" t="str">
        <f t="shared" ref="J63:J73" si="37">I63</f>
        <v>D.21-03-056, D.21-12-015</v>
      </c>
      <c r="K63" s="52" t="str">
        <f t="shared" si="14"/>
        <v>D.21-03-056, D.21-12-015</v>
      </c>
      <c r="L63" s="294">
        <v>141927.97250999999</v>
      </c>
      <c r="M63" s="295">
        <f t="shared" ref="M63:M69" si="38">L63</f>
        <v>141927.97250999999</v>
      </c>
      <c r="N63" s="173">
        <f t="shared" si="6"/>
        <v>141927.97250999999</v>
      </c>
      <c r="O63" s="173">
        <f t="shared" si="6"/>
        <v>141927.97250999999</v>
      </c>
      <c r="P63" s="173">
        <f t="shared" si="7"/>
        <v>141927.97250999999</v>
      </c>
      <c r="Q63" s="173">
        <v>1324.7309499999999</v>
      </c>
      <c r="R63" s="173">
        <f t="shared" si="8"/>
        <v>1324.7309499999999</v>
      </c>
      <c r="S63" s="173">
        <f t="shared" si="32"/>
        <v>1324.7309499999999</v>
      </c>
      <c r="T63" s="173">
        <f>S63</f>
        <v>1324.7309499999999</v>
      </c>
      <c r="U63" s="173">
        <f>T63</f>
        <v>1324.7309499999999</v>
      </c>
      <c r="V63" t="s">
        <v>6</v>
      </c>
      <c r="W63" t="str">
        <f t="shared" ref="W63:W73" si="39">IF(RIGHT(A63,1)="*","Y","N")</f>
        <v>N</v>
      </c>
    </row>
    <row r="64" spans="1:23">
      <c r="A64" t="s">
        <v>220</v>
      </c>
      <c r="B64" t="s">
        <v>290</v>
      </c>
      <c r="C64" s="52" t="str">
        <f t="shared" si="23"/>
        <v>D.21-08-027</v>
      </c>
      <c r="D64" s="52" t="str">
        <f t="shared" si="33"/>
        <v>D.21-08-027</v>
      </c>
      <c r="E64" s="52" t="str">
        <f t="shared" si="16"/>
        <v>D.21-08-027</v>
      </c>
      <c r="F64" s="52" t="str">
        <f t="shared" si="34"/>
        <v>D.21-08-027</v>
      </c>
      <c r="G64" s="52" t="s">
        <v>290</v>
      </c>
      <c r="H64" s="52" t="str">
        <f t="shared" si="36"/>
        <v>D.21-08-027</v>
      </c>
      <c r="I64" s="52" t="str">
        <f t="shared" si="35"/>
        <v>D.21-08-027</v>
      </c>
      <c r="J64" s="52" t="str">
        <f t="shared" si="37"/>
        <v>D.21-08-027</v>
      </c>
      <c r="K64" s="52" t="str">
        <f t="shared" si="14"/>
        <v>D.21-08-027</v>
      </c>
      <c r="L64" s="294">
        <v>-56428.242820632142</v>
      </c>
      <c r="M64" s="295">
        <f t="shared" si="38"/>
        <v>-56428.242820632142</v>
      </c>
      <c r="N64" s="173">
        <f t="shared" si="6"/>
        <v>-56428.242820632142</v>
      </c>
      <c r="O64" s="173">
        <f t="shared" si="6"/>
        <v>-56428.242820632142</v>
      </c>
      <c r="P64" s="173">
        <f t="shared" si="7"/>
        <v>-56428.242820632142</v>
      </c>
      <c r="Q64" s="173">
        <v>-38657.658748985537</v>
      </c>
      <c r="R64" s="173">
        <f t="shared" si="8"/>
        <v>-38657.658748985537</v>
      </c>
      <c r="S64" s="173">
        <f t="shared" si="32"/>
        <v>-38657.658748985537</v>
      </c>
      <c r="T64" s="173">
        <f>S64</f>
        <v>-38657.658748985537</v>
      </c>
      <c r="U64" s="173">
        <f t="shared" ref="U64:U73" si="40">T64</f>
        <v>-38657.658748985537</v>
      </c>
      <c r="V64" t="s">
        <v>6</v>
      </c>
      <c r="W64" t="str">
        <f t="shared" si="39"/>
        <v>N</v>
      </c>
    </row>
    <row r="65" spans="1:23">
      <c r="A65" t="s">
        <v>220</v>
      </c>
      <c r="B65" t="s">
        <v>290</v>
      </c>
      <c r="C65" s="52" t="str">
        <f t="shared" si="23"/>
        <v>D.21-08-027</v>
      </c>
      <c r="D65" s="52" t="str">
        <f t="shared" si="33"/>
        <v>D.21-08-027</v>
      </c>
      <c r="E65" s="52" t="str">
        <f t="shared" si="16"/>
        <v>D.21-08-027</v>
      </c>
      <c r="F65" s="52" t="str">
        <f t="shared" si="34"/>
        <v>D.21-08-027</v>
      </c>
      <c r="G65" s="52" t="s">
        <v>290</v>
      </c>
      <c r="H65" s="52" t="str">
        <f t="shared" si="36"/>
        <v>D.21-08-027</v>
      </c>
      <c r="I65" s="52" t="str">
        <f t="shared" si="35"/>
        <v>D.21-08-027</v>
      </c>
      <c r="J65" s="52" t="str">
        <f t="shared" si="37"/>
        <v>D.21-08-027</v>
      </c>
      <c r="K65" s="52" t="str">
        <f t="shared" si="14"/>
        <v>D.21-08-027</v>
      </c>
      <c r="L65" s="294">
        <v>-39231.719609561827</v>
      </c>
      <c r="M65" s="295">
        <f t="shared" si="38"/>
        <v>-39231.719609561827</v>
      </c>
      <c r="N65" s="173">
        <f t="shared" si="6"/>
        <v>-39231.719609561827</v>
      </c>
      <c r="O65" s="173">
        <f t="shared" si="6"/>
        <v>-39231.719609561827</v>
      </c>
      <c r="P65" s="173">
        <f t="shared" si="7"/>
        <v>-39231.719609561827</v>
      </c>
      <c r="Q65" s="173">
        <v>-6566.0645929710518</v>
      </c>
      <c r="R65" s="173">
        <f t="shared" si="8"/>
        <v>-6566.0645929710518</v>
      </c>
      <c r="S65" s="173">
        <f t="shared" si="32"/>
        <v>-6566.0645929710518</v>
      </c>
      <c r="T65" s="173">
        <f t="shared" ref="T65:T72" si="41">S65</f>
        <v>-6566.0645929710518</v>
      </c>
      <c r="U65" s="173">
        <f t="shared" si="40"/>
        <v>-6566.0645929710518</v>
      </c>
      <c r="V65" t="s">
        <v>219</v>
      </c>
      <c r="W65" t="str">
        <f t="shared" si="39"/>
        <v>N</v>
      </c>
    </row>
    <row r="66" spans="1:23">
      <c r="A66" t="s">
        <v>468</v>
      </c>
      <c r="B66" t="s">
        <v>362</v>
      </c>
      <c r="C66" s="52" t="str">
        <f t="shared" si="23"/>
        <v>D.20-12-005, AL 6423-E</v>
      </c>
      <c r="D66" s="52" t="str">
        <f t="shared" si="33"/>
        <v>D.20-12-005, AL 6423-E</v>
      </c>
      <c r="E66" s="52" t="str">
        <f t="shared" si="16"/>
        <v>D.20-12-005, AL 6423-E</v>
      </c>
      <c r="F66" s="52" t="str">
        <f t="shared" si="34"/>
        <v>D.20-12-005, AL 6423-E</v>
      </c>
      <c r="G66" s="52" t="s">
        <v>519</v>
      </c>
      <c r="H66" s="52" t="str">
        <f t="shared" si="36"/>
        <v>n/a</v>
      </c>
      <c r="I66" s="52" t="str">
        <f t="shared" si="35"/>
        <v>n/a</v>
      </c>
      <c r="J66" s="52" t="str">
        <f t="shared" si="37"/>
        <v>n/a</v>
      </c>
      <c r="K66" s="52" t="str">
        <f t="shared" si="14"/>
        <v>n/a</v>
      </c>
      <c r="L66" s="294">
        <v>161818.68051997022</v>
      </c>
      <c r="M66" s="295">
        <f t="shared" si="38"/>
        <v>161818.68051997022</v>
      </c>
      <c r="N66" s="173">
        <f t="shared" si="6"/>
        <v>161818.68051997022</v>
      </c>
      <c r="O66" s="173">
        <f t="shared" si="6"/>
        <v>161818.68051997022</v>
      </c>
      <c r="P66" s="173">
        <f t="shared" si="7"/>
        <v>161818.68051997022</v>
      </c>
      <c r="Q66" s="173">
        <v>76163.624360518428</v>
      </c>
      <c r="R66" s="173">
        <f t="shared" si="8"/>
        <v>76163.624360518428</v>
      </c>
      <c r="S66" s="173">
        <f t="shared" si="32"/>
        <v>76163.624360518428</v>
      </c>
      <c r="T66" s="173">
        <f t="shared" si="41"/>
        <v>76163.624360518428</v>
      </c>
      <c r="U66" s="173">
        <f t="shared" si="40"/>
        <v>76163.624360518428</v>
      </c>
      <c r="V66" t="s">
        <v>219</v>
      </c>
      <c r="W66" t="str">
        <f t="shared" si="39"/>
        <v>N</v>
      </c>
    </row>
    <row r="67" spans="1:23">
      <c r="A67" t="s">
        <v>534</v>
      </c>
      <c r="B67" t="s">
        <v>365</v>
      </c>
      <c r="C67" s="52" t="str">
        <f t="shared" si="23"/>
        <v>D.20-06-003, AL 6001-E</v>
      </c>
      <c r="D67" s="52" t="str">
        <f t="shared" si="33"/>
        <v>D.20-06-003, AL 6001-E</v>
      </c>
      <c r="E67" s="52" t="str">
        <f t="shared" si="16"/>
        <v>D.20-06-003, AL 6001-E</v>
      </c>
      <c r="F67" s="52" t="str">
        <f t="shared" si="34"/>
        <v>D.20-06-003, AL 6001-E</v>
      </c>
      <c r="G67" s="52" t="s">
        <v>519</v>
      </c>
      <c r="H67" s="52" t="str">
        <f t="shared" si="36"/>
        <v>n/a</v>
      </c>
      <c r="I67" s="52" t="str">
        <f t="shared" si="35"/>
        <v>n/a</v>
      </c>
      <c r="J67" s="52" t="str">
        <f t="shared" si="37"/>
        <v>n/a</v>
      </c>
      <c r="K67" s="52" t="str">
        <f t="shared" si="14"/>
        <v>n/a</v>
      </c>
      <c r="L67" s="294">
        <v>9826.5474580260179</v>
      </c>
      <c r="M67" s="295">
        <f t="shared" si="38"/>
        <v>9826.5474580260179</v>
      </c>
      <c r="N67" s="173">
        <f t="shared" si="6"/>
        <v>9826.5474580260179</v>
      </c>
      <c r="O67" s="173">
        <f t="shared" si="6"/>
        <v>9826.5474580260179</v>
      </c>
      <c r="P67" s="173">
        <f t="shared" si="7"/>
        <v>9826.5474580260179</v>
      </c>
      <c r="Q67" s="173">
        <v>41793.584705409317</v>
      </c>
      <c r="R67" s="173">
        <f t="shared" si="8"/>
        <v>41793.584705409317</v>
      </c>
      <c r="S67" s="173">
        <f t="shared" si="32"/>
        <v>41793.584705409317</v>
      </c>
      <c r="T67" s="173">
        <f t="shared" si="41"/>
        <v>41793.584705409317</v>
      </c>
      <c r="U67" s="173">
        <f t="shared" si="40"/>
        <v>41793.584705409317</v>
      </c>
      <c r="V67" t="s">
        <v>219</v>
      </c>
      <c r="W67" t="str">
        <f t="shared" si="39"/>
        <v>N</v>
      </c>
    </row>
    <row r="68" spans="1:23">
      <c r="A68" t="s">
        <v>96</v>
      </c>
      <c r="B68" t="s">
        <v>316</v>
      </c>
      <c r="C68" s="52" t="str">
        <f t="shared" si="23"/>
        <v>D.22-03-011</v>
      </c>
      <c r="D68" s="52" t="str">
        <f t="shared" si="33"/>
        <v>D.22-03-011</v>
      </c>
      <c r="E68" s="52" t="str">
        <f t="shared" si="16"/>
        <v>D.22-03-011</v>
      </c>
      <c r="F68" s="52" t="str">
        <f t="shared" si="34"/>
        <v>D.22-03-011</v>
      </c>
      <c r="G68" s="52" t="s">
        <v>519</v>
      </c>
      <c r="H68" s="52" t="str">
        <f t="shared" si="36"/>
        <v>n/a</v>
      </c>
      <c r="I68" s="52" t="str">
        <f t="shared" si="35"/>
        <v>n/a</v>
      </c>
      <c r="J68" s="52" t="str">
        <f t="shared" si="37"/>
        <v>n/a</v>
      </c>
      <c r="K68" s="52" t="str">
        <f t="shared" si="14"/>
        <v>n/a</v>
      </c>
      <c r="L68" s="294">
        <v>332441.197573137</v>
      </c>
      <c r="M68" s="295">
        <f t="shared" si="38"/>
        <v>332441.197573137</v>
      </c>
      <c r="N68" s="173"/>
      <c r="O68" s="173"/>
      <c r="P68" s="173"/>
      <c r="Q68" s="173"/>
      <c r="R68" s="173">
        <f t="shared" si="8"/>
        <v>0</v>
      </c>
      <c r="S68" s="173">
        <f t="shared" si="32"/>
        <v>0</v>
      </c>
      <c r="T68" s="173">
        <f t="shared" si="41"/>
        <v>0</v>
      </c>
      <c r="U68" s="173">
        <f t="shared" si="40"/>
        <v>0</v>
      </c>
      <c r="V68" t="s">
        <v>328</v>
      </c>
      <c r="W68" t="str">
        <f t="shared" si="39"/>
        <v>N</v>
      </c>
    </row>
    <row r="69" spans="1:23">
      <c r="A69" t="s">
        <v>407</v>
      </c>
      <c r="B69" s="52" t="s">
        <v>410</v>
      </c>
      <c r="C69" s="52" t="str">
        <f>B69</f>
        <v>AL 4579-G/6513-E</v>
      </c>
      <c r="D69" s="52"/>
      <c r="E69" s="52"/>
      <c r="F69" s="52"/>
      <c r="G69" s="52" t="s">
        <v>519</v>
      </c>
      <c r="H69" s="52" t="str">
        <f t="shared" si="36"/>
        <v>n/a</v>
      </c>
      <c r="I69" s="52" t="str">
        <f t="shared" si="35"/>
        <v>n/a</v>
      </c>
      <c r="J69" s="52" t="str">
        <f t="shared" si="37"/>
        <v>n/a</v>
      </c>
      <c r="K69" s="52" t="str">
        <f t="shared" si="14"/>
        <v>n/a</v>
      </c>
      <c r="L69" s="295">
        <v>130447.42</v>
      </c>
      <c r="M69" s="295">
        <f t="shared" si="38"/>
        <v>130447.42</v>
      </c>
      <c r="N69" s="173"/>
      <c r="O69" s="173"/>
      <c r="P69" s="173"/>
      <c r="Q69" s="173"/>
      <c r="R69" s="173">
        <f t="shared" si="8"/>
        <v>0</v>
      </c>
      <c r="S69" s="173">
        <f t="shared" si="32"/>
        <v>0</v>
      </c>
      <c r="T69" s="173">
        <f t="shared" si="41"/>
        <v>0</v>
      </c>
      <c r="U69" s="173">
        <f t="shared" si="40"/>
        <v>0</v>
      </c>
      <c r="V69" t="s">
        <v>6</v>
      </c>
      <c r="W69" t="str">
        <f t="shared" si="39"/>
        <v>N</v>
      </c>
    </row>
    <row r="70" spans="1:23">
      <c r="A70" t="s">
        <v>414</v>
      </c>
      <c r="C70" s="52"/>
      <c r="D70" s="52"/>
      <c r="E70" s="52" t="s">
        <v>415</v>
      </c>
      <c r="F70" s="52" t="str">
        <f>E70</f>
        <v>D.23-06-004</v>
      </c>
      <c r="G70" t="s">
        <v>415</v>
      </c>
      <c r="H70" s="52" t="str">
        <f t="shared" si="36"/>
        <v>D.23-06-004</v>
      </c>
      <c r="I70" s="52" t="str">
        <f t="shared" si="35"/>
        <v>D.23-06-004</v>
      </c>
      <c r="J70" s="52" t="str">
        <f t="shared" si="37"/>
        <v>D.23-06-004</v>
      </c>
      <c r="K70" s="52" t="str">
        <f t="shared" si="14"/>
        <v>D.23-06-004</v>
      </c>
      <c r="L70" s="294"/>
      <c r="M70" s="295"/>
      <c r="N70" s="295"/>
      <c r="O70" s="173">
        <v>1104107</v>
      </c>
      <c r="P70" s="173">
        <f t="shared" si="7"/>
        <v>1104107</v>
      </c>
      <c r="Q70" s="52">
        <v>761676.98907229223</v>
      </c>
      <c r="R70" s="173">
        <f t="shared" si="8"/>
        <v>761676.98907229223</v>
      </c>
      <c r="S70" s="173">
        <f t="shared" si="32"/>
        <v>761676.98907229223</v>
      </c>
      <c r="T70" s="173">
        <v>0</v>
      </c>
      <c r="U70" s="173">
        <f>T70</f>
        <v>0</v>
      </c>
      <c r="V70" t="s">
        <v>328</v>
      </c>
      <c r="W70" t="str">
        <f t="shared" si="39"/>
        <v>N</v>
      </c>
    </row>
    <row r="71" spans="1:23">
      <c r="A71" t="s">
        <v>414</v>
      </c>
      <c r="C71" s="52"/>
      <c r="D71" s="52"/>
      <c r="E71" s="52"/>
      <c r="F71" s="52"/>
      <c r="G71" t="s">
        <v>415</v>
      </c>
      <c r="H71" s="52" t="str">
        <f t="shared" si="36"/>
        <v>D.23-06-004</v>
      </c>
      <c r="I71" s="52" t="str">
        <f t="shared" si="35"/>
        <v>D.23-06-004</v>
      </c>
      <c r="J71" s="52" t="str">
        <f t="shared" si="37"/>
        <v>D.23-06-004</v>
      </c>
      <c r="K71" s="52" t="str">
        <f t="shared" si="14"/>
        <v>D.23-06-004</v>
      </c>
      <c r="L71" s="294"/>
      <c r="M71" s="295"/>
      <c r="N71" s="295"/>
      <c r="O71" s="173"/>
      <c r="P71" s="173"/>
      <c r="Q71" s="52">
        <v>342430.01092770777</v>
      </c>
      <c r="R71" s="173">
        <f t="shared" si="8"/>
        <v>342430.01092770777</v>
      </c>
      <c r="S71" s="173">
        <f t="shared" si="32"/>
        <v>342430.01092770777</v>
      </c>
      <c r="T71" s="173">
        <v>0</v>
      </c>
      <c r="U71" s="173">
        <f t="shared" si="40"/>
        <v>0</v>
      </c>
      <c r="V71" t="s">
        <v>6</v>
      </c>
      <c r="W71" t="str">
        <f t="shared" si="39"/>
        <v>N</v>
      </c>
    </row>
    <row r="72" spans="1:23">
      <c r="A72" t="s">
        <v>425</v>
      </c>
      <c r="C72" s="52"/>
      <c r="D72" s="52"/>
      <c r="E72" s="52"/>
      <c r="F72" s="52" t="s">
        <v>423</v>
      </c>
      <c r="G72" t="s">
        <v>423</v>
      </c>
      <c r="H72" s="52" t="str">
        <f t="shared" si="36"/>
        <v>D.23-08-027</v>
      </c>
      <c r="I72" s="52" t="str">
        <f t="shared" si="35"/>
        <v>D.23-08-027</v>
      </c>
      <c r="J72" s="52" t="str">
        <f t="shared" si="37"/>
        <v>D.23-08-027</v>
      </c>
      <c r="K72" s="52" t="str">
        <f t="shared" si="14"/>
        <v>D.23-08-027</v>
      </c>
      <c r="L72" s="294"/>
      <c r="M72" s="295"/>
      <c r="N72" s="295"/>
      <c r="O72" s="295"/>
      <c r="P72" s="173">
        <v>363477.47965188074</v>
      </c>
      <c r="Q72" s="52">
        <v>347680.94515622273</v>
      </c>
      <c r="R72" s="173">
        <f t="shared" si="8"/>
        <v>347680.94515622273</v>
      </c>
      <c r="S72" s="173">
        <f t="shared" si="32"/>
        <v>347680.94515622273</v>
      </c>
      <c r="T72" s="173">
        <f t="shared" si="41"/>
        <v>347680.94515622273</v>
      </c>
      <c r="U72" s="173">
        <f t="shared" si="40"/>
        <v>347680.94515622273</v>
      </c>
      <c r="V72" t="s">
        <v>328</v>
      </c>
      <c r="W72" t="str">
        <f t="shared" si="39"/>
        <v>N</v>
      </c>
    </row>
    <row r="73" spans="1:23">
      <c r="A73" t="s">
        <v>425</v>
      </c>
      <c r="C73" s="52"/>
      <c r="D73" s="52"/>
      <c r="E73" s="52"/>
      <c r="F73" s="52"/>
      <c r="G73" t="s">
        <v>423</v>
      </c>
      <c r="H73" s="52" t="str">
        <f t="shared" si="36"/>
        <v>D.23-08-027</v>
      </c>
      <c r="I73" s="52" t="str">
        <f t="shared" si="35"/>
        <v>D.23-08-027</v>
      </c>
      <c r="J73" s="52" t="str">
        <f t="shared" si="37"/>
        <v>D.23-08-027</v>
      </c>
      <c r="K73" s="52" t="str">
        <f t="shared" si="14"/>
        <v>D.23-08-027</v>
      </c>
      <c r="L73" s="294"/>
      <c r="M73" s="295"/>
      <c r="N73" s="295"/>
      <c r="O73" s="295"/>
      <c r="P73" s="173"/>
      <c r="Q73" s="52">
        <v>15954.283721827203</v>
      </c>
      <c r="R73" s="173">
        <f t="shared" si="8"/>
        <v>15954.283721827203</v>
      </c>
      <c r="S73" s="173">
        <f>R73</f>
        <v>15954.283721827203</v>
      </c>
      <c r="T73" s="173">
        <f>S73</f>
        <v>15954.283721827203</v>
      </c>
      <c r="U73" s="173">
        <f t="shared" si="40"/>
        <v>15954.283721827203</v>
      </c>
      <c r="V73" t="s">
        <v>6</v>
      </c>
      <c r="W73" t="str">
        <f t="shared" si="39"/>
        <v>N</v>
      </c>
    </row>
    <row r="74" spans="1:23">
      <c r="C74" s="52"/>
      <c r="D74" s="52"/>
      <c r="E74" s="52"/>
      <c r="F74" s="52"/>
      <c r="H74" s="52"/>
      <c r="I74" s="52"/>
      <c r="J74" s="52"/>
      <c r="K74" s="52"/>
      <c r="L74" s="295"/>
      <c r="M74" s="295"/>
      <c r="N74" s="295"/>
      <c r="O74" s="173"/>
      <c r="P74" s="173"/>
      <c r="Q74" s="173"/>
      <c r="R74" s="173"/>
      <c r="S74" s="173"/>
      <c r="T74" s="294"/>
      <c r="U74"/>
    </row>
    <row r="75" spans="1:23">
      <c r="C75" s="52"/>
      <c r="D75" s="52"/>
      <c r="E75" s="52"/>
      <c r="F75" s="52"/>
      <c r="H75" s="52"/>
      <c r="I75" s="52"/>
      <c r="J75" s="52"/>
      <c r="K75" s="52"/>
      <c r="L75" s="295"/>
      <c r="M75" s="295"/>
      <c r="N75" s="295"/>
      <c r="O75" s="173"/>
      <c r="P75" s="173"/>
      <c r="Q75" s="173"/>
      <c r="R75" s="173"/>
      <c r="S75" s="173"/>
      <c r="T75" s="294"/>
      <c r="U75"/>
    </row>
    <row r="76" spans="1:23">
      <c r="A76" s="285" t="s">
        <v>7</v>
      </c>
      <c r="C76" s="52"/>
      <c r="D76" s="52"/>
      <c r="E76" s="52"/>
      <c r="F76" s="52"/>
      <c r="G76" s="52"/>
      <c r="H76" s="52"/>
      <c r="I76" s="52"/>
      <c r="J76" s="52"/>
      <c r="K76" s="52"/>
      <c r="L76" s="296">
        <f>SUM(L9:L69)</f>
        <v>7232201.303431157</v>
      </c>
      <c r="M76" s="296">
        <f>SUM(M9:M69)</f>
        <v>7896687.7258958109</v>
      </c>
      <c r="N76" s="296">
        <f>SUM(N9:N69)</f>
        <v>7473554.7356996732</v>
      </c>
      <c r="O76" s="296">
        <f>SUM(O9:O70)</f>
        <v>8664714.6531946734</v>
      </c>
      <c r="P76" s="296">
        <f t="shared" ref="P76:U76" si="42">SUM(P9:P73)</f>
        <v>9028192.1328465547</v>
      </c>
      <c r="Q76" s="296">
        <f t="shared" si="42"/>
        <v>17595461.767241172</v>
      </c>
      <c r="R76" s="296">
        <f t="shared" si="42"/>
        <v>17772829.89947056</v>
      </c>
      <c r="S76" s="296">
        <f t="shared" si="42"/>
        <v>18187390.900534324</v>
      </c>
      <c r="T76" s="296">
        <f t="shared" si="42"/>
        <v>16517276.636872072</v>
      </c>
      <c r="U76" s="296">
        <f t="shared" si="42"/>
        <v>16692630.254898956</v>
      </c>
      <c r="V76" s="178"/>
    </row>
    <row r="77" spans="1:23">
      <c r="C77" s="52"/>
      <c r="D77" s="52"/>
      <c r="E77" s="52"/>
      <c r="F77" s="52"/>
      <c r="G77" s="52"/>
      <c r="H77" s="52"/>
      <c r="I77" s="52"/>
      <c r="J77" s="52"/>
      <c r="K77" s="52"/>
      <c r="L77" s="294"/>
      <c r="M77" s="295"/>
      <c r="N77" s="173"/>
      <c r="O77" s="173"/>
      <c r="P77" s="173"/>
      <c r="Q77" s="173"/>
      <c r="R77" s="173"/>
      <c r="S77" s="173"/>
      <c r="T77" s="173"/>
      <c r="U77" s="173"/>
    </row>
    <row r="78" spans="1:23" ht="15" customHeight="1">
      <c r="A78" s="285" t="s">
        <v>8</v>
      </c>
      <c r="C78" s="52"/>
      <c r="D78" s="52"/>
      <c r="E78" s="52"/>
      <c r="F78" s="52"/>
      <c r="G78" s="52"/>
      <c r="H78" s="52"/>
      <c r="I78" s="52"/>
      <c r="J78" s="52"/>
      <c r="K78" s="52"/>
      <c r="L78" s="294"/>
      <c r="M78" s="295"/>
      <c r="N78" s="173"/>
      <c r="O78" s="173"/>
      <c r="P78" s="173"/>
      <c r="Q78" s="173"/>
      <c r="R78" s="173"/>
      <c r="S78" s="173"/>
      <c r="T78" s="173"/>
      <c r="U78" s="173"/>
    </row>
    <row r="79" spans="1:23">
      <c r="A79" t="s">
        <v>76</v>
      </c>
      <c r="B79" t="s">
        <v>360</v>
      </c>
      <c r="C79" s="52" t="str">
        <f t="shared" ref="C79:C98" si="43">B79</f>
        <v>D.22-12-044</v>
      </c>
      <c r="D79" s="52" t="str">
        <f t="shared" ref="D79:D100" si="44">C79</f>
        <v>D.22-12-044</v>
      </c>
      <c r="E79" s="52" t="str">
        <f t="shared" si="16"/>
        <v>D.22-12-044</v>
      </c>
      <c r="F79" s="52" t="str">
        <f t="shared" ref="F79:F130" si="45">E79</f>
        <v>D.22-12-044</v>
      </c>
      <c r="G79" s="52" t="s">
        <v>506</v>
      </c>
      <c r="H79" s="52" t="str">
        <f t="shared" si="36"/>
        <v>D.23-12-022</v>
      </c>
      <c r="I79" s="52" t="str">
        <f t="shared" ref="I79:I102" si="46">H79</f>
        <v>D.23-12-022</v>
      </c>
      <c r="J79" s="52" t="str">
        <f>I79</f>
        <v>D.23-12-022</v>
      </c>
      <c r="K79" s="52" t="str">
        <f>J79</f>
        <v>D.23-12-022</v>
      </c>
      <c r="L79" s="294">
        <v>-491405.31559989386</v>
      </c>
      <c r="M79" s="173">
        <f>L79</f>
        <v>-491405.31559989386</v>
      </c>
      <c r="N79" s="173">
        <v>-490991.29997716483</v>
      </c>
      <c r="O79" s="173">
        <f t="shared" si="6"/>
        <v>-490991.29997716483</v>
      </c>
      <c r="P79" s="173">
        <f t="shared" ref="P79:P130" si="47">O79</f>
        <v>-490991.29997716483</v>
      </c>
      <c r="Q79" s="173">
        <v>-689321.08387833403</v>
      </c>
      <c r="R79" s="173">
        <f t="shared" ref="R79:R121" si="48">Q79</f>
        <v>-689321.08387833403</v>
      </c>
      <c r="S79" s="173">
        <f>R79</f>
        <v>-689321.08387833403</v>
      </c>
      <c r="T79" s="173">
        <f>S79</f>
        <v>-689321.08387833403</v>
      </c>
      <c r="U79" s="173">
        <f>T79</f>
        <v>-689321.08387833403</v>
      </c>
      <c r="V79" s="297" t="s">
        <v>140</v>
      </c>
      <c r="W79" t="s">
        <v>164</v>
      </c>
    </row>
    <row r="80" spans="1:23">
      <c r="A80" t="s">
        <v>75</v>
      </c>
      <c r="B80" t="s">
        <v>303</v>
      </c>
      <c r="C80" s="52" t="str">
        <f t="shared" si="43"/>
        <v>D.20-01-021, AL 5857-E</v>
      </c>
      <c r="D80" s="52" t="str">
        <f t="shared" si="44"/>
        <v>D.20-01-021, AL 5857-E</v>
      </c>
      <c r="E80" s="52" t="str">
        <f t="shared" si="16"/>
        <v>D.20-01-021, AL 5857-E</v>
      </c>
      <c r="F80" s="52" t="str">
        <f t="shared" si="45"/>
        <v>D.20-01-021, AL 5857-E</v>
      </c>
      <c r="G80" s="52" t="s">
        <v>303</v>
      </c>
      <c r="H80" s="52" t="str">
        <f t="shared" si="36"/>
        <v>D.20-01-021, AL 5857-E</v>
      </c>
      <c r="I80" s="52" t="str">
        <f t="shared" si="46"/>
        <v>D.20-01-021, AL 5857-E</v>
      </c>
      <c r="J80" s="52" t="str">
        <f t="shared" ref="J80:J121" si="49">I80</f>
        <v>D.20-01-021, AL 5857-E</v>
      </c>
      <c r="K80" s="52" t="str">
        <f t="shared" ref="K80:K120" si="50">J80</f>
        <v>D.20-01-021, AL 5857-E</v>
      </c>
      <c r="L80" s="294">
        <v>59895.444075240004</v>
      </c>
      <c r="M80" s="173">
        <f>L80</f>
        <v>59895.444075240004</v>
      </c>
      <c r="N80" s="173">
        <f t="shared" ref="N80:O130" si="51">M80</f>
        <v>59895.444075240004</v>
      </c>
      <c r="O80" s="173">
        <f t="shared" si="51"/>
        <v>59895.444075240004</v>
      </c>
      <c r="P80" s="173">
        <f t="shared" si="47"/>
        <v>59895.444075240004</v>
      </c>
      <c r="Q80" s="173">
        <v>59877.176383845785</v>
      </c>
      <c r="R80" s="173">
        <f t="shared" si="48"/>
        <v>59877.176383845785</v>
      </c>
      <c r="S80" s="173">
        <f t="shared" ref="S80:S101" si="52">R80</f>
        <v>59877.176383845785</v>
      </c>
      <c r="T80" s="173">
        <f t="shared" ref="T80:T121" si="53">S80</f>
        <v>59877.176383845785</v>
      </c>
      <c r="U80" s="173">
        <f t="shared" ref="U80:U122" si="54">T80</f>
        <v>59877.176383845785</v>
      </c>
      <c r="V80" t="s">
        <v>16</v>
      </c>
      <c r="W80" t="str">
        <f t="shared" ref="W80:W121" si="55">IF(RIGHT(A80,1)="*","Y","N")</f>
        <v>N</v>
      </c>
    </row>
    <row r="81" spans="1:23">
      <c r="A81" t="s">
        <v>349</v>
      </c>
      <c r="B81" t="s">
        <v>366</v>
      </c>
      <c r="C81" s="52" t="str">
        <f t="shared" si="43"/>
        <v>D.21-08-006, AL 5857-E</v>
      </c>
      <c r="D81" s="52" t="str">
        <f t="shared" si="44"/>
        <v>D.21-08-006, AL 5857-E</v>
      </c>
      <c r="E81" s="52" t="str">
        <f t="shared" si="16"/>
        <v>D.21-08-006, AL 5857-E</v>
      </c>
      <c r="F81" s="52" t="str">
        <f t="shared" si="45"/>
        <v>D.21-08-006, AL 5857-E</v>
      </c>
      <c r="G81" s="52" t="s">
        <v>519</v>
      </c>
      <c r="H81" s="52" t="str">
        <f t="shared" si="36"/>
        <v>n/a</v>
      </c>
      <c r="I81" s="52" t="str">
        <f t="shared" si="46"/>
        <v>n/a</v>
      </c>
      <c r="J81" s="52" t="str">
        <f t="shared" si="49"/>
        <v>n/a</v>
      </c>
      <c r="K81" s="52" t="str">
        <f t="shared" si="50"/>
        <v>n/a</v>
      </c>
      <c r="L81" s="294">
        <v>17692.879493771157</v>
      </c>
      <c r="M81" s="173">
        <f>L81</f>
        <v>17692.879493771157</v>
      </c>
      <c r="N81" s="173">
        <f t="shared" si="51"/>
        <v>17692.879493771157</v>
      </c>
      <c r="O81" s="173">
        <f t="shared" si="51"/>
        <v>17692.879493771157</v>
      </c>
      <c r="P81" s="173">
        <f t="shared" si="47"/>
        <v>17692.879493771157</v>
      </c>
      <c r="Q81" s="173">
        <v>0</v>
      </c>
      <c r="R81" s="173">
        <f t="shared" si="48"/>
        <v>0</v>
      </c>
      <c r="S81" s="173">
        <f t="shared" si="52"/>
        <v>0</v>
      </c>
      <c r="T81" s="173">
        <f t="shared" si="53"/>
        <v>0</v>
      </c>
      <c r="U81" s="173">
        <f t="shared" si="54"/>
        <v>0</v>
      </c>
      <c r="V81" t="s">
        <v>16</v>
      </c>
      <c r="W81" t="str">
        <f t="shared" si="55"/>
        <v>N</v>
      </c>
    </row>
    <row r="82" spans="1:23">
      <c r="A82" t="s">
        <v>79</v>
      </c>
      <c r="B82" t="s">
        <v>223</v>
      </c>
      <c r="C82" s="52" t="str">
        <f t="shared" si="43"/>
        <v>Res. M-4841</v>
      </c>
      <c r="D82" s="52" t="str">
        <f t="shared" si="44"/>
        <v>Res. M-4841</v>
      </c>
      <c r="E82" s="52" t="str">
        <f>D82</f>
        <v>Res. M-4841</v>
      </c>
      <c r="F82" s="52" t="str">
        <f t="shared" si="45"/>
        <v>Res. M-4841</v>
      </c>
      <c r="G82" s="52" t="s">
        <v>494</v>
      </c>
      <c r="H82" s="52" t="str">
        <f t="shared" si="36"/>
        <v>Res. M-4870</v>
      </c>
      <c r="I82" s="52" t="str">
        <f t="shared" si="46"/>
        <v>Res. M-4870</v>
      </c>
      <c r="J82" s="52" t="str">
        <f t="shared" si="49"/>
        <v>Res. M-4870</v>
      </c>
      <c r="K82" s="52" t="str">
        <f t="shared" si="50"/>
        <v>Res. M-4870</v>
      </c>
      <c r="L82" s="294">
        <v>104841.7857923392</v>
      </c>
      <c r="M82" s="173">
        <f>L82</f>
        <v>104841.7857923392</v>
      </c>
      <c r="N82" s="173">
        <f t="shared" si="51"/>
        <v>104841.7857923392</v>
      </c>
      <c r="O82" s="173">
        <f t="shared" si="51"/>
        <v>104841.7857923392</v>
      </c>
      <c r="P82" s="173">
        <f t="shared" si="47"/>
        <v>104841.7857923392</v>
      </c>
      <c r="Q82" s="173">
        <v>79240.989000000001</v>
      </c>
      <c r="R82" s="173">
        <f t="shared" si="48"/>
        <v>79240.989000000001</v>
      </c>
      <c r="S82" s="173">
        <f t="shared" si="52"/>
        <v>79240.989000000001</v>
      </c>
      <c r="T82" s="173">
        <f t="shared" si="53"/>
        <v>79240.989000000001</v>
      </c>
      <c r="U82" s="173">
        <f t="shared" si="54"/>
        <v>79240.989000000001</v>
      </c>
      <c r="V82" t="s">
        <v>6</v>
      </c>
      <c r="W82" t="str">
        <f t="shared" si="55"/>
        <v>N</v>
      </c>
    </row>
    <row r="83" spans="1:23">
      <c r="A83" t="s">
        <v>108</v>
      </c>
      <c r="B83" t="s">
        <v>132</v>
      </c>
      <c r="C83" s="52" t="str">
        <f t="shared" si="43"/>
        <v>Preliminary Statement  HH</v>
      </c>
      <c r="D83" s="52" t="str">
        <f t="shared" si="44"/>
        <v>Preliminary Statement  HH</v>
      </c>
      <c r="E83" s="52" t="str">
        <f t="shared" ref="E83:E130" si="56">D83</f>
        <v>Preliminary Statement  HH</v>
      </c>
      <c r="F83" s="52" t="str">
        <f t="shared" si="45"/>
        <v>Preliminary Statement  HH</v>
      </c>
      <c r="G83" s="52" t="s">
        <v>521</v>
      </c>
      <c r="H83" s="52" t="str">
        <f t="shared" si="36"/>
        <v>Electric Preliminary Statement Part HH</v>
      </c>
      <c r="I83" s="52" t="str">
        <f t="shared" si="46"/>
        <v>Electric Preliminary Statement Part HH</v>
      </c>
      <c r="J83" s="52" t="str">
        <f t="shared" si="49"/>
        <v>Electric Preliminary Statement Part HH</v>
      </c>
      <c r="K83" s="52" t="str">
        <f t="shared" si="50"/>
        <v>Electric Preliminary Statement Part HH</v>
      </c>
      <c r="L83" s="294">
        <v>-26964.009132058392</v>
      </c>
      <c r="M83" s="173">
        <f t="shared" ref="M83:M94" si="57">L83</f>
        <v>-26964.009132058392</v>
      </c>
      <c r="N83" s="173">
        <f t="shared" si="51"/>
        <v>-26964.009132058392</v>
      </c>
      <c r="O83" s="173">
        <f t="shared" si="51"/>
        <v>-26964.009132058392</v>
      </c>
      <c r="P83" s="173">
        <f t="shared" si="47"/>
        <v>-26964.009132058392</v>
      </c>
      <c r="Q83" s="173">
        <v>-29079.797719368577</v>
      </c>
      <c r="R83" s="173">
        <f t="shared" si="48"/>
        <v>-29079.797719368577</v>
      </c>
      <c r="S83" s="173">
        <f t="shared" si="52"/>
        <v>-29079.797719368577</v>
      </c>
      <c r="T83" s="173">
        <v>-29079.797719368577</v>
      </c>
      <c r="U83" s="173">
        <f t="shared" si="54"/>
        <v>-29079.797719368577</v>
      </c>
      <c r="V83" t="s">
        <v>6</v>
      </c>
      <c r="W83" t="str">
        <f t="shared" si="55"/>
        <v>Y</v>
      </c>
    </row>
    <row r="84" spans="1:23">
      <c r="A84" s="52" t="s">
        <v>77</v>
      </c>
      <c r="B84" t="s">
        <v>304</v>
      </c>
      <c r="C84" s="52" t="str">
        <f t="shared" si="43"/>
        <v>D.18-01-024, AL 5222-E</v>
      </c>
      <c r="D84" s="52" t="str">
        <f t="shared" si="44"/>
        <v>D.18-01-024, AL 5222-E</v>
      </c>
      <c r="E84" s="52" t="str">
        <f t="shared" si="56"/>
        <v>D.18-01-024, AL 5222-E</v>
      </c>
      <c r="F84" s="52" t="str">
        <f t="shared" si="45"/>
        <v>D.18-01-024, AL 5222-E</v>
      </c>
      <c r="G84" s="52" t="s">
        <v>520</v>
      </c>
      <c r="H84" s="52" t="str">
        <f t="shared" si="36"/>
        <v>D.18-05-040, D.19-11-017, D.19-09-006, D.20-12-029, D.22-08-024</v>
      </c>
      <c r="I84" s="52" t="str">
        <f t="shared" si="46"/>
        <v>D.18-05-040, D.19-11-017, D.19-09-006, D.20-12-029, D.22-08-024</v>
      </c>
      <c r="J84" s="52" t="str">
        <f t="shared" si="49"/>
        <v>D.18-05-040, D.19-11-017, D.19-09-006, D.20-12-029, D.22-08-024</v>
      </c>
      <c r="K84" s="52" t="str">
        <f t="shared" si="50"/>
        <v>D.18-05-040, D.19-11-017, D.19-09-006, D.20-12-029, D.22-08-024</v>
      </c>
      <c r="L84" s="294">
        <v>41150.122885676996</v>
      </c>
      <c r="M84" s="173">
        <f t="shared" si="57"/>
        <v>41150.122885676996</v>
      </c>
      <c r="N84" s="173">
        <f t="shared" si="51"/>
        <v>41150.122885676996</v>
      </c>
      <c r="O84" s="173">
        <f t="shared" si="51"/>
        <v>41150.122885676996</v>
      </c>
      <c r="P84" s="173">
        <f t="shared" si="47"/>
        <v>41150.122885676996</v>
      </c>
      <c r="Q84" s="173">
        <v>47917.91</v>
      </c>
      <c r="R84" s="173">
        <f t="shared" si="48"/>
        <v>47917.91</v>
      </c>
      <c r="S84" s="173">
        <f t="shared" si="52"/>
        <v>47917.91</v>
      </c>
      <c r="T84" s="173">
        <v>47917.91</v>
      </c>
      <c r="U84" s="173">
        <f t="shared" si="54"/>
        <v>47917.91</v>
      </c>
      <c r="V84" t="s">
        <v>6</v>
      </c>
      <c r="W84" t="str">
        <f t="shared" si="55"/>
        <v>N</v>
      </c>
    </row>
    <row r="85" spans="1:23">
      <c r="A85" t="s">
        <v>531</v>
      </c>
      <c r="B85" t="s">
        <v>124</v>
      </c>
      <c r="C85" s="52" t="str">
        <f t="shared" si="43"/>
        <v>Preliminary Statement  P</v>
      </c>
      <c r="D85" s="52" t="str">
        <f t="shared" si="44"/>
        <v>Preliminary Statement  P</v>
      </c>
      <c r="E85" s="52" t="str">
        <f t="shared" si="56"/>
        <v>Preliminary Statement  P</v>
      </c>
      <c r="F85" s="52" t="str">
        <f t="shared" si="45"/>
        <v>Preliminary Statement  P</v>
      </c>
      <c r="G85" s="52" t="s">
        <v>522</v>
      </c>
      <c r="H85" s="52" t="str">
        <f t="shared" si="36"/>
        <v>Electric Preliminary Statement Part P</v>
      </c>
      <c r="I85" s="52" t="str">
        <f t="shared" si="46"/>
        <v>Electric Preliminary Statement Part P</v>
      </c>
      <c r="J85" s="52" t="str">
        <f t="shared" si="49"/>
        <v>Electric Preliminary Statement Part P</v>
      </c>
      <c r="K85" s="52" t="str">
        <f t="shared" si="50"/>
        <v>Electric Preliminary Statement Part P</v>
      </c>
      <c r="L85" s="294">
        <v>697.84806011474552</v>
      </c>
      <c r="M85" s="173">
        <f t="shared" si="57"/>
        <v>697.84806011474552</v>
      </c>
      <c r="N85" s="173">
        <f t="shared" si="51"/>
        <v>697.84806011474552</v>
      </c>
      <c r="O85" s="173">
        <f t="shared" si="51"/>
        <v>697.84806011474552</v>
      </c>
      <c r="P85" s="173">
        <f t="shared" si="47"/>
        <v>697.84806011474552</v>
      </c>
      <c r="Q85" s="173">
        <v>-46.218309490625607</v>
      </c>
      <c r="R85" s="173">
        <f t="shared" si="48"/>
        <v>-46.218309490625607</v>
      </c>
      <c r="S85" s="173">
        <f t="shared" si="52"/>
        <v>-46.218309490625607</v>
      </c>
      <c r="T85" s="173">
        <f t="shared" si="53"/>
        <v>-46.218309490625607</v>
      </c>
      <c r="U85" s="173">
        <f t="shared" si="54"/>
        <v>-46.218309490625607</v>
      </c>
      <c r="V85" t="s">
        <v>16</v>
      </c>
      <c r="W85" t="str">
        <f t="shared" si="55"/>
        <v>Y</v>
      </c>
    </row>
    <row r="86" spans="1:23">
      <c r="A86" s="52" t="s">
        <v>84</v>
      </c>
      <c r="B86" t="s">
        <v>224</v>
      </c>
      <c r="C86" s="52" t="str">
        <f t="shared" si="43"/>
        <v>D.20-12-005</v>
      </c>
      <c r="D86" s="52" t="str">
        <f t="shared" si="44"/>
        <v>D.20-12-005</v>
      </c>
      <c r="E86" s="52" t="str">
        <f t="shared" si="56"/>
        <v>D.20-12-005</v>
      </c>
      <c r="F86" s="52" t="str">
        <f t="shared" si="45"/>
        <v>D.20-12-005</v>
      </c>
      <c r="G86" s="52" t="s">
        <v>519</v>
      </c>
      <c r="H86" s="52" t="str">
        <f t="shared" si="36"/>
        <v>n/a</v>
      </c>
      <c r="I86" s="52" t="str">
        <f t="shared" si="46"/>
        <v>n/a</v>
      </c>
      <c r="J86" s="52" t="str">
        <f t="shared" si="49"/>
        <v>n/a</v>
      </c>
      <c r="K86" s="52" t="str">
        <f t="shared" si="50"/>
        <v>n/a</v>
      </c>
      <c r="L86" s="294">
        <v>10896</v>
      </c>
      <c r="M86" s="173">
        <f t="shared" si="57"/>
        <v>10896</v>
      </c>
      <c r="N86" s="173">
        <f t="shared" si="51"/>
        <v>10896</v>
      </c>
      <c r="O86" s="173">
        <f t="shared" si="51"/>
        <v>10896</v>
      </c>
      <c r="P86" s="173">
        <f t="shared" si="47"/>
        <v>10896</v>
      </c>
      <c r="Q86" s="173">
        <v>0</v>
      </c>
      <c r="R86" s="173">
        <f t="shared" si="48"/>
        <v>0</v>
      </c>
      <c r="S86" s="173">
        <f t="shared" si="52"/>
        <v>0</v>
      </c>
      <c r="T86" s="173">
        <f t="shared" si="53"/>
        <v>0</v>
      </c>
      <c r="U86" s="173">
        <f t="shared" si="54"/>
        <v>0</v>
      </c>
      <c r="V86" t="s">
        <v>6</v>
      </c>
      <c r="W86" t="str">
        <f t="shared" si="55"/>
        <v>N</v>
      </c>
    </row>
    <row r="87" spans="1:23">
      <c r="A87" t="s">
        <v>85</v>
      </c>
      <c r="B87" t="s">
        <v>367</v>
      </c>
      <c r="C87" s="52" t="str">
        <f t="shared" si="43"/>
        <v>D.22-12-009</v>
      </c>
      <c r="D87" s="52" t="str">
        <f t="shared" si="44"/>
        <v>D.22-12-009</v>
      </c>
      <c r="E87" s="52" t="str">
        <f t="shared" si="56"/>
        <v>D.22-12-009</v>
      </c>
      <c r="F87" s="52" t="str">
        <f t="shared" si="45"/>
        <v>D.22-12-009</v>
      </c>
      <c r="G87" s="52" t="s">
        <v>505</v>
      </c>
      <c r="H87" s="52" t="str">
        <f t="shared" si="36"/>
        <v>D.23-12-005</v>
      </c>
      <c r="I87" s="52" t="str">
        <f t="shared" si="46"/>
        <v>D.23-12-005</v>
      </c>
      <c r="J87" s="52" t="str">
        <f t="shared" si="49"/>
        <v>D.23-12-005</v>
      </c>
      <c r="K87" s="52" t="str">
        <f t="shared" si="50"/>
        <v>D.23-12-005</v>
      </c>
      <c r="L87" s="294">
        <v>68692.216835208004</v>
      </c>
      <c r="M87" s="173">
        <f t="shared" si="57"/>
        <v>68692.216835208004</v>
      </c>
      <c r="N87" s="173">
        <f t="shared" si="51"/>
        <v>68692.216835208004</v>
      </c>
      <c r="O87" s="173">
        <f t="shared" si="51"/>
        <v>68692.216835208004</v>
      </c>
      <c r="P87" s="173">
        <f t="shared" si="47"/>
        <v>68692.216835208004</v>
      </c>
      <c r="Q87" s="173">
        <v>197658.95894499999</v>
      </c>
      <c r="R87" s="173">
        <f t="shared" si="48"/>
        <v>197658.95894499999</v>
      </c>
      <c r="S87" s="173">
        <f t="shared" si="52"/>
        <v>197658.95894499999</v>
      </c>
      <c r="T87" s="173">
        <f t="shared" si="53"/>
        <v>197658.95894499999</v>
      </c>
      <c r="U87" s="173">
        <f t="shared" si="54"/>
        <v>197658.95894499999</v>
      </c>
      <c r="V87" t="s">
        <v>6</v>
      </c>
      <c r="W87" t="str">
        <f t="shared" si="55"/>
        <v>N</v>
      </c>
    </row>
    <row r="88" spans="1:23">
      <c r="A88" s="138" t="s">
        <v>87</v>
      </c>
      <c r="B88" t="s">
        <v>368</v>
      </c>
      <c r="C88" s="52" t="str">
        <f t="shared" si="43"/>
        <v>AL 6385-E-A</v>
      </c>
      <c r="D88" s="52" t="str">
        <f t="shared" si="44"/>
        <v>AL 6385-E-A</v>
      </c>
      <c r="E88" s="52" t="str">
        <f t="shared" si="56"/>
        <v>AL 6385-E-A</v>
      </c>
      <c r="F88" s="52" t="str">
        <f t="shared" si="45"/>
        <v>AL 6385-E-A</v>
      </c>
      <c r="G88" s="52" t="s">
        <v>519</v>
      </c>
      <c r="H88" s="52" t="str">
        <f t="shared" si="36"/>
        <v>n/a</v>
      </c>
      <c r="I88" s="52" t="str">
        <f t="shared" si="46"/>
        <v>n/a</v>
      </c>
      <c r="J88" s="52" t="str">
        <f t="shared" si="49"/>
        <v>n/a</v>
      </c>
      <c r="K88" s="52" t="str">
        <f t="shared" si="50"/>
        <v>n/a</v>
      </c>
      <c r="L88" s="294">
        <v>8086.4879999999994</v>
      </c>
      <c r="M88" s="173">
        <f t="shared" si="57"/>
        <v>8086.4879999999994</v>
      </c>
      <c r="N88" s="173">
        <f t="shared" si="51"/>
        <v>8086.4879999999994</v>
      </c>
      <c r="O88" s="173">
        <f t="shared" si="51"/>
        <v>8086.4879999999994</v>
      </c>
      <c r="P88" s="173">
        <f t="shared" si="47"/>
        <v>8086.4879999999994</v>
      </c>
      <c r="Q88" s="173"/>
      <c r="R88" s="173">
        <f t="shared" si="48"/>
        <v>0</v>
      </c>
      <c r="S88" s="173">
        <f t="shared" si="52"/>
        <v>0</v>
      </c>
      <c r="T88" s="173">
        <f t="shared" si="53"/>
        <v>0</v>
      </c>
      <c r="U88" s="173">
        <f t="shared" si="54"/>
        <v>0</v>
      </c>
      <c r="V88" t="s">
        <v>6</v>
      </c>
      <c r="W88" t="str">
        <f t="shared" si="55"/>
        <v>N</v>
      </c>
    </row>
    <row r="89" spans="1:23">
      <c r="A89" s="138" t="s">
        <v>101</v>
      </c>
      <c r="B89" t="s">
        <v>125</v>
      </c>
      <c r="C89" s="52" t="str">
        <f t="shared" si="43"/>
        <v>Preliminary Statement  DX</v>
      </c>
      <c r="D89" s="52" t="str">
        <f t="shared" si="44"/>
        <v>Preliminary Statement  DX</v>
      </c>
      <c r="E89" s="52" t="str">
        <f t="shared" si="56"/>
        <v>Preliminary Statement  DX</v>
      </c>
      <c r="F89" s="52" t="str">
        <f t="shared" si="45"/>
        <v>Preliminary Statement  DX</v>
      </c>
      <c r="G89" s="52" t="s">
        <v>125</v>
      </c>
      <c r="H89" s="52" t="str">
        <f t="shared" si="36"/>
        <v>Preliminary Statement  DX</v>
      </c>
      <c r="I89" s="52" t="str">
        <f t="shared" si="46"/>
        <v>Preliminary Statement  DX</v>
      </c>
      <c r="J89" s="52" t="str">
        <f t="shared" si="49"/>
        <v>Preliminary Statement  DX</v>
      </c>
      <c r="K89" s="52" t="str">
        <f t="shared" si="50"/>
        <v>Preliminary Statement  DX</v>
      </c>
      <c r="L89" s="294">
        <v>20108.410365644591</v>
      </c>
      <c r="M89" s="173">
        <f t="shared" si="57"/>
        <v>20108.410365644591</v>
      </c>
      <c r="N89" s="173">
        <f t="shared" si="51"/>
        <v>20108.410365644591</v>
      </c>
      <c r="O89" s="173">
        <f t="shared" si="51"/>
        <v>20108.410365644591</v>
      </c>
      <c r="P89" s="173">
        <f t="shared" si="47"/>
        <v>20108.410365644591</v>
      </c>
      <c r="Q89" s="173">
        <v>21093.030379826989</v>
      </c>
      <c r="R89" s="173">
        <f t="shared" si="48"/>
        <v>21093.030379826989</v>
      </c>
      <c r="S89" s="173">
        <f t="shared" si="52"/>
        <v>21093.030379826989</v>
      </c>
      <c r="T89" s="173">
        <f t="shared" si="53"/>
        <v>21093.030379826989</v>
      </c>
      <c r="U89" s="173">
        <f t="shared" si="54"/>
        <v>21093.030379826989</v>
      </c>
      <c r="V89" t="s">
        <v>6</v>
      </c>
      <c r="W89" t="str">
        <f t="shared" si="55"/>
        <v>Y</v>
      </c>
    </row>
    <row r="90" spans="1:23">
      <c r="A90" s="138" t="s">
        <v>102</v>
      </c>
      <c r="B90" t="s">
        <v>126</v>
      </c>
      <c r="C90" s="52" t="str">
        <f t="shared" si="43"/>
        <v>Preliminary Statement  EC</v>
      </c>
      <c r="D90" s="52" t="str">
        <f t="shared" si="44"/>
        <v>Preliminary Statement  EC</v>
      </c>
      <c r="E90" s="52" t="str">
        <f t="shared" si="56"/>
        <v>Preliminary Statement  EC</v>
      </c>
      <c r="F90" s="52" t="str">
        <f t="shared" si="45"/>
        <v>Preliminary Statement  EC</v>
      </c>
      <c r="G90" s="52" t="s">
        <v>126</v>
      </c>
      <c r="H90" s="52" t="str">
        <f t="shared" si="36"/>
        <v>Preliminary Statement  EC</v>
      </c>
      <c r="I90" s="52" t="str">
        <f t="shared" si="46"/>
        <v>Preliminary Statement  EC</v>
      </c>
      <c r="J90" s="52" t="str">
        <f t="shared" si="49"/>
        <v>Preliminary Statement  EC</v>
      </c>
      <c r="K90" s="52" t="str">
        <f t="shared" si="50"/>
        <v>Preliminary Statement  EC</v>
      </c>
      <c r="L90" s="294">
        <v>-15945.060470386963</v>
      </c>
      <c r="M90" s="173">
        <f t="shared" si="57"/>
        <v>-15945.060470386963</v>
      </c>
      <c r="N90" s="173">
        <f t="shared" si="51"/>
        <v>-15945.060470386963</v>
      </c>
      <c r="O90" s="173">
        <f t="shared" si="51"/>
        <v>-15945.060470386963</v>
      </c>
      <c r="P90" s="173">
        <f t="shared" si="47"/>
        <v>-15945.060470386963</v>
      </c>
      <c r="Q90" s="173">
        <v>-24482.493747437147</v>
      </c>
      <c r="R90" s="173">
        <f t="shared" si="48"/>
        <v>-24482.493747437147</v>
      </c>
      <c r="S90" s="173">
        <f t="shared" si="52"/>
        <v>-24482.493747437147</v>
      </c>
      <c r="T90" s="173">
        <f t="shared" si="53"/>
        <v>-24482.493747437147</v>
      </c>
      <c r="U90" s="173">
        <f t="shared" si="54"/>
        <v>-24482.493747437147</v>
      </c>
      <c r="V90" t="s">
        <v>6</v>
      </c>
      <c r="W90" t="str">
        <f t="shared" si="55"/>
        <v>Y</v>
      </c>
    </row>
    <row r="91" spans="1:23">
      <c r="A91" s="138" t="s">
        <v>103</v>
      </c>
      <c r="B91" t="s">
        <v>127</v>
      </c>
      <c r="C91" s="52" t="str">
        <f t="shared" si="43"/>
        <v>Preliminary Statement  GH</v>
      </c>
      <c r="D91" s="52" t="str">
        <f t="shared" si="44"/>
        <v>Preliminary Statement  GH</v>
      </c>
      <c r="E91" s="52" t="str">
        <f t="shared" si="56"/>
        <v>Preliminary Statement  GH</v>
      </c>
      <c r="F91" s="52" t="str">
        <f t="shared" si="45"/>
        <v>Preliminary Statement  GH</v>
      </c>
      <c r="G91" s="52" t="s">
        <v>127</v>
      </c>
      <c r="H91" s="52" t="str">
        <f t="shared" si="36"/>
        <v>Preliminary Statement  GH</v>
      </c>
      <c r="I91" s="52" t="str">
        <f t="shared" si="46"/>
        <v>Preliminary Statement  GH</v>
      </c>
      <c r="J91" s="52" t="str">
        <f t="shared" si="49"/>
        <v>Preliminary Statement  GH</v>
      </c>
      <c r="K91" s="52" t="str">
        <f t="shared" si="50"/>
        <v>Preliminary Statement  GH</v>
      </c>
      <c r="L91" s="294">
        <v>24624.901727473811</v>
      </c>
      <c r="M91" s="173">
        <f t="shared" si="57"/>
        <v>24624.901727473811</v>
      </c>
      <c r="N91" s="173">
        <f t="shared" si="51"/>
        <v>24624.901727473811</v>
      </c>
      <c r="O91" s="173">
        <f t="shared" si="51"/>
        <v>24624.901727473811</v>
      </c>
      <c r="P91" s="173">
        <f t="shared" si="47"/>
        <v>24624.901727473811</v>
      </c>
      <c r="Q91" s="173">
        <v>17475.578426639702</v>
      </c>
      <c r="R91" s="173">
        <f t="shared" si="48"/>
        <v>17475.578426639702</v>
      </c>
      <c r="S91" s="173">
        <f t="shared" si="52"/>
        <v>17475.578426639702</v>
      </c>
      <c r="T91" s="173">
        <f t="shared" si="53"/>
        <v>17475.578426639702</v>
      </c>
      <c r="U91" s="173">
        <f t="shared" si="54"/>
        <v>17475.578426639702</v>
      </c>
      <c r="V91" t="s">
        <v>6</v>
      </c>
      <c r="W91" t="str">
        <f t="shared" si="55"/>
        <v>Y</v>
      </c>
    </row>
    <row r="92" spans="1:23">
      <c r="A92" s="138" t="s">
        <v>104</v>
      </c>
      <c r="B92" t="s">
        <v>128</v>
      </c>
      <c r="C92" s="52" t="str">
        <f t="shared" si="43"/>
        <v>Preliminary Statement  GJ</v>
      </c>
      <c r="D92" s="52" t="str">
        <f t="shared" si="44"/>
        <v>Preliminary Statement  GJ</v>
      </c>
      <c r="E92" s="52" t="str">
        <f t="shared" si="56"/>
        <v>Preliminary Statement  GJ</v>
      </c>
      <c r="F92" s="52" t="str">
        <f t="shared" si="45"/>
        <v>Preliminary Statement  GJ</v>
      </c>
      <c r="G92" s="52" t="s">
        <v>128</v>
      </c>
      <c r="H92" s="52" t="str">
        <f t="shared" si="36"/>
        <v>Preliminary Statement  GJ</v>
      </c>
      <c r="I92" s="52" t="str">
        <f t="shared" si="46"/>
        <v>Preliminary Statement  GJ</v>
      </c>
      <c r="J92" s="52" t="str">
        <f t="shared" si="49"/>
        <v>Preliminary Statement  GJ</v>
      </c>
      <c r="K92" s="52" t="str">
        <f t="shared" si="50"/>
        <v>Preliminary Statement  GJ</v>
      </c>
      <c r="L92" s="294">
        <v>-10376.577946217083</v>
      </c>
      <c r="M92" s="173">
        <f t="shared" si="57"/>
        <v>-10376.577946217083</v>
      </c>
      <c r="N92" s="173">
        <f t="shared" si="51"/>
        <v>-10376.577946217083</v>
      </c>
      <c r="O92" s="173">
        <f t="shared" si="51"/>
        <v>-10376.577946217083</v>
      </c>
      <c r="P92" s="173">
        <f t="shared" si="47"/>
        <v>-10376.577946217083</v>
      </c>
      <c r="Q92" s="173">
        <v>4352.2811917450099</v>
      </c>
      <c r="R92" s="173">
        <f t="shared" si="48"/>
        <v>4352.2811917450099</v>
      </c>
      <c r="S92" s="173">
        <f t="shared" si="52"/>
        <v>4352.2811917450099</v>
      </c>
      <c r="T92" s="173">
        <f t="shared" si="53"/>
        <v>4352.2811917450099</v>
      </c>
      <c r="U92" s="173">
        <f t="shared" si="54"/>
        <v>4352.2811917450099</v>
      </c>
      <c r="V92" t="s">
        <v>6</v>
      </c>
      <c r="W92" t="str">
        <f t="shared" si="55"/>
        <v>Y</v>
      </c>
    </row>
    <row r="93" spans="1:23">
      <c r="A93" s="138" t="s">
        <v>348</v>
      </c>
      <c r="B93" t="s">
        <v>369</v>
      </c>
      <c r="C93" s="52" t="str">
        <f t="shared" si="43"/>
        <v>Preliminary Statement  IT</v>
      </c>
      <c r="D93" s="52" t="str">
        <f t="shared" si="44"/>
        <v>Preliminary Statement  IT</v>
      </c>
      <c r="E93" s="52" t="str">
        <f t="shared" si="56"/>
        <v>Preliminary Statement  IT</v>
      </c>
      <c r="F93" s="52" t="str">
        <f t="shared" si="45"/>
        <v>Preliminary Statement  IT</v>
      </c>
      <c r="G93" s="52" t="s">
        <v>369</v>
      </c>
      <c r="H93" s="52" t="str">
        <f t="shared" si="36"/>
        <v>Preliminary Statement  IT</v>
      </c>
      <c r="I93" s="52" t="str">
        <f t="shared" si="46"/>
        <v>Preliminary Statement  IT</v>
      </c>
      <c r="J93" s="52" t="str">
        <f t="shared" si="49"/>
        <v>Preliminary Statement  IT</v>
      </c>
      <c r="K93" s="52" t="str">
        <f t="shared" si="50"/>
        <v>Preliminary Statement  IT</v>
      </c>
      <c r="L93" s="294">
        <v>97.810439063520008</v>
      </c>
      <c r="M93" s="173">
        <f t="shared" si="57"/>
        <v>97.810439063520008</v>
      </c>
      <c r="N93" s="173">
        <f t="shared" si="51"/>
        <v>97.810439063520008</v>
      </c>
      <c r="O93" s="173">
        <f t="shared" si="51"/>
        <v>97.810439063520008</v>
      </c>
      <c r="P93" s="173">
        <f t="shared" si="47"/>
        <v>97.810439063520008</v>
      </c>
      <c r="Q93" s="173">
        <v>1403.786522239265</v>
      </c>
      <c r="R93" s="173">
        <f t="shared" si="48"/>
        <v>1403.786522239265</v>
      </c>
      <c r="S93" s="173">
        <f t="shared" si="52"/>
        <v>1403.786522239265</v>
      </c>
      <c r="T93" s="173">
        <f t="shared" si="53"/>
        <v>1403.786522239265</v>
      </c>
      <c r="U93" s="173">
        <f t="shared" si="54"/>
        <v>1403.786522239265</v>
      </c>
      <c r="V93" t="s">
        <v>328</v>
      </c>
      <c r="W93" t="str">
        <f t="shared" si="55"/>
        <v>Y</v>
      </c>
    </row>
    <row r="94" spans="1:23">
      <c r="A94" s="138" t="s">
        <v>105</v>
      </c>
      <c r="B94" t="s">
        <v>129</v>
      </c>
      <c r="C94" s="52" t="str">
        <f t="shared" si="43"/>
        <v>Preliminary Statement  FD</v>
      </c>
      <c r="D94" s="52" t="str">
        <f t="shared" si="44"/>
        <v>Preliminary Statement  FD</v>
      </c>
      <c r="E94" s="52" t="str">
        <f t="shared" si="56"/>
        <v>Preliminary Statement  FD</v>
      </c>
      <c r="F94" s="52" t="str">
        <f t="shared" si="45"/>
        <v>Preliminary Statement  FD</v>
      </c>
      <c r="G94" s="52" t="s">
        <v>129</v>
      </c>
      <c r="H94" s="52" t="str">
        <f t="shared" si="36"/>
        <v>Preliminary Statement  FD</v>
      </c>
      <c r="I94" s="52" t="str">
        <f t="shared" si="46"/>
        <v>Preliminary Statement  FD</v>
      </c>
      <c r="J94" s="52" t="str">
        <f t="shared" si="49"/>
        <v>Preliminary Statement  FD</v>
      </c>
      <c r="K94" s="52" t="str">
        <f t="shared" si="50"/>
        <v>Preliminary Statement  FD</v>
      </c>
      <c r="L94" s="294">
        <v>882.46855938750002</v>
      </c>
      <c r="M94" s="173">
        <f t="shared" si="57"/>
        <v>882.46855938750002</v>
      </c>
      <c r="N94" s="173">
        <f t="shared" si="51"/>
        <v>882.46855938750002</v>
      </c>
      <c r="O94" s="173">
        <f t="shared" si="51"/>
        <v>882.46855938750002</v>
      </c>
      <c r="P94" s="173">
        <f t="shared" si="47"/>
        <v>882.46855938750002</v>
      </c>
      <c r="Q94" s="173">
        <v>725.77802834094234</v>
      </c>
      <c r="R94" s="173">
        <f t="shared" si="48"/>
        <v>725.77802834094234</v>
      </c>
      <c r="S94" s="173">
        <f t="shared" si="52"/>
        <v>725.77802834094234</v>
      </c>
      <c r="T94" s="173">
        <f t="shared" si="53"/>
        <v>725.77802834094234</v>
      </c>
      <c r="U94" s="173">
        <f t="shared" si="54"/>
        <v>725.77802834094234</v>
      </c>
      <c r="V94" t="s">
        <v>6</v>
      </c>
      <c r="W94" t="str">
        <f t="shared" si="55"/>
        <v>Y</v>
      </c>
    </row>
    <row r="95" spans="1:23">
      <c r="A95" t="s">
        <v>107</v>
      </c>
      <c r="B95" t="s">
        <v>130</v>
      </c>
      <c r="C95" s="52" t="str">
        <f t="shared" si="43"/>
        <v>Preliminary Statement  DA</v>
      </c>
      <c r="D95" s="52" t="str">
        <f t="shared" si="44"/>
        <v>Preliminary Statement  DA</v>
      </c>
      <c r="E95" s="52" t="str">
        <f t="shared" si="56"/>
        <v>Preliminary Statement  DA</v>
      </c>
      <c r="F95" s="52" t="str">
        <f t="shared" si="45"/>
        <v>Preliminary Statement  DA</v>
      </c>
      <c r="G95" s="52" t="s">
        <v>130</v>
      </c>
      <c r="H95" s="52" t="str">
        <f t="shared" si="36"/>
        <v>Preliminary Statement  DA</v>
      </c>
      <c r="I95" s="52" t="str">
        <f t="shared" si="46"/>
        <v>Preliminary Statement  DA</v>
      </c>
      <c r="J95" s="52" t="str">
        <f t="shared" si="49"/>
        <v>Preliminary Statement  DA</v>
      </c>
      <c r="K95" s="52" t="str">
        <f t="shared" si="50"/>
        <v>Preliminary Statement  DA</v>
      </c>
      <c r="L95" s="294">
        <v>-127119.09295622769</v>
      </c>
      <c r="M95" s="173">
        <f t="shared" ref="M95:M100" si="58">L95</f>
        <v>-127119.09295622769</v>
      </c>
      <c r="N95" s="173">
        <f t="shared" si="51"/>
        <v>-127119.09295622769</v>
      </c>
      <c r="O95" s="173">
        <f t="shared" si="51"/>
        <v>-127119.09295622769</v>
      </c>
      <c r="P95" s="173">
        <f t="shared" si="47"/>
        <v>-127119.09295622769</v>
      </c>
      <c r="Q95" s="173">
        <v>-72626.597559881964</v>
      </c>
      <c r="R95" s="173">
        <f t="shared" si="48"/>
        <v>-72626.597559881964</v>
      </c>
      <c r="S95" s="173">
        <f t="shared" si="52"/>
        <v>-72626.597559881964</v>
      </c>
      <c r="T95" s="173">
        <f t="shared" si="53"/>
        <v>-72626.597559881964</v>
      </c>
      <c r="U95" s="173">
        <f t="shared" si="54"/>
        <v>-72626.597559881964</v>
      </c>
      <c r="V95" t="s">
        <v>16</v>
      </c>
      <c r="W95" t="str">
        <f t="shared" si="55"/>
        <v>Y</v>
      </c>
    </row>
    <row r="96" spans="1:23">
      <c r="A96" t="s">
        <v>78</v>
      </c>
      <c r="B96" t="s">
        <v>305</v>
      </c>
      <c r="C96" s="52" t="str">
        <f t="shared" si="43"/>
        <v>D.21-06-015</v>
      </c>
      <c r="D96" s="52" t="str">
        <f t="shared" si="44"/>
        <v>D.21-06-015</v>
      </c>
      <c r="E96" s="52" t="str">
        <f t="shared" si="56"/>
        <v>D.21-06-015</v>
      </c>
      <c r="F96" s="52" t="str">
        <f t="shared" si="45"/>
        <v>D.21-06-015</v>
      </c>
      <c r="G96" s="52" t="s">
        <v>305</v>
      </c>
      <c r="H96" s="52" t="str">
        <f t="shared" si="36"/>
        <v>D.21-06-015</v>
      </c>
      <c r="I96" s="52" t="str">
        <f t="shared" si="46"/>
        <v>D.21-06-015</v>
      </c>
      <c r="J96" s="52" t="str">
        <f t="shared" si="49"/>
        <v>D.21-06-015</v>
      </c>
      <c r="K96" s="52" t="str">
        <f t="shared" si="50"/>
        <v>D.21-06-015</v>
      </c>
      <c r="L96" s="294">
        <v>11290.03108608</v>
      </c>
      <c r="M96" s="173">
        <f t="shared" si="58"/>
        <v>11290.03108608</v>
      </c>
      <c r="N96" s="173">
        <f t="shared" si="51"/>
        <v>11290.03108608</v>
      </c>
      <c r="O96" s="173">
        <f t="shared" si="51"/>
        <v>11290.03108608</v>
      </c>
      <c r="P96" s="173">
        <f t="shared" si="47"/>
        <v>11290.03108608</v>
      </c>
      <c r="Q96" s="173">
        <v>11256.48</v>
      </c>
      <c r="R96" s="173">
        <f t="shared" si="48"/>
        <v>11256.48</v>
      </c>
      <c r="S96" s="173">
        <f t="shared" si="52"/>
        <v>11256.48</v>
      </c>
      <c r="T96" s="173">
        <f t="shared" si="53"/>
        <v>11256.48</v>
      </c>
      <c r="U96" s="173">
        <f t="shared" si="54"/>
        <v>11256.48</v>
      </c>
      <c r="V96" t="s">
        <v>16</v>
      </c>
      <c r="W96" t="str">
        <f t="shared" si="55"/>
        <v>N</v>
      </c>
    </row>
    <row r="97" spans="1:23">
      <c r="A97" t="s">
        <v>115</v>
      </c>
      <c r="B97" t="s">
        <v>133</v>
      </c>
      <c r="C97" s="52" t="str">
        <f t="shared" si="43"/>
        <v>Preliminary Statement  M</v>
      </c>
      <c r="D97" s="52" t="str">
        <f t="shared" si="44"/>
        <v>Preliminary Statement  M</v>
      </c>
      <c r="E97" s="52" t="str">
        <f t="shared" si="56"/>
        <v>Preliminary Statement  M</v>
      </c>
      <c r="F97" s="52" t="str">
        <f t="shared" si="45"/>
        <v>Preliminary Statement  M</v>
      </c>
      <c r="G97" s="52" t="s">
        <v>133</v>
      </c>
      <c r="H97" s="52" t="str">
        <f t="shared" si="36"/>
        <v>Preliminary Statement  M</v>
      </c>
      <c r="I97" s="52" t="str">
        <f t="shared" si="46"/>
        <v>Preliminary Statement  M</v>
      </c>
      <c r="J97" s="52" t="str">
        <f t="shared" si="49"/>
        <v>Preliminary Statement  M</v>
      </c>
      <c r="K97" s="52" t="str">
        <f t="shared" si="50"/>
        <v>Preliminary Statement  M</v>
      </c>
      <c r="L97" s="294">
        <v>178378.41477791819</v>
      </c>
      <c r="M97" s="173">
        <f t="shared" si="58"/>
        <v>178378.41477791819</v>
      </c>
      <c r="N97" s="173">
        <f t="shared" si="51"/>
        <v>178378.41477791819</v>
      </c>
      <c r="O97" s="173">
        <f t="shared" si="51"/>
        <v>178378.41477791819</v>
      </c>
      <c r="P97" s="173">
        <f t="shared" si="47"/>
        <v>178378.41477791819</v>
      </c>
      <c r="Q97" s="173">
        <v>-23400.689924411905</v>
      </c>
      <c r="R97" s="173">
        <f t="shared" si="48"/>
        <v>-23400.689924411905</v>
      </c>
      <c r="S97" s="173">
        <f t="shared" si="52"/>
        <v>-23400.689924411905</v>
      </c>
      <c r="T97" s="173">
        <f t="shared" si="53"/>
        <v>-23400.689924411905</v>
      </c>
      <c r="U97" s="173">
        <f t="shared" si="54"/>
        <v>-23400.689924411905</v>
      </c>
      <c r="V97" t="s">
        <v>16</v>
      </c>
      <c r="W97" t="str">
        <f t="shared" si="55"/>
        <v>Y</v>
      </c>
    </row>
    <row r="98" spans="1:23">
      <c r="A98" t="s">
        <v>80</v>
      </c>
      <c r="B98" t="s">
        <v>370</v>
      </c>
      <c r="C98" s="52" t="str">
        <f t="shared" si="43"/>
        <v>D.20-08-042</v>
      </c>
      <c r="D98" s="52" t="str">
        <f t="shared" si="44"/>
        <v>D.20-08-042</v>
      </c>
      <c r="E98" s="52" t="str">
        <f t="shared" si="56"/>
        <v>D.20-08-042</v>
      </c>
      <c r="F98" s="52" t="str">
        <f t="shared" si="45"/>
        <v>D.20-08-042</v>
      </c>
      <c r="G98" s="52" t="s">
        <v>370</v>
      </c>
      <c r="H98" s="52" t="str">
        <f t="shared" si="36"/>
        <v>D.20-08-042</v>
      </c>
      <c r="I98" s="52" t="str">
        <f t="shared" si="46"/>
        <v>D.20-08-042</v>
      </c>
      <c r="J98" s="52" t="str">
        <f t="shared" si="49"/>
        <v>D.20-08-042</v>
      </c>
      <c r="K98" s="52" t="str">
        <f t="shared" si="50"/>
        <v>D.20-08-042</v>
      </c>
      <c r="L98" s="294">
        <v>93692.071589999992</v>
      </c>
      <c r="M98" s="173">
        <f t="shared" si="58"/>
        <v>93692.071589999992</v>
      </c>
      <c r="N98" s="173">
        <f t="shared" si="51"/>
        <v>93692.071589999992</v>
      </c>
      <c r="O98" s="173">
        <f t="shared" si="51"/>
        <v>93692.071589999992</v>
      </c>
      <c r="P98" s="173">
        <f t="shared" si="47"/>
        <v>93692.071589999992</v>
      </c>
      <c r="Q98" s="173">
        <v>93732.733949070069</v>
      </c>
      <c r="R98" s="173">
        <f t="shared" si="48"/>
        <v>93732.733949070069</v>
      </c>
      <c r="S98" s="173">
        <f t="shared" si="52"/>
        <v>93732.733949070069</v>
      </c>
      <c r="T98" s="173">
        <f t="shared" si="53"/>
        <v>93732.733949070069</v>
      </c>
      <c r="U98" s="173">
        <f t="shared" si="54"/>
        <v>93732.733949070069</v>
      </c>
      <c r="V98" t="s">
        <v>16</v>
      </c>
      <c r="W98" t="str">
        <f t="shared" si="55"/>
        <v>N</v>
      </c>
    </row>
    <row r="99" spans="1:23">
      <c r="A99" t="s">
        <v>114</v>
      </c>
      <c r="B99" t="s">
        <v>134</v>
      </c>
      <c r="C99" s="52" t="str">
        <f t="shared" ref="C99:C121" si="59">B99</f>
        <v>Preliminary Statement  FY</v>
      </c>
      <c r="D99" s="52" t="str">
        <f t="shared" si="44"/>
        <v>Preliminary Statement  FY</v>
      </c>
      <c r="E99" s="52" t="str">
        <f t="shared" si="56"/>
        <v>Preliminary Statement  FY</v>
      </c>
      <c r="F99" s="52" t="str">
        <f t="shared" si="45"/>
        <v>Preliminary Statement  FY</v>
      </c>
      <c r="G99" s="52" t="s">
        <v>134</v>
      </c>
      <c r="H99" s="52" t="str">
        <f t="shared" si="36"/>
        <v>Preliminary Statement  FY</v>
      </c>
      <c r="I99" s="52" t="str">
        <f t="shared" si="46"/>
        <v>Preliminary Statement  FY</v>
      </c>
      <c r="J99" s="52" t="str">
        <f t="shared" si="49"/>
        <v>Preliminary Statement  FY</v>
      </c>
      <c r="K99" s="52" t="str">
        <f t="shared" si="50"/>
        <v>Preliminary Statement  FY</v>
      </c>
      <c r="L99" s="294">
        <v>3023.8992134662763</v>
      </c>
      <c r="M99" s="173">
        <f t="shared" si="58"/>
        <v>3023.8992134662763</v>
      </c>
      <c r="N99" s="173">
        <f t="shared" si="51"/>
        <v>3023.8992134662763</v>
      </c>
      <c r="O99" s="173">
        <f t="shared" si="51"/>
        <v>3023.8992134662763</v>
      </c>
      <c r="P99" s="173">
        <f t="shared" si="47"/>
        <v>3023.8992134662763</v>
      </c>
      <c r="Q99" s="173">
        <v>5947.9542270593756</v>
      </c>
      <c r="R99" s="173">
        <f t="shared" si="48"/>
        <v>5947.9542270593756</v>
      </c>
      <c r="S99" s="173">
        <f t="shared" si="52"/>
        <v>5947.9542270593756</v>
      </c>
      <c r="T99" s="173">
        <f t="shared" si="53"/>
        <v>5947.9542270593756</v>
      </c>
      <c r="U99" s="173">
        <f t="shared" si="54"/>
        <v>5947.9542270593756</v>
      </c>
      <c r="V99" t="s">
        <v>16</v>
      </c>
      <c r="W99" t="str">
        <f t="shared" si="55"/>
        <v>Y</v>
      </c>
    </row>
    <row r="100" spans="1:23">
      <c r="A100" t="s">
        <v>82</v>
      </c>
      <c r="B100" t="s">
        <v>305</v>
      </c>
      <c r="C100" s="52" t="str">
        <f t="shared" si="59"/>
        <v>D.21-06-015</v>
      </c>
      <c r="D100" s="52" t="str">
        <f t="shared" si="44"/>
        <v>D.21-06-015</v>
      </c>
      <c r="E100" s="52" t="str">
        <f t="shared" si="56"/>
        <v>D.21-06-015</v>
      </c>
      <c r="F100" s="52" t="str">
        <f t="shared" si="45"/>
        <v>D.21-06-015</v>
      </c>
      <c r="G100" s="52" t="s">
        <v>305</v>
      </c>
      <c r="H100" s="52" t="str">
        <f t="shared" si="36"/>
        <v>D.21-06-015</v>
      </c>
      <c r="I100" s="52" t="str">
        <f t="shared" si="46"/>
        <v>D.21-06-015</v>
      </c>
      <c r="J100" s="52" t="str">
        <f t="shared" si="49"/>
        <v>D.21-06-015</v>
      </c>
      <c r="K100" s="52" t="str">
        <f t="shared" si="50"/>
        <v>D.21-06-015</v>
      </c>
      <c r="L100" s="294">
        <v>92269.477749198631</v>
      </c>
      <c r="M100" s="173">
        <f t="shared" si="58"/>
        <v>92269.477749198631</v>
      </c>
      <c r="N100" s="173">
        <f t="shared" si="51"/>
        <v>92269.477749198631</v>
      </c>
      <c r="O100" s="173">
        <f t="shared" si="51"/>
        <v>92269.477749198631</v>
      </c>
      <c r="P100" s="173">
        <f t="shared" si="47"/>
        <v>92269.477749198631</v>
      </c>
      <c r="Q100" s="173">
        <v>91031.31</v>
      </c>
      <c r="R100" s="173">
        <f t="shared" si="48"/>
        <v>91031.31</v>
      </c>
      <c r="S100" s="173">
        <f t="shared" si="52"/>
        <v>91031.31</v>
      </c>
      <c r="T100" s="173">
        <f t="shared" si="53"/>
        <v>91031.31</v>
      </c>
      <c r="U100" s="173">
        <f t="shared" si="54"/>
        <v>91031.31</v>
      </c>
      <c r="V100" t="s">
        <v>16</v>
      </c>
      <c r="W100" t="str">
        <f t="shared" si="55"/>
        <v>N</v>
      </c>
    </row>
    <row r="101" spans="1:23">
      <c r="A101" t="s">
        <v>495</v>
      </c>
      <c r="C101" s="52"/>
      <c r="D101" s="52"/>
      <c r="E101" s="52"/>
      <c r="F101" s="52"/>
      <c r="G101" s="52" t="s">
        <v>305</v>
      </c>
      <c r="H101" s="52" t="str">
        <f t="shared" si="36"/>
        <v>D.21-06-015</v>
      </c>
      <c r="I101" s="52" t="str">
        <f t="shared" si="46"/>
        <v>D.21-06-015</v>
      </c>
      <c r="J101" s="52" t="str">
        <f t="shared" si="49"/>
        <v>D.21-06-015</v>
      </c>
      <c r="K101" s="52" t="str">
        <f t="shared" si="50"/>
        <v>D.21-06-015</v>
      </c>
      <c r="L101" s="294"/>
      <c r="M101" s="173"/>
      <c r="N101" s="173"/>
      <c r="O101" s="173"/>
      <c r="P101" s="173"/>
      <c r="Q101" s="173">
        <v>-26000</v>
      </c>
      <c r="R101" s="173">
        <f t="shared" si="48"/>
        <v>-26000</v>
      </c>
      <c r="S101" s="173">
        <f t="shared" si="52"/>
        <v>-26000</v>
      </c>
      <c r="T101" s="173">
        <f t="shared" si="53"/>
        <v>-26000</v>
      </c>
      <c r="U101" s="173">
        <f t="shared" si="54"/>
        <v>-26000</v>
      </c>
      <c r="V101" t="s">
        <v>16</v>
      </c>
      <c r="W101" t="str">
        <f t="shared" si="55"/>
        <v>N</v>
      </c>
    </row>
    <row r="102" spans="1:23">
      <c r="A102" t="s">
        <v>100</v>
      </c>
      <c r="B102" t="s">
        <v>371</v>
      </c>
      <c r="C102" s="52" t="str">
        <f t="shared" si="59"/>
        <v xml:space="preserve"> D.18-05-041, D.21-05-031, AL 6385-E-A</v>
      </c>
      <c r="D102" s="52" t="str">
        <f t="shared" ref="D102:D110" si="60">C102</f>
        <v xml:space="preserve"> D.18-05-041, D.21-05-031, AL 6385-E-A</v>
      </c>
      <c r="E102" s="52" t="str">
        <f t="shared" si="56"/>
        <v xml:space="preserve"> D.18-05-041, D.21-05-031, AL 6385-E-A</v>
      </c>
      <c r="F102" s="52" t="str">
        <f t="shared" si="45"/>
        <v xml:space="preserve"> D.18-05-041, D.21-05-031, AL 6385-E-A</v>
      </c>
      <c r="G102" s="52" t="s">
        <v>496</v>
      </c>
      <c r="H102" s="52" t="str">
        <f t="shared" si="36"/>
        <v>D.23-06-055/ AL 7047-E</v>
      </c>
      <c r="I102" s="52" t="str">
        <f t="shared" si="46"/>
        <v>D.23-06-055/ AL 7047-E</v>
      </c>
      <c r="J102" s="52" t="str">
        <f t="shared" si="49"/>
        <v>D.23-06-055/ AL 7047-E</v>
      </c>
      <c r="K102" s="52" t="str">
        <f t="shared" si="50"/>
        <v>D.23-06-055/ AL 7047-E</v>
      </c>
      <c r="L102" s="294">
        <v>120736.87385986045</v>
      </c>
      <c r="M102" s="173">
        <f>L102</f>
        <v>120736.87385986045</v>
      </c>
      <c r="N102" s="173">
        <f t="shared" si="51"/>
        <v>120736.87385986045</v>
      </c>
      <c r="O102" s="173">
        <f t="shared" si="51"/>
        <v>120736.87385986045</v>
      </c>
      <c r="P102" s="173">
        <f t="shared" si="47"/>
        <v>120736.87385986045</v>
      </c>
      <c r="Q102" s="173">
        <v>120736.87385986045</v>
      </c>
      <c r="R102" s="173">
        <f t="shared" si="48"/>
        <v>120736.87385986045</v>
      </c>
      <c r="S102" s="173">
        <f>R102</f>
        <v>120736.87385986045</v>
      </c>
      <c r="T102" s="173">
        <f t="shared" si="53"/>
        <v>120736.87385986045</v>
      </c>
      <c r="U102" s="173">
        <f t="shared" si="54"/>
        <v>120736.87385986045</v>
      </c>
      <c r="V102" t="s">
        <v>16</v>
      </c>
      <c r="W102" t="str">
        <f t="shared" si="55"/>
        <v>N</v>
      </c>
    </row>
    <row r="103" spans="1:23">
      <c r="A103" s="52" t="s">
        <v>99</v>
      </c>
      <c r="B103" t="s">
        <v>368</v>
      </c>
      <c r="C103" s="52" t="str">
        <f t="shared" si="59"/>
        <v>AL 6385-E-A</v>
      </c>
      <c r="D103" s="52" t="str">
        <f t="shared" si="60"/>
        <v>AL 6385-E-A</v>
      </c>
      <c r="E103" s="52" t="str">
        <f t="shared" si="56"/>
        <v>AL 6385-E-A</v>
      </c>
      <c r="F103" s="52" t="str">
        <f t="shared" si="45"/>
        <v>AL 6385-E-A</v>
      </c>
      <c r="G103" s="52" t="s">
        <v>496</v>
      </c>
      <c r="H103" s="52" t="str">
        <f t="shared" si="36"/>
        <v>D.23-06-055/ AL 7047-E</v>
      </c>
      <c r="I103" s="52" t="s">
        <v>496</v>
      </c>
      <c r="J103" s="52" t="str">
        <f t="shared" si="49"/>
        <v>D.23-06-055/ AL 7047-E</v>
      </c>
      <c r="K103" s="52" t="str">
        <f t="shared" si="50"/>
        <v>D.23-06-055/ AL 7047-E</v>
      </c>
      <c r="L103" s="294">
        <v>146819.31924451957</v>
      </c>
      <c r="M103" s="173">
        <f>L103</f>
        <v>146819.31924451957</v>
      </c>
      <c r="N103" s="173">
        <f t="shared" si="51"/>
        <v>146819.31924451957</v>
      </c>
      <c r="O103" s="173">
        <f t="shared" si="51"/>
        <v>146819.31924451957</v>
      </c>
      <c r="P103" s="173">
        <f t="shared" si="47"/>
        <v>146819.31924451957</v>
      </c>
      <c r="Q103" s="173">
        <v>101774.14331982819</v>
      </c>
      <c r="R103" s="173">
        <f t="shared" si="48"/>
        <v>101774.14331982819</v>
      </c>
      <c r="S103" s="173">
        <v>38268.101000000002</v>
      </c>
      <c r="T103" s="173">
        <f t="shared" si="53"/>
        <v>38268.101000000002</v>
      </c>
      <c r="U103" s="173">
        <f t="shared" si="54"/>
        <v>38268.101000000002</v>
      </c>
      <c r="V103" t="s">
        <v>16</v>
      </c>
      <c r="W103" t="str">
        <f t="shared" si="55"/>
        <v>N</v>
      </c>
    </row>
    <row r="104" spans="1:23">
      <c r="A104" s="52" t="s">
        <v>106</v>
      </c>
      <c r="B104" t="s">
        <v>131</v>
      </c>
      <c r="C104" s="52" t="str">
        <f t="shared" si="59"/>
        <v>Preliminary Statement  EF</v>
      </c>
      <c r="D104" s="52" t="str">
        <f t="shared" si="60"/>
        <v>Preliminary Statement  EF</v>
      </c>
      <c r="E104" s="52" t="str">
        <f t="shared" si="56"/>
        <v>Preliminary Statement  EF</v>
      </c>
      <c r="F104" s="52" t="str">
        <f t="shared" si="45"/>
        <v>Preliminary Statement  EF</v>
      </c>
      <c r="G104" s="52" t="s">
        <v>131</v>
      </c>
      <c r="H104" s="52" t="str">
        <f t="shared" si="36"/>
        <v>Preliminary Statement  EF</v>
      </c>
      <c r="I104" s="52" t="str">
        <f>H104</f>
        <v>Preliminary Statement  EF</v>
      </c>
      <c r="J104" s="52" t="str">
        <f t="shared" si="49"/>
        <v>Preliminary Statement  EF</v>
      </c>
      <c r="K104" s="52" t="str">
        <f t="shared" si="50"/>
        <v>Preliminary Statement  EF</v>
      </c>
      <c r="L104" s="294">
        <v>69935.857517033684</v>
      </c>
      <c r="M104" s="173">
        <f>L104</f>
        <v>69935.857517033684</v>
      </c>
      <c r="N104" s="173">
        <f t="shared" si="51"/>
        <v>69935.857517033684</v>
      </c>
      <c r="O104" s="173">
        <f t="shared" si="51"/>
        <v>69935.857517033684</v>
      </c>
      <c r="P104" s="173">
        <f t="shared" si="47"/>
        <v>69935.857517033684</v>
      </c>
      <c r="Q104" s="173">
        <v>23844.558569363431</v>
      </c>
      <c r="R104" s="173">
        <f t="shared" si="48"/>
        <v>23844.558569363431</v>
      </c>
      <c r="S104" s="173">
        <f>R104</f>
        <v>23844.558569363431</v>
      </c>
      <c r="T104" s="173">
        <f t="shared" si="53"/>
        <v>23844.558569363431</v>
      </c>
      <c r="U104" s="173">
        <f t="shared" si="54"/>
        <v>23844.558569363431</v>
      </c>
      <c r="V104" t="s">
        <v>16</v>
      </c>
      <c r="W104" t="str">
        <f t="shared" si="55"/>
        <v>Y</v>
      </c>
    </row>
    <row r="105" spans="1:23">
      <c r="A105" s="52" t="s">
        <v>350</v>
      </c>
      <c r="B105" t="s">
        <v>528</v>
      </c>
      <c r="C105" s="52" t="str">
        <f t="shared" si="59"/>
        <v>D.21-12-021, AL 6747-E</v>
      </c>
      <c r="D105" s="52" t="str">
        <f t="shared" si="60"/>
        <v>D.21-12-021, AL 6747-E</v>
      </c>
      <c r="E105" s="52" t="str">
        <f t="shared" si="56"/>
        <v>D.21-12-021, AL 6747-E</v>
      </c>
      <c r="F105" s="52" t="str">
        <f t="shared" si="45"/>
        <v>D.21-12-021, AL 6747-E</v>
      </c>
      <c r="G105" s="52" t="s">
        <v>497</v>
      </c>
      <c r="H105" s="52" t="str">
        <f t="shared" si="36"/>
        <v>D.19-12-021, AL 4674-G/6747-E /AL RI-CalMTA-2</v>
      </c>
      <c r="I105" s="52" t="s">
        <v>497</v>
      </c>
      <c r="J105" s="52" t="str">
        <f t="shared" si="49"/>
        <v>D.19-12-021, AL 4674-G/6747-E /AL RI-CalMTA-2</v>
      </c>
      <c r="K105" s="52" t="str">
        <f t="shared" si="50"/>
        <v>D.19-12-021, AL 4674-G/6747-E /AL RI-CalMTA-2</v>
      </c>
      <c r="L105" s="294">
        <v>7971.9297569369992</v>
      </c>
      <c r="M105" s="173">
        <f>L105</f>
        <v>7971.9297569369992</v>
      </c>
      <c r="N105" s="173">
        <f t="shared" si="51"/>
        <v>7971.9297569369992</v>
      </c>
      <c r="O105" s="173">
        <f t="shared" si="51"/>
        <v>7971.9297569369992</v>
      </c>
      <c r="P105" s="173">
        <f t="shared" si="47"/>
        <v>7971.9297569369992</v>
      </c>
      <c r="Q105" s="173">
        <v>0</v>
      </c>
      <c r="R105" s="173">
        <f t="shared" si="48"/>
        <v>0</v>
      </c>
      <c r="S105" s="173">
        <v>7213.3715000000002</v>
      </c>
      <c r="T105" s="173">
        <f>S105</f>
        <v>7213.3715000000002</v>
      </c>
      <c r="U105" s="173">
        <f t="shared" si="54"/>
        <v>7213.3715000000002</v>
      </c>
      <c r="V105" t="s">
        <v>16</v>
      </c>
      <c r="W105" t="str">
        <f t="shared" si="55"/>
        <v>N</v>
      </c>
    </row>
    <row r="106" spans="1:23">
      <c r="A106" s="52" t="s">
        <v>86</v>
      </c>
      <c r="C106" s="52" t="s">
        <v>377</v>
      </c>
      <c r="D106" s="52" t="str">
        <f t="shared" si="60"/>
        <v>D.23-01-006</v>
      </c>
      <c r="E106" s="52" t="str">
        <f t="shared" si="56"/>
        <v>D.23-01-006</v>
      </c>
      <c r="F106" s="52" t="str">
        <f t="shared" si="45"/>
        <v>D.23-01-006</v>
      </c>
      <c r="G106" s="52" t="s">
        <v>519</v>
      </c>
      <c r="H106" s="52" t="str">
        <f t="shared" si="36"/>
        <v>n/a</v>
      </c>
      <c r="I106" s="52" t="str">
        <f t="shared" ref="I106:I121" si="61">H106</f>
        <v>n/a</v>
      </c>
      <c r="J106" s="52" t="str">
        <f t="shared" si="49"/>
        <v>n/a</v>
      </c>
      <c r="K106" s="52" t="str">
        <f t="shared" si="50"/>
        <v>n/a</v>
      </c>
      <c r="L106" s="294"/>
      <c r="M106" s="173">
        <v>6368.1093000000001</v>
      </c>
      <c r="N106" s="173">
        <f t="shared" si="51"/>
        <v>6368.1093000000001</v>
      </c>
      <c r="O106" s="173">
        <f t="shared" si="51"/>
        <v>6368.1093000000001</v>
      </c>
      <c r="P106" s="173">
        <f t="shared" si="47"/>
        <v>6368.1093000000001</v>
      </c>
      <c r="Q106" s="173"/>
      <c r="R106" s="173">
        <f t="shared" si="48"/>
        <v>0</v>
      </c>
      <c r="S106" s="173">
        <f>R106</f>
        <v>0</v>
      </c>
      <c r="T106" s="173"/>
      <c r="U106" s="173">
        <f t="shared" si="54"/>
        <v>0</v>
      </c>
      <c r="V106" t="s">
        <v>6</v>
      </c>
      <c r="W106" t="str">
        <f t="shared" si="55"/>
        <v>N</v>
      </c>
    </row>
    <row r="107" spans="1:23">
      <c r="A107" t="s">
        <v>81</v>
      </c>
      <c r="B107" t="s">
        <v>372</v>
      </c>
      <c r="C107" s="52" t="str">
        <f t="shared" si="59"/>
        <v>D.19-11-017, AL 5698-E</v>
      </c>
      <c r="D107" s="52" t="str">
        <f t="shared" si="60"/>
        <v>D.19-11-017, AL 5698-E</v>
      </c>
      <c r="E107" s="52" t="str">
        <f t="shared" si="56"/>
        <v>D.19-11-017, AL 5698-E</v>
      </c>
      <c r="F107" s="52" t="str">
        <f t="shared" si="45"/>
        <v>D.19-11-017, AL 5698-E</v>
      </c>
      <c r="G107" s="52" t="s">
        <v>519</v>
      </c>
      <c r="H107" s="52" t="str">
        <f t="shared" si="36"/>
        <v>n/a</v>
      </c>
      <c r="I107" s="52" t="str">
        <f t="shared" si="61"/>
        <v>n/a</v>
      </c>
      <c r="J107" s="52" t="str">
        <f t="shared" si="49"/>
        <v>n/a</v>
      </c>
      <c r="K107" s="52" t="str">
        <f t="shared" si="50"/>
        <v>n/a</v>
      </c>
      <c r="L107" s="294">
        <v>1553.6165069999997</v>
      </c>
      <c r="M107" s="173">
        <f>L107</f>
        <v>1553.6165069999997</v>
      </c>
      <c r="N107" s="173">
        <f t="shared" si="51"/>
        <v>1553.6165069999997</v>
      </c>
      <c r="O107" s="173">
        <f t="shared" si="51"/>
        <v>1553.6165069999997</v>
      </c>
      <c r="P107" s="173">
        <f t="shared" si="47"/>
        <v>1553.6165069999997</v>
      </c>
      <c r="Q107" s="173"/>
      <c r="R107" s="173">
        <f t="shared" si="48"/>
        <v>0</v>
      </c>
      <c r="S107" s="173">
        <f t="shared" ref="S107:S121" si="62">R107</f>
        <v>0</v>
      </c>
      <c r="T107" s="173">
        <f t="shared" si="53"/>
        <v>0</v>
      </c>
      <c r="U107" s="173">
        <f t="shared" si="54"/>
        <v>0</v>
      </c>
      <c r="V107" t="s">
        <v>6</v>
      </c>
      <c r="W107" t="str">
        <f t="shared" si="55"/>
        <v>N</v>
      </c>
    </row>
    <row r="108" spans="1:23">
      <c r="A108" t="s">
        <v>230</v>
      </c>
      <c r="B108" t="s">
        <v>368</v>
      </c>
      <c r="C108" s="52" t="str">
        <f t="shared" si="59"/>
        <v>AL 6385-E-A</v>
      </c>
      <c r="D108" s="52" t="str">
        <f t="shared" si="60"/>
        <v>AL 6385-E-A</v>
      </c>
      <c r="E108" s="52" t="str">
        <f t="shared" si="56"/>
        <v>AL 6385-E-A</v>
      </c>
      <c r="F108" s="52" t="str">
        <f t="shared" si="45"/>
        <v>AL 6385-E-A</v>
      </c>
      <c r="G108" t="s">
        <v>519</v>
      </c>
      <c r="H108" s="52" t="str">
        <f t="shared" si="36"/>
        <v>n/a</v>
      </c>
      <c r="I108" s="52" t="str">
        <f t="shared" si="61"/>
        <v>n/a</v>
      </c>
      <c r="J108" s="52" t="str">
        <f t="shared" si="49"/>
        <v>n/a</v>
      </c>
      <c r="K108" s="52" t="str">
        <f t="shared" si="50"/>
        <v>n/a</v>
      </c>
      <c r="L108" s="294">
        <v>56079.596161043992</v>
      </c>
      <c r="M108" s="173">
        <f>L108</f>
        <v>56079.596161043992</v>
      </c>
      <c r="N108" s="173">
        <f t="shared" si="51"/>
        <v>56079.596161043992</v>
      </c>
      <c r="O108" s="173">
        <f t="shared" si="51"/>
        <v>56079.596161043992</v>
      </c>
      <c r="P108" s="173">
        <f t="shared" si="47"/>
        <v>56079.596161043992</v>
      </c>
      <c r="Q108" s="52">
        <v>0</v>
      </c>
      <c r="R108" s="173">
        <f t="shared" si="48"/>
        <v>0</v>
      </c>
      <c r="S108" s="173">
        <f t="shared" si="62"/>
        <v>0</v>
      </c>
      <c r="T108" s="173">
        <f t="shared" si="53"/>
        <v>0</v>
      </c>
      <c r="U108" s="173">
        <f t="shared" si="54"/>
        <v>0</v>
      </c>
      <c r="V108" t="s">
        <v>16</v>
      </c>
      <c r="W108" t="str">
        <f t="shared" si="55"/>
        <v>N</v>
      </c>
    </row>
    <row r="109" spans="1:23">
      <c r="A109" t="s">
        <v>83</v>
      </c>
      <c r="B109" t="s">
        <v>360</v>
      </c>
      <c r="C109" s="52" t="str">
        <f t="shared" si="59"/>
        <v>D.22-12-044</v>
      </c>
      <c r="D109" s="52" t="str">
        <f t="shared" si="60"/>
        <v>D.22-12-044</v>
      </c>
      <c r="E109" s="52" t="str">
        <f t="shared" si="56"/>
        <v>D.22-12-044</v>
      </c>
      <c r="F109" s="52" t="str">
        <f t="shared" si="45"/>
        <v>D.22-12-044</v>
      </c>
      <c r="G109" s="52" t="s">
        <v>506</v>
      </c>
      <c r="H109" s="52" t="str">
        <f t="shared" si="36"/>
        <v>D.23-12-022</v>
      </c>
      <c r="I109" s="52" t="str">
        <f t="shared" si="61"/>
        <v>D.23-12-022</v>
      </c>
      <c r="J109" s="52" t="str">
        <f t="shared" si="49"/>
        <v>D.23-12-022</v>
      </c>
      <c r="K109" s="52" t="str">
        <f t="shared" si="50"/>
        <v>D.23-12-022</v>
      </c>
      <c r="L109" s="171">
        <v>20005.231238346179</v>
      </c>
      <c r="M109" s="173">
        <f>L109</f>
        <v>20005.231238346179</v>
      </c>
      <c r="N109" s="173">
        <f t="shared" si="51"/>
        <v>20005.231238346179</v>
      </c>
      <c r="O109" s="173">
        <f t="shared" si="51"/>
        <v>20005.231238346179</v>
      </c>
      <c r="P109" s="173">
        <f t="shared" si="47"/>
        <v>20005.231238346179</v>
      </c>
      <c r="Q109" s="173">
        <v>23165.271583381906</v>
      </c>
      <c r="R109" s="173">
        <f t="shared" si="48"/>
        <v>23165.271583381906</v>
      </c>
      <c r="S109" s="173">
        <f t="shared" si="62"/>
        <v>23165.271583381906</v>
      </c>
      <c r="T109" s="173">
        <f t="shared" si="53"/>
        <v>23165.271583381906</v>
      </c>
      <c r="U109" s="173">
        <f t="shared" si="54"/>
        <v>23165.271583381906</v>
      </c>
      <c r="V109" t="s">
        <v>16</v>
      </c>
      <c r="W109" t="str">
        <f t="shared" si="55"/>
        <v>N</v>
      </c>
    </row>
    <row r="110" spans="1:23">
      <c r="A110" t="s">
        <v>227</v>
      </c>
      <c r="B110" t="s">
        <v>360</v>
      </c>
      <c r="C110" s="52" t="str">
        <f t="shared" si="59"/>
        <v>D.22-12-044</v>
      </c>
      <c r="D110" s="52" t="str">
        <f t="shared" si="60"/>
        <v>D.22-12-044</v>
      </c>
      <c r="E110" s="52" t="str">
        <f t="shared" si="56"/>
        <v>D.22-12-044</v>
      </c>
      <c r="F110" s="52" t="str">
        <f t="shared" si="45"/>
        <v>D.22-12-044</v>
      </c>
      <c r="G110" s="52" t="s">
        <v>506</v>
      </c>
      <c r="H110" s="52" t="str">
        <f t="shared" si="36"/>
        <v>D.23-12-022</v>
      </c>
      <c r="I110" s="52" t="str">
        <f t="shared" si="61"/>
        <v>D.23-12-022</v>
      </c>
      <c r="J110" s="52" t="str">
        <f t="shared" si="49"/>
        <v>D.23-12-022</v>
      </c>
      <c r="K110" s="52" t="str">
        <f t="shared" si="50"/>
        <v>D.23-12-022</v>
      </c>
      <c r="L110" s="171">
        <v>-15953.56908505651</v>
      </c>
      <c r="M110" s="173">
        <f>L110</f>
        <v>-15953.56908505651</v>
      </c>
      <c r="N110" s="173">
        <f t="shared" si="51"/>
        <v>-15953.56908505651</v>
      </c>
      <c r="O110" s="173">
        <f t="shared" si="51"/>
        <v>-15953.56908505651</v>
      </c>
      <c r="P110" s="173">
        <f t="shared" si="47"/>
        <v>-15953.56908505651</v>
      </c>
      <c r="Q110" s="173">
        <v>-2834.5456409490394</v>
      </c>
      <c r="R110" s="173">
        <f t="shared" si="48"/>
        <v>-2834.5456409490394</v>
      </c>
      <c r="S110" s="173">
        <f t="shared" si="62"/>
        <v>-2834.5456409490394</v>
      </c>
      <c r="T110" s="173">
        <f t="shared" si="53"/>
        <v>-2834.5456409490394</v>
      </c>
      <c r="U110" s="173">
        <f t="shared" si="54"/>
        <v>-2834.5456409490394</v>
      </c>
      <c r="V110" t="s">
        <v>16</v>
      </c>
      <c r="W110" t="str">
        <f t="shared" si="55"/>
        <v>Y</v>
      </c>
    </row>
    <row r="111" spans="1:23">
      <c r="A111" s="52" t="s">
        <v>499</v>
      </c>
      <c r="C111" s="52"/>
      <c r="D111" s="52"/>
      <c r="E111" s="52"/>
      <c r="F111" s="52"/>
      <c r="G111" s="52" t="s">
        <v>500</v>
      </c>
      <c r="H111" s="52" t="str">
        <f t="shared" si="36"/>
        <v>AL 7028-E</v>
      </c>
      <c r="I111" s="52" t="str">
        <f t="shared" si="61"/>
        <v>AL 7028-E</v>
      </c>
      <c r="J111" s="52" t="str">
        <f t="shared" si="49"/>
        <v>AL 7028-E</v>
      </c>
      <c r="K111" s="52" t="str">
        <f t="shared" si="50"/>
        <v>AL 7028-E</v>
      </c>
      <c r="L111" s="294"/>
      <c r="M111" s="173"/>
      <c r="N111" s="173"/>
      <c r="O111" s="173"/>
      <c r="P111" s="173"/>
      <c r="Q111" s="173">
        <v>-54219.768369999998</v>
      </c>
      <c r="R111" s="173">
        <f t="shared" si="48"/>
        <v>-54219.768369999998</v>
      </c>
      <c r="S111" s="173">
        <f t="shared" si="62"/>
        <v>-54219.768369999998</v>
      </c>
      <c r="T111" s="173">
        <f t="shared" si="53"/>
        <v>-54219.768369999998</v>
      </c>
      <c r="U111" s="173">
        <f t="shared" si="54"/>
        <v>-54219.768369999998</v>
      </c>
      <c r="V111" t="s">
        <v>16</v>
      </c>
      <c r="W111" t="str">
        <f t="shared" si="55"/>
        <v>Y</v>
      </c>
    </row>
    <row r="112" spans="1:23">
      <c r="A112" s="52" t="s">
        <v>501</v>
      </c>
      <c r="C112" s="52"/>
      <c r="D112" s="52"/>
      <c r="E112" s="52"/>
      <c r="F112" s="52"/>
      <c r="G112" s="52" t="s">
        <v>517</v>
      </c>
      <c r="H112" s="52" t="str">
        <f t="shared" si="36"/>
        <v>Electric Preliminary Statement Part JM</v>
      </c>
      <c r="I112" s="52" t="str">
        <f t="shared" si="61"/>
        <v>Electric Preliminary Statement Part JM</v>
      </c>
      <c r="J112" s="52" t="str">
        <f t="shared" si="49"/>
        <v>Electric Preliminary Statement Part JM</v>
      </c>
      <c r="K112" s="52" t="str">
        <f t="shared" si="50"/>
        <v>Electric Preliminary Statement Part JM</v>
      </c>
      <c r="L112" s="294"/>
      <c r="M112" s="173"/>
      <c r="N112" s="173"/>
      <c r="O112" s="173"/>
      <c r="P112" s="173"/>
      <c r="Q112" s="173">
        <v>2856.617214959273</v>
      </c>
      <c r="R112" s="173">
        <f t="shared" si="48"/>
        <v>2856.617214959273</v>
      </c>
      <c r="S112" s="173">
        <f t="shared" si="62"/>
        <v>2856.617214959273</v>
      </c>
      <c r="T112" s="173">
        <f t="shared" si="53"/>
        <v>2856.617214959273</v>
      </c>
      <c r="U112" s="173">
        <f t="shared" si="54"/>
        <v>2856.617214959273</v>
      </c>
      <c r="V112" t="s">
        <v>16</v>
      </c>
      <c r="W112" t="str">
        <f t="shared" si="55"/>
        <v>Y</v>
      </c>
    </row>
    <row r="113" spans="1:23">
      <c r="A113" s="52" t="s">
        <v>312</v>
      </c>
      <c r="B113" t="s">
        <v>296</v>
      </c>
      <c r="C113" s="52" t="str">
        <f t="shared" si="59"/>
        <v>20-06-003, AL 6001-E</v>
      </c>
      <c r="D113" s="52" t="str">
        <f t="shared" ref="D113:D120" si="63">C113</f>
        <v>20-06-003, AL 6001-E</v>
      </c>
      <c r="E113" s="52" t="str">
        <f t="shared" si="56"/>
        <v>20-06-003, AL 6001-E</v>
      </c>
      <c r="F113" s="52" t="str">
        <f t="shared" si="45"/>
        <v>20-06-003, AL 6001-E</v>
      </c>
      <c r="G113" s="52" t="s">
        <v>518</v>
      </c>
      <c r="H113" s="52" t="str">
        <f t="shared" si="36"/>
        <v>Electric Preliminary Statement Part IM</v>
      </c>
      <c r="I113" s="52" t="str">
        <f t="shared" si="61"/>
        <v>Electric Preliminary Statement Part IM</v>
      </c>
      <c r="J113" s="52" t="str">
        <f t="shared" si="49"/>
        <v>Electric Preliminary Statement Part IM</v>
      </c>
      <c r="K113" s="52" t="str">
        <f t="shared" si="50"/>
        <v>Electric Preliminary Statement Part IM</v>
      </c>
      <c r="L113" s="294">
        <v>82938.361749327989</v>
      </c>
      <c r="M113" s="173">
        <f t="shared" ref="M113:M119" si="64">L113</f>
        <v>82938.361749327989</v>
      </c>
      <c r="N113" s="173">
        <f t="shared" si="51"/>
        <v>82938.361749327989</v>
      </c>
      <c r="O113" s="173">
        <f t="shared" si="51"/>
        <v>82938.361749327989</v>
      </c>
      <c r="P113" s="173">
        <f t="shared" si="47"/>
        <v>82938.361749327989</v>
      </c>
      <c r="Q113" s="173">
        <v>282433.59691895678</v>
      </c>
      <c r="R113" s="173">
        <f t="shared" si="48"/>
        <v>282433.59691895678</v>
      </c>
      <c r="S113" s="173">
        <f t="shared" si="62"/>
        <v>282433.59691895678</v>
      </c>
      <c r="T113" s="173">
        <f t="shared" si="53"/>
        <v>282433.59691895678</v>
      </c>
      <c r="U113" s="173">
        <f t="shared" si="54"/>
        <v>282433.59691895678</v>
      </c>
      <c r="V113" t="s">
        <v>16</v>
      </c>
      <c r="W113" t="str">
        <f t="shared" si="55"/>
        <v>Y</v>
      </c>
    </row>
    <row r="114" spans="1:23">
      <c r="A114" s="52" t="s">
        <v>307</v>
      </c>
      <c r="B114" t="s">
        <v>360</v>
      </c>
      <c r="C114" s="52" t="str">
        <f t="shared" si="59"/>
        <v>D.22-12-044</v>
      </c>
      <c r="D114" s="52" t="str">
        <f t="shared" si="63"/>
        <v>D.22-12-044</v>
      </c>
      <c r="E114" s="52" t="str">
        <f t="shared" si="56"/>
        <v>D.22-12-044</v>
      </c>
      <c r="F114" s="52" t="str">
        <f t="shared" si="45"/>
        <v>D.22-12-044</v>
      </c>
      <c r="G114" s="52" t="s">
        <v>506</v>
      </c>
      <c r="H114" s="52" t="str">
        <f t="shared" si="36"/>
        <v>D.23-12-022</v>
      </c>
      <c r="I114" s="52" t="str">
        <f t="shared" si="61"/>
        <v>D.23-12-022</v>
      </c>
      <c r="J114" s="52" t="str">
        <f t="shared" si="49"/>
        <v>D.23-12-022</v>
      </c>
      <c r="K114" s="52" t="str">
        <f t="shared" si="50"/>
        <v>D.23-12-022</v>
      </c>
      <c r="L114" s="294">
        <v>13317.604733130622</v>
      </c>
      <c r="M114" s="173">
        <f t="shared" si="64"/>
        <v>13317.604733130622</v>
      </c>
      <c r="N114" s="173">
        <f t="shared" si="51"/>
        <v>13317.604733130622</v>
      </c>
      <c r="O114" s="173">
        <f t="shared" si="51"/>
        <v>13317.604733130622</v>
      </c>
      <c r="P114" s="173">
        <f t="shared" si="47"/>
        <v>13317.604733130622</v>
      </c>
      <c r="Q114" s="173">
        <v>14061.230709652091</v>
      </c>
      <c r="R114" s="173">
        <f t="shared" si="48"/>
        <v>14061.230709652091</v>
      </c>
      <c r="S114" s="173">
        <f t="shared" si="62"/>
        <v>14061.230709652091</v>
      </c>
      <c r="T114" s="173">
        <f t="shared" si="53"/>
        <v>14061.230709652091</v>
      </c>
      <c r="U114" s="173">
        <f t="shared" si="54"/>
        <v>14061.230709652091</v>
      </c>
      <c r="V114" t="s">
        <v>16</v>
      </c>
      <c r="W114" t="str">
        <f t="shared" si="55"/>
        <v>N</v>
      </c>
    </row>
    <row r="115" spans="1:23">
      <c r="A115" s="52" t="s">
        <v>308</v>
      </c>
      <c r="B115" t="s">
        <v>360</v>
      </c>
      <c r="C115" s="52" t="str">
        <f t="shared" si="59"/>
        <v>D.22-12-044</v>
      </c>
      <c r="D115" s="52" t="str">
        <f t="shared" si="63"/>
        <v>D.22-12-044</v>
      </c>
      <c r="E115" s="52" t="str">
        <f t="shared" si="56"/>
        <v>D.22-12-044</v>
      </c>
      <c r="F115" s="52" t="str">
        <f t="shared" si="45"/>
        <v>D.22-12-044</v>
      </c>
      <c r="G115" s="52" t="s">
        <v>515</v>
      </c>
      <c r="H115" s="52" t="str">
        <f t="shared" si="36"/>
        <v>Electric Preliminary Statement Part IJ</v>
      </c>
      <c r="I115" s="52" t="str">
        <f t="shared" si="61"/>
        <v>Electric Preliminary Statement Part IJ</v>
      </c>
      <c r="J115" s="52" t="str">
        <f t="shared" si="49"/>
        <v>Electric Preliminary Statement Part IJ</v>
      </c>
      <c r="K115" s="52" t="str">
        <f t="shared" si="50"/>
        <v>Electric Preliminary Statement Part IJ</v>
      </c>
      <c r="L115" s="294">
        <v>-8662.6042013480328</v>
      </c>
      <c r="M115" s="173">
        <f t="shared" si="64"/>
        <v>-8662.6042013480328</v>
      </c>
      <c r="N115" s="173">
        <f t="shared" si="51"/>
        <v>-8662.6042013480328</v>
      </c>
      <c r="O115" s="173">
        <f t="shared" si="51"/>
        <v>-8662.6042013480328</v>
      </c>
      <c r="P115" s="173">
        <f t="shared" si="47"/>
        <v>-8662.6042013480328</v>
      </c>
      <c r="Q115" s="173">
        <v>-7066.9374676668658</v>
      </c>
      <c r="R115" s="173">
        <f t="shared" si="48"/>
        <v>-7066.9374676668658</v>
      </c>
      <c r="S115" s="173">
        <f t="shared" si="62"/>
        <v>-7066.9374676668658</v>
      </c>
      <c r="T115" s="173">
        <f t="shared" si="53"/>
        <v>-7066.9374676668658</v>
      </c>
      <c r="U115" s="173">
        <f t="shared" si="54"/>
        <v>-7066.9374676668658</v>
      </c>
      <c r="V115" t="s">
        <v>16</v>
      </c>
      <c r="W115" t="str">
        <f t="shared" si="55"/>
        <v>Y</v>
      </c>
    </row>
    <row r="116" spans="1:23">
      <c r="A116" s="52" t="s">
        <v>309</v>
      </c>
      <c r="B116" t="s">
        <v>360</v>
      </c>
      <c r="C116" s="52" t="str">
        <f t="shared" si="59"/>
        <v>D.22-12-044</v>
      </c>
      <c r="D116" s="52" t="str">
        <f t="shared" si="63"/>
        <v>D.22-12-044</v>
      </c>
      <c r="E116" s="52" t="str">
        <f t="shared" si="56"/>
        <v>D.22-12-044</v>
      </c>
      <c r="F116" s="52" t="str">
        <f t="shared" si="45"/>
        <v>D.22-12-044</v>
      </c>
      <c r="G116" s="52" t="s">
        <v>506</v>
      </c>
      <c r="H116" s="52" t="str">
        <f t="shared" si="36"/>
        <v>D.23-12-022</v>
      </c>
      <c r="I116" s="52" t="str">
        <f t="shared" si="61"/>
        <v>D.23-12-022</v>
      </c>
      <c r="J116" s="52" t="str">
        <f t="shared" si="49"/>
        <v>D.23-12-022</v>
      </c>
      <c r="K116" s="52" t="str">
        <f t="shared" si="50"/>
        <v>D.23-12-022</v>
      </c>
      <c r="L116" s="294">
        <v>-2058.1393794508531</v>
      </c>
      <c r="M116" s="173">
        <f t="shared" si="64"/>
        <v>-2058.1393794508531</v>
      </c>
      <c r="N116" s="173">
        <f t="shared" si="51"/>
        <v>-2058.1393794508531</v>
      </c>
      <c r="O116" s="173">
        <f t="shared" si="51"/>
        <v>-2058.1393794508531</v>
      </c>
      <c r="P116" s="173">
        <f t="shared" si="47"/>
        <v>-2058.1393794508531</v>
      </c>
      <c r="Q116" s="173">
        <v>-475.83281547354295</v>
      </c>
      <c r="R116" s="173">
        <f t="shared" si="48"/>
        <v>-475.83281547354295</v>
      </c>
      <c r="S116" s="173">
        <f t="shared" si="62"/>
        <v>-475.83281547354295</v>
      </c>
      <c r="T116" s="173">
        <f t="shared" si="53"/>
        <v>-475.83281547354295</v>
      </c>
      <c r="U116" s="173">
        <f t="shared" si="54"/>
        <v>-475.83281547354295</v>
      </c>
      <c r="V116" t="s">
        <v>16</v>
      </c>
      <c r="W116" t="str">
        <f t="shared" si="55"/>
        <v>N</v>
      </c>
    </row>
    <row r="117" spans="1:23">
      <c r="A117" s="52" t="s">
        <v>346</v>
      </c>
      <c r="B117" t="s">
        <v>360</v>
      </c>
      <c r="C117" s="52" t="str">
        <f>B117</f>
        <v>D.22-12-044</v>
      </c>
      <c r="D117" s="52" t="str">
        <f t="shared" si="63"/>
        <v>D.22-12-044</v>
      </c>
      <c r="E117" s="52" t="str">
        <f t="shared" si="56"/>
        <v>D.22-12-044</v>
      </c>
      <c r="F117" s="52" t="str">
        <f t="shared" si="45"/>
        <v>D.22-12-044</v>
      </c>
      <c r="G117" s="52" t="s">
        <v>516</v>
      </c>
      <c r="H117" s="52" t="str">
        <f t="shared" si="36"/>
        <v>Electric Preliminary Statement Part HM</v>
      </c>
      <c r="I117" s="52" t="str">
        <f t="shared" si="61"/>
        <v>Electric Preliminary Statement Part HM</v>
      </c>
      <c r="J117" s="52" t="str">
        <f t="shared" si="49"/>
        <v>Electric Preliminary Statement Part HM</v>
      </c>
      <c r="K117" s="52" t="str">
        <f t="shared" si="50"/>
        <v>Electric Preliminary Statement Part HM</v>
      </c>
      <c r="L117" s="294">
        <v>-2763.5405870754594</v>
      </c>
      <c r="M117" s="173">
        <f t="shared" si="64"/>
        <v>-2763.5405870754594</v>
      </c>
      <c r="N117" s="173">
        <f t="shared" si="51"/>
        <v>-2763.5405870754594</v>
      </c>
      <c r="O117" s="173">
        <f t="shared" si="51"/>
        <v>-2763.5405870754594</v>
      </c>
      <c r="P117" s="173">
        <f t="shared" si="47"/>
        <v>-2763.5405870754594</v>
      </c>
      <c r="Q117" s="173">
        <v>2664.8339139312566</v>
      </c>
      <c r="R117" s="173">
        <f t="shared" si="48"/>
        <v>2664.8339139312566</v>
      </c>
      <c r="S117" s="173">
        <f t="shared" si="62"/>
        <v>2664.8339139312566</v>
      </c>
      <c r="T117" s="173">
        <f t="shared" si="53"/>
        <v>2664.8339139312566</v>
      </c>
      <c r="U117" s="173">
        <f t="shared" si="54"/>
        <v>2664.8339139312566</v>
      </c>
      <c r="V117" t="s">
        <v>16</v>
      </c>
      <c r="W117" t="str">
        <f t="shared" si="55"/>
        <v>Y</v>
      </c>
    </row>
    <row r="118" spans="1:23">
      <c r="A118" s="52" t="s">
        <v>310</v>
      </c>
      <c r="B118" t="s">
        <v>360</v>
      </c>
      <c r="C118" s="52" t="str">
        <f t="shared" si="59"/>
        <v>D.22-12-044</v>
      </c>
      <c r="D118" s="52" t="str">
        <f t="shared" si="63"/>
        <v>D.22-12-044</v>
      </c>
      <c r="E118" s="52" t="str">
        <f t="shared" si="56"/>
        <v>D.22-12-044</v>
      </c>
      <c r="F118" s="52" t="str">
        <f t="shared" si="45"/>
        <v>D.22-12-044</v>
      </c>
      <c r="G118" s="52" t="s">
        <v>506</v>
      </c>
      <c r="H118" s="52" t="str">
        <f t="shared" si="36"/>
        <v>D.23-12-022</v>
      </c>
      <c r="I118" s="52" t="str">
        <f t="shared" si="61"/>
        <v>D.23-12-022</v>
      </c>
      <c r="J118" s="52" t="str">
        <f t="shared" si="49"/>
        <v>D.23-12-022</v>
      </c>
      <c r="K118" s="52" t="str">
        <f t="shared" si="50"/>
        <v>D.23-12-022</v>
      </c>
      <c r="L118" s="294">
        <v>14111.999064309779</v>
      </c>
      <c r="M118" s="173">
        <f t="shared" si="64"/>
        <v>14111.999064309779</v>
      </c>
      <c r="N118" s="173">
        <f t="shared" si="51"/>
        <v>14111.999064309779</v>
      </c>
      <c r="O118" s="173">
        <f t="shared" si="51"/>
        <v>14111.999064309779</v>
      </c>
      <c r="P118" s="173">
        <f t="shared" si="47"/>
        <v>14111.999064309779</v>
      </c>
      <c r="Q118" s="173">
        <v>13908.018</v>
      </c>
      <c r="R118" s="173">
        <f t="shared" si="48"/>
        <v>13908.018</v>
      </c>
      <c r="S118" s="173">
        <f t="shared" si="62"/>
        <v>13908.018</v>
      </c>
      <c r="T118" s="173">
        <f t="shared" si="53"/>
        <v>13908.018</v>
      </c>
      <c r="U118" s="173">
        <f t="shared" si="54"/>
        <v>13908.018</v>
      </c>
      <c r="V118" t="s">
        <v>16</v>
      </c>
      <c r="W118" t="str">
        <f t="shared" si="55"/>
        <v>N</v>
      </c>
    </row>
    <row r="119" spans="1:23">
      <c r="A119" s="52" t="s">
        <v>347</v>
      </c>
      <c r="B119" t="s">
        <v>373</v>
      </c>
      <c r="C119" s="52" t="str">
        <f t="shared" si="59"/>
        <v>Preliminary Statement  JH</v>
      </c>
      <c r="D119" s="52" t="str">
        <f t="shared" si="63"/>
        <v>Preliminary Statement  JH</v>
      </c>
      <c r="E119" s="52" t="str">
        <f t="shared" si="56"/>
        <v>Preliminary Statement  JH</v>
      </c>
      <c r="F119" s="52" t="str">
        <f t="shared" si="45"/>
        <v>Preliminary Statement  JH</v>
      </c>
      <c r="G119" s="52" t="s">
        <v>373</v>
      </c>
      <c r="H119" s="52" t="str">
        <f t="shared" si="36"/>
        <v>Preliminary Statement  JH</v>
      </c>
      <c r="I119" s="52" t="str">
        <f t="shared" si="61"/>
        <v>Preliminary Statement  JH</v>
      </c>
      <c r="J119" s="52" t="str">
        <f t="shared" si="49"/>
        <v>Preliminary Statement  JH</v>
      </c>
      <c r="K119" s="52" t="str">
        <f t="shared" si="50"/>
        <v>Preliminary Statement  JH</v>
      </c>
      <c r="L119" s="294">
        <v>1142.6683415070256</v>
      </c>
      <c r="M119" s="173">
        <f t="shared" si="64"/>
        <v>1142.6683415070256</v>
      </c>
      <c r="N119" s="173">
        <f t="shared" si="51"/>
        <v>1142.6683415070256</v>
      </c>
      <c r="O119" s="173">
        <f t="shared" si="51"/>
        <v>1142.6683415070256</v>
      </c>
      <c r="P119" s="173">
        <f t="shared" si="47"/>
        <v>1142.6683415070256</v>
      </c>
      <c r="Q119" s="173">
        <v>2820.1164937631061</v>
      </c>
      <c r="R119" s="173">
        <f t="shared" si="48"/>
        <v>2820.1164937631061</v>
      </c>
      <c r="S119" s="173">
        <f t="shared" si="62"/>
        <v>2820.1164937631061</v>
      </c>
      <c r="T119" s="173">
        <f t="shared" si="53"/>
        <v>2820.1164937631061</v>
      </c>
      <c r="U119" s="173">
        <f t="shared" si="54"/>
        <v>2820.1164937631061</v>
      </c>
      <c r="V119" t="s">
        <v>16</v>
      </c>
      <c r="W119" t="str">
        <f t="shared" si="55"/>
        <v>Y</v>
      </c>
    </row>
    <row r="120" spans="1:23">
      <c r="A120" s="52" t="s">
        <v>311</v>
      </c>
      <c r="B120" t="s">
        <v>291</v>
      </c>
      <c r="C120" s="52" t="str">
        <f t="shared" si="59"/>
        <v>D.21-12-001</v>
      </c>
      <c r="D120" s="52" t="str">
        <f t="shared" si="63"/>
        <v>D.21-12-001</v>
      </c>
      <c r="E120" s="52" t="str">
        <f t="shared" si="56"/>
        <v>D.21-12-001</v>
      </c>
      <c r="F120" s="52" t="str">
        <f t="shared" si="45"/>
        <v>D.21-12-001</v>
      </c>
      <c r="G120" s="52" t="s">
        <v>519</v>
      </c>
      <c r="H120" s="52" t="str">
        <f t="shared" si="36"/>
        <v>n/a</v>
      </c>
      <c r="I120" s="52" t="str">
        <f t="shared" si="61"/>
        <v>n/a</v>
      </c>
      <c r="J120" s="52" t="str">
        <f t="shared" si="49"/>
        <v>n/a</v>
      </c>
      <c r="K120" s="52" t="str">
        <f t="shared" si="50"/>
        <v>n/a</v>
      </c>
      <c r="L120" s="294">
        <v>-135562.32800000001</v>
      </c>
      <c r="M120" s="173"/>
      <c r="N120" s="173"/>
      <c r="O120" s="173"/>
      <c r="P120" s="173"/>
      <c r="Q120" s="173">
        <v>0</v>
      </c>
      <c r="R120" s="173">
        <f t="shared" si="48"/>
        <v>0</v>
      </c>
      <c r="S120" s="173">
        <f t="shared" si="62"/>
        <v>0</v>
      </c>
      <c r="T120" s="173">
        <f t="shared" si="53"/>
        <v>0</v>
      </c>
      <c r="U120" s="173">
        <f t="shared" si="54"/>
        <v>0</v>
      </c>
      <c r="V120" t="s">
        <v>18</v>
      </c>
      <c r="W120" t="str">
        <f t="shared" si="55"/>
        <v>N</v>
      </c>
    </row>
    <row r="121" spans="1:23">
      <c r="A121" s="52" t="s">
        <v>314</v>
      </c>
      <c r="B121" t="s">
        <v>317</v>
      </c>
      <c r="C121" s="52" t="str">
        <f t="shared" si="59"/>
        <v>D.21-12-011</v>
      </c>
      <c r="D121" t="s">
        <v>417</v>
      </c>
      <c r="E121" t="s">
        <v>416</v>
      </c>
      <c r="F121" s="52" t="str">
        <f t="shared" si="45"/>
        <v>D.21-12-011, AL 6934-E</v>
      </c>
      <c r="G121" s="52" t="s">
        <v>519</v>
      </c>
      <c r="H121" s="52" t="str">
        <f t="shared" si="36"/>
        <v>n/a</v>
      </c>
      <c r="I121" s="52" t="str">
        <f t="shared" si="61"/>
        <v>n/a</v>
      </c>
      <c r="J121" s="52" t="str">
        <f t="shared" si="49"/>
        <v>n/a</v>
      </c>
      <c r="K121" s="52"/>
      <c r="L121" s="294">
        <v>13221.407879999999</v>
      </c>
      <c r="M121" s="173">
        <f>L121</f>
        <v>13221.407879999999</v>
      </c>
      <c r="N121" s="173">
        <v>31416.005880000001</v>
      </c>
      <c r="O121" s="173">
        <v>49357.901129999998</v>
      </c>
      <c r="P121" s="173">
        <f t="shared" si="47"/>
        <v>49357.901129999998</v>
      </c>
      <c r="Q121" s="173">
        <v>0</v>
      </c>
      <c r="R121" s="173">
        <f t="shared" si="48"/>
        <v>0</v>
      </c>
      <c r="S121" s="173">
        <f t="shared" si="62"/>
        <v>0</v>
      </c>
      <c r="T121" s="173">
        <f t="shared" si="53"/>
        <v>0</v>
      </c>
      <c r="U121" s="173">
        <f t="shared" si="54"/>
        <v>0</v>
      </c>
      <c r="V121" t="s">
        <v>16</v>
      </c>
      <c r="W121" t="str">
        <f t="shared" si="55"/>
        <v>N</v>
      </c>
    </row>
    <row r="122" spans="1:23">
      <c r="A122" s="52"/>
      <c r="C122" s="52"/>
      <c r="D122" s="52"/>
      <c r="E122" s="52"/>
      <c r="F122" s="52"/>
      <c r="G122" s="52"/>
      <c r="H122" s="52"/>
      <c r="I122" s="52"/>
      <c r="J122" s="52"/>
      <c r="K122" s="52"/>
      <c r="L122" s="294"/>
      <c r="M122" s="295"/>
      <c r="N122" s="173"/>
      <c r="O122" s="173"/>
      <c r="P122" s="173"/>
      <c r="Q122" s="173"/>
      <c r="R122" s="173"/>
      <c r="S122" s="173"/>
      <c r="T122" s="173"/>
      <c r="U122" s="173">
        <f t="shared" si="54"/>
        <v>0</v>
      </c>
    </row>
    <row r="123" spans="1:23">
      <c r="A123" s="285" t="s">
        <v>9</v>
      </c>
      <c r="C123" s="52"/>
      <c r="D123" s="52"/>
      <c r="E123" s="52"/>
      <c r="F123" s="52"/>
      <c r="G123" s="52"/>
      <c r="H123" s="52"/>
      <c r="I123" s="52"/>
      <c r="J123" s="52"/>
      <c r="K123" s="52"/>
      <c r="L123" s="298">
        <f t="shared" ref="L123:R123" si="65">SUM(L79:L121)</f>
        <v>447344.49934588413</v>
      </c>
      <c r="M123" s="296">
        <f t="shared" si="65"/>
        <v>589274.93664588407</v>
      </c>
      <c r="N123" s="296">
        <f t="shared" si="65"/>
        <v>607883.55026861315</v>
      </c>
      <c r="O123" s="296">
        <f t="shared" si="65"/>
        <v>625825.44551861321</v>
      </c>
      <c r="P123" s="296">
        <f t="shared" si="65"/>
        <v>625825.44551861321</v>
      </c>
      <c r="Q123" s="296">
        <f t="shared" si="65"/>
        <v>290425.26220444986</v>
      </c>
      <c r="R123" s="296">
        <f t="shared" si="65"/>
        <v>290425.26220444986</v>
      </c>
      <c r="S123" s="296">
        <f>SUM(S79:S121)</f>
        <v>234132.59138462172</v>
      </c>
      <c r="T123" s="296">
        <f>SUM(T79:T121)</f>
        <v>234132.59138462172</v>
      </c>
      <c r="U123" s="296">
        <f>SUM(U79:U121)</f>
        <v>234132.59138462172</v>
      </c>
    </row>
    <row r="124" spans="1:23">
      <c r="C124" s="52"/>
      <c r="D124" s="52"/>
      <c r="E124" s="52"/>
      <c r="F124" s="52"/>
      <c r="G124" s="52"/>
      <c r="H124" s="52"/>
      <c r="I124" s="52"/>
      <c r="J124" s="52"/>
      <c r="K124" s="52"/>
      <c r="L124" s="294"/>
      <c r="M124" s="295"/>
      <c r="N124" s="173"/>
      <c r="O124" s="173"/>
      <c r="P124" s="173"/>
      <c r="Q124" s="173"/>
      <c r="R124" s="173"/>
      <c r="S124" s="173"/>
      <c r="T124" s="173"/>
      <c r="U124" s="173"/>
    </row>
    <row r="125" spans="1:23">
      <c r="A125" s="285" t="s">
        <v>10</v>
      </c>
      <c r="D125" s="52"/>
      <c r="E125" s="52"/>
      <c r="F125" s="52"/>
      <c r="G125" s="52"/>
      <c r="H125" s="52"/>
      <c r="I125" s="52"/>
      <c r="J125" s="52"/>
      <c r="K125" s="52"/>
      <c r="L125" s="294"/>
      <c r="M125" s="295"/>
      <c r="N125" s="173"/>
      <c r="O125" s="173"/>
      <c r="P125" s="173"/>
      <c r="Q125" s="173"/>
      <c r="R125" s="173"/>
      <c r="S125" s="173"/>
      <c r="T125" s="173"/>
      <c r="U125" s="173"/>
    </row>
    <row r="126" spans="1:23">
      <c r="A126" t="s">
        <v>159</v>
      </c>
      <c r="B126" t="s">
        <v>378</v>
      </c>
      <c r="C126" t="str">
        <f t="shared" ref="C126:D130" si="66">B126</f>
        <v>ER22-2986-000</v>
      </c>
      <c r="D126" s="52" t="str">
        <f t="shared" si="66"/>
        <v>ER22-2986-000</v>
      </c>
      <c r="E126" s="52" t="str">
        <f t="shared" si="56"/>
        <v>ER22-2986-000</v>
      </c>
      <c r="F126" s="52" t="str">
        <f t="shared" si="45"/>
        <v>ER22-2986-000</v>
      </c>
      <c r="G126" s="52" t="s">
        <v>524</v>
      </c>
      <c r="H126" s="52" t="s">
        <v>524</v>
      </c>
      <c r="I126" s="52" t="str">
        <f>H126</f>
        <v>ER24-96-000</v>
      </c>
      <c r="J126" s="52" t="str">
        <f>I126</f>
        <v>ER24-96-000</v>
      </c>
      <c r="K126" s="52" t="str">
        <f>J126</f>
        <v>ER24-96-000</v>
      </c>
      <c r="L126" s="173">
        <v>3183965.255121164</v>
      </c>
      <c r="M126" s="173">
        <f>L126</f>
        <v>3183965.255121164</v>
      </c>
      <c r="N126" s="173">
        <f t="shared" si="51"/>
        <v>3183965.255121164</v>
      </c>
      <c r="O126" s="173">
        <f t="shared" si="51"/>
        <v>3183965.255121164</v>
      </c>
      <c r="P126" s="173">
        <f t="shared" si="47"/>
        <v>3183965.255121164</v>
      </c>
      <c r="Q126" s="173">
        <v>2830225.6866610115</v>
      </c>
      <c r="R126" s="173">
        <v>2788799.6412609736</v>
      </c>
      <c r="S126" s="173">
        <f>R126</f>
        <v>2788799.6412609736</v>
      </c>
      <c r="T126" s="173">
        <v>2788799.6412609736</v>
      </c>
      <c r="U126" s="173">
        <f>T126</f>
        <v>2788799.6412609736</v>
      </c>
      <c r="V126" t="s">
        <v>11</v>
      </c>
      <c r="W126" t="str">
        <f>IF(RIGHT(A126,1)="*","Y","N")</f>
        <v>N</v>
      </c>
    </row>
    <row r="127" spans="1:23">
      <c r="A127" t="s">
        <v>89</v>
      </c>
      <c r="B127" t="s">
        <v>379</v>
      </c>
      <c r="C127" t="str">
        <f t="shared" si="66"/>
        <v>ER23-595-000</v>
      </c>
      <c r="D127" s="52" t="str">
        <f t="shared" si="66"/>
        <v>ER23-595-000</v>
      </c>
      <c r="E127" s="52" t="str">
        <f t="shared" si="56"/>
        <v>ER23-595-000</v>
      </c>
      <c r="F127" s="52" t="str">
        <f t="shared" si="45"/>
        <v>ER23-595-000</v>
      </c>
      <c r="G127" s="52" t="s">
        <v>379</v>
      </c>
      <c r="H127" s="52" t="s">
        <v>523</v>
      </c>
      <c r="I127" s="52" t="str">
        <f t="shared" ref="I127:J130" si="67">H127</f>
        <v>ER24-599-000</v>
      </c>
      <c r="J127" s="52" t="str">
        <f t="shared" si="67"/>
        <v>ER24-599-000</v>
      </c>
      <c r="K127" s="52" t="str">
        <f t="shared" ref="K127:K130" si="68">J127</f>
        <v>ER24-599-000</v>
      </c>
      <c r="L127" s="173">
        <v>325747.63098524226</v>
      </c>
      <c r="M127" s="173">
        <v>492205.46686767653</v>
      </c>
      <c r="N127" s="173">
        <f t="shared" si="51"/>
        <v>492205.46686767653</v>
      </c>
      <c r="O127" s="173">
        <f t="shared" si="51"/>
        <v>492205.46686767653</v>
      </c>
      <c r="P127" s="173">
        <f t="shared" si="47"/>
        <v>492205.46686767653</v>
      </c>
      <c r="Q127" s="173">
        <v>482469.04499999998</v>
      </c>
      <c r="R127" s="173">
        <v>370049.07346669649</v>
      </c>
      <c r="S127" s="173">
        <f>R127</f>
        <v>370049.07346669649</v>
      </c>
      <c r="T127" s="173">
        <v>370049.07346669649</v>
      </c>
      <c r="U127" s="173">
        <f t="shared" ref="U127:U130" si="69">T127</f>
        <v>370049.07346669649</v>
      </c>
      <c r="V127" t="s">
        <v>145</v>
      </c>
      <c r="W127" t="str">
        <f>IF(RIGHT(A127,1)="*","Y","N")</f>
        <v>N</v>
      </c>
    </row>
    <row r="128" spans="1:23">
      <c r="A128" t="s">
        <v>90</v>
      </c>
      <c r="B128" t="s">
        <v>378</v>
      </c>
      <c r="C128" t="str">
        <f t="shared" si="66"/>
        <v>ER22-2986-000</v>
      </c>
      <c r="D128" s="52" t="str">
        <f t="shared" si="66"/>
        <v>ER22-2986-000</v>
      </c>
      <c r="E128" s="52" t="str">
        <f t="shared" si="56"/>
        <v>ER22-2986-000</v>
      </c>
      <c r="F128" s="52" t="str">
        <f t="shared" si="45"/>
        <v>ER22-2986-000</v>
      </c>
      <c r="G128" s="52" t="s">
        <v>525</v>
      </c>
      <c r="H128" s="52" t="str">
        <f>G128</f>
        <v>ER23-2968-000</v>
      </c>
      <c r="I128" s="52" t="str">
        <f t="shared" si="67"/>
        <v>ER23-2968-000</v>
      </c>
      <c r="J128" s="52" t="str">
        <f t="shared" si="67"/>
        <v>ER23-2968-000</v>
      </c>
      <c r="K128" s="52" t="str">
        <f t="shared" si="68"/>
        <v>ER23-2968-000</v>
      </c>
      <c r="L128" s="173">
        <v>-445214.97731234826</v>
      </c>
      <c r="M128" s="173">
        <f>L128</f>
        <v>-445214.97731234826</v>
      </c>
      <c r="N128" s="173">
        <f t="shared" si="51"/>
        <v>-445214.97731234826</v>
      </c>
      <c r="O128" s="173">
        <f t="shared" si="51"/>
        <v>-445214.97731234826</v>
      </c>
      <c r="P128" s="173">
        <f t="shared" si="47"/>
        <v>-445214.97731234826</v>
      </c>
      <c r="Q128" s="173">
        <v>-494836.59899999999</v>
      </c>
      <c r="R128" s="173">
        <f>Q128</f>
        <v>-494836.59899999999</v>
      </c>
      <c r="S128" s="173">
        <f>R128</f>
        <v>-494836.59899999999</v>
      </c>
      <c r="T128" s="173">
        <v>-494836.59899999999</v>
      </c>
      <c r="U128" s="173">
        <f t="shared" si="69"/>
        <v>-494836.59899999999</v>
      </c>
      <c r="V128" t="s">
        <v>145</v>
      </c>
      <c r="W128" t="str">
        <f>IF(RIGHT(A128,1)="*","Y","N")</f>
        <v>N</v>
      </c>
    </row>
    <row r="129" spans="1:25">
      <c r="A129" t="s">
        <v>91</v>
      </c>
      <c r="B129" t="s">
        <v>378</v>
      </c>
      <c r="C129" t="str">
        <f t="shared" si="66"/>
        <v>ER22-2986-000</v>
      </c>
      <c r="D129" s="52" t="str">
        <f t="shared" si="66"/>
        <v>ER22-2986-000</v>
      </c>
      <c r="E129" s="52" t="str">
        <f t="shared" si="56"/>
        <v>ER22-2986-000</v>
      </c>
      <c r="F129" s="52" t="str">
        <f t="shared" si="45"/>
        <v>ER22-2986-000</v>
      </c>
      <c r="G129" s="52" t="s">
        <v>525</v>
      </c>
      <c r="H129" s="52" t="str">
        <f>G129</f>
        <v>ER23-2968-000</v>
      </c>
      <c r="I129" s="52" t="str">
        <f t="shared" si="67"/>
        <v>ER23-2968-000</v>
      </c>
      <c r="J129" s="52" t="str">
        <f t="shared" si="67"/>
        <v>ER23-2968-000</v>
      </c>
      <c r="K129" s="52" t="str">
        <f t="shared" si="68"/>
        <v>ER23-2968-000</v>
      </c>
      <c r="L129" s="173">
        <v>41539.800000000003</v>
      </c>
      <c r="M129" s="173">
        <f>L129</f>
        <v>41539.800000000003</v>
      </c>
      <c r="N129" s="173">
        <f t="shared" si="51"/>
        <v>41539.800000000003</v>
      </c>
      <c r="O129" s="173">
        <f t="shared" si="51"/>
        <v>41539.800000000003</v>
      </c>
      <c r="P129" s="173">
        <f t="shared" si="47"/>
        <v>41539.800000000003</v>
      </c>
      <c r="Q129" s="173">
        <v>6868.1938929258431</v>
      </c>
      <c r="R129" s="173">
        <f>Q129</f>
        <v>6868.1938929258431</v>
      </c>
      <c r="S129" s="173">
        <f>R129</f>
        <v>6868.1938929258431</v>
      </c>
      <c r="T129" s="173">
        <v>6868.1938929258431</v>
      </c>
      <c r="U129" s="173">
        <f t="shared" si="69"/>
        <v>6868.1938929258431</v>
      </c>
      <c r="V129" t="s">
        <v>145</v>
      </c>
      <c r="W129" t="str">
        <f>IF(RIGHT(A129,1)="*","Y","N")</f>
        <v>N</v>
      </c>
    </row>
    <row r="130" spans="1:25">
      <c r="A130" t="s">
        <v>92</v>
      </c>
      <c r="B130" t="s">
        <v>378</v>
      </c>
      <c r="C130" t="str">
        <f t="shared" si="66"/>
        <v>ER22-2986-000</v>
      </c>
      <c r="D130" s="52" t="str">
        <f t="shared" si="66"/>
        <v>ER22-2986-000</v>
      </c>
      <c r="E130" s="52" t="str">
        <f t="shared" si="56"/>
        <v>ER22-2986-000</v>
      </c>
      <c r="F130" s="52" t="str">
        <f t="shared" si="45"/>
        <v>ER22-2986-000</v>
      </c>
      <c r="G130" s="52" t="s">
        <v>525</v>
      </c>
      <c r="H130" s="52" t="str">
        <f>G130</f>
        <v>ER23-2968-000</v>
      </c>
      <c r="I130" s="52" t="str">
        <f t="shared" si="67"/>
        <v>ER23-2968-000</v>
      </c>
      <c r="J130" s="52" t="str">
        <f t="shared" si="67"/>
        <v>ER23-2968-000</v>
      </c>
      <c r="K130" s="52" t="str">
        <f t="shared" si="68"/>
        <v>ER23-2968-000</v>
      </c>
      <c r="L130" s="173">
        <v>0</v>
      </c>
      <c r="M130" s="173">
        <f>L130</f>
        <v>0</v>
      </c>
      <c r="N130" s="173">
        <f t="shared" si="51"/>
        <v>0</v>
      </c>
      <c r="O130" s="173">
        <f t="shared" si="51"/>
        <v>0</v>
      </c>
      <c r="P130" s="173">
        <f t="shared" si="47"/>
        <v>0</v>
      </c>
      <c r="Q130" s="173">
        <v>0</v>
      </c>
      <c r="R130" s="173">
        <f>Q130</f>
        <v>0</v>
      </c>
      <c r="S130" s="173">
        <f>R130</f>
        <v>0</v>
      </c>
      <c r="T130" s="173">
        <v>-7636.4776329659817</v>
      </c>
      <c r="U130" s="173">
        <f t="shared" si="69"/>
        <v>-7636.4776329659817</v>
      </c>
      <c r="V130" t="s">
        <v>145</v>
      </c>
      <c r="W130" t="str">
        <f>IF(RIGHT(A130,1)="*","Y","N")</f>
        <v>N</v>
      </c>
    </row>
    <row r="131" spans="1:25">
      <c r="A131" s="285" t="s">
        <v>12</v>
      </c>
      <c r="L131" s="298">
        <f t="shared" ref="L131:U131" si="70">SUM(L126:L130)</f>
        <v>3106037.7087940578</v>
      </c>
      <c r="M131" s="296">
        <f t="shared" si="70"/>
        <v>3272495.544676492</v>
      </c>
      <c r="N131" s="296">
        <f t="shared" si="70"/>
        <v>3272495.544676492</v>
      </c>
      <c r="O131" s="296">
        <f t="shared" si="70"/>
        <v>3272495.544676492</v>
      </c>
      <c r="P131" s="296">
        <f t="shared" si="70"/>
        <v>3272495.544676492</v>
      </c>
      <c r="Q131" s="296">
        <f t="shared" si="70"/>
        <v>2824726.3265539375</v>
      </c>
      <c r="R131" s="296">
        <f t="shared" si="70"/>
        <v>2670880.309620596</v>
      </c>
      <c r="S131" s="296">
        <f t="shared" si="70"/>
        <v>2670880.309620596</v>
      </c>
      <c r="T131" s="296">
        <f t="shared" si="70"/>
        <v>2663243.8319876301</v>
      </c>
      <c r="U131" s="296">
        <f t="shared" si="70"/>
        <v>2663243.8319876301</v>
      </c>
    </row>
    <row r="132" spans="1:25">
      <c r="L132" s="294"/>
      <c r="M132" s="295"/>
      <c r="N132" s="173"/>
      <c r="O132" s="173"/>
      <c r="P132" s="173"/>
      <c r="Q132" s="173"/>
      <c r="R132" s="173"/>
      <c r="S132" s="296"/>
      <c r="T132" s="296"/>
      <c r="U132" s="296"/>
    </row>
    <row r="133" spans="1:25" ht="15.75" thickBot="1">
      <c r="A133" s="285" t="s">
        <v>56</v>
      </c>
      <c r="L133" s="299">
        <f t="shared" ref="L133:R133" si="71">L76+L123+L131</f>
        <v>10785583.511571098</v>
      </c>
      <c r="M133" s="300">
        <f t="shared" si="71"/>
        <v>11758458.207218187</v>
      </c>
      <c r="N133" s="300">
        <f t="shared" si="71"/>
        <v>11353933.830644779</v>
      </c>
      <c r="O133" s="300">
        <f t="shared" si="71"/>
        <v>12563035.643389778</v>
      </c>
      <c r="P133" s="300">
        <f t="shared" si="71"/>
        <v>12926513.12304166</v>
      </c>
      <c r="Q133" s="300">
        <f t="shared" si="71"/>
        <v>20710613.355999559</v>
      </c>
      <c r="R133" s="300">
        <f t="shared" si="71"/>
        <v>20734135.471295606</v>
      </c>
      <c r="S133" s="300">
        <f>S76+S123+S131</f>
        <v>21092403.801539544</v>
      </c>
      <c r="T133" s="300">
        <f>T76+T123+T131</f>
        <v>19414653.060244322</v>
      </c>
      <c r="U133" s="300">
        <f>U76+U123+U131</f>
        <v>19590006.678271208</v>
      </c>
      <c r="V133" s="54"/>
      <c r="W133" s="294"/>
      <c r="Y133" s="178"/>
    </row>
    <row r="134" spans="1:25" ht="15.75" thickTop="1">
      <c r="L134" s="294">
        <v>15619060.132071162</v>
      </c>
      <c r="M134" s="173">
        <v>16591934.827718249</v>
      </c>
      <c r="N134" s="173">
        <v>16187410.451144839</v>
      </c>
      <c r="O134" s="173">
        <v>17396512.263889838</v>
      </c>
      <c r="P134" s="173">
        <v>17759989.743541721</v>
      </c>
      <c r="Q134" s="173">
        <v>20710613.355091143</v>
      </c>
      <c r="R134" s="173">
        <v>20734135.470387191</v>
      </c>
      <c r="S134" s="173">
        <v>21092403.800631128</v>
      </c>
      <c r="T134" s="173">
        <v>19414653.118817348</v>
      </c>
      <c r="U134" s="173">
        <v>19590006.678271208</v>
      </c>
    </row>
    <row r="135" spans="1:25">
      <c r="L135" s="294">
        <f t="shared" ref="L135:S135" si="72">L133-L134</f>
        <v>-4833476.6205000635</v>
      </c>
      <c r="M135" s="294">
        <f t="shared" si="72"/>
        <v>-4833476.6205000617</v>
      </c>
      <c r="N135" s="294">
        <f t="shared" si="72"/>
        <v>-4833476.6205000598</v>
      </c>
      <c r="O135" s="295">
        <f t="shared" si="72"/>
        <v>-4833476.6205000598</v>
      </c>
      <c r="P135" s="294">
        <f t="shared" si="72"/>
        <v>-4833476.6205000617</v>
      </c>
      <c r="Q135" s="294">
        <f t="shared" si="72"/>
        <v>9.0841576457023621E-4</v>
      </c>
      <c r="R135" s="295">
        <f t="shared" si="72"/>
        <v>9.0841576457023621E-4</v>
      </c>
      <c r="S135" s="295">
        <f t="shared" si="72"/>
        <v>9.0841576457023621E-4</v>
      </c>
      <c r="T135" s="295">
        <f>T133-T134</f>
        <v>-5.8573026210069656E-2</v>
      </c>
      <c r="U135" s="295">
        <f>U133-U134</f>
        <v>0</v>
      </c>
      <c r="V135" s="294"/>
      <c r="W135" s="294"/>
    </row>
    <row r="136" spans="1:25">
      <c r="L136" s="301"/>
      <c r="P136" s="173"/>
      <c r="Q136" s="173"/>
      <c r="R136" s="173"/>
      <c r="S136" s="173"/>
      <c r="T136" s="173"/>
      <c r="U136" s="173"/>
    </row>
    <row r="137" spans="1:25">
      <c r="P137" s="173"/>
      <c r="Q137" s="173"/>
      <c r="R137" s="173"/>
      <c r="S137" s="173"/>
      <c r="T137" s="173"/>
      <c r="U137" s="173"/>
    </row>
    <row r="138" spans="1:25">
      <c r="L138" s="295"/>
      <c r="M138" s="294"/>
      <c r="N138" s="294"/>
      <c r="O138" s="295"/>
      <c r="P138" s="173"/>
      <c r="Q138" s="173"/>
      <c r="R138" s="173"/>
      <c r="S138" s="173"/>
      <c r="T138" s="173"/>
      <c r="U138" s="173"/>
    </row>
    <row r="139" spans="1:25">
      <c r="A139" t="s">
        <v>64</v>
      </c>
      <c r="P139" s="173"/>
      <c r="Q139" s="173"/>
      <c r="R139" s="173"/>
      <c r="S139" s="173"/>
      <c r="T139" s="173"/>
      <c r="U139" s="173"/>
    </row>
    <row r="140" spans="1:25">
      <c r="A140" t="s">
        <v>342</v>
      </c>
    </row>
    <row r="141" spans="1:25">
      <c r="A141" t="s">
        <v>343</v>
      </c>
    </row>
    <row r="142" spans="1:25">
      <c r="A142" t="s">
        <v>422</v>
      </c>
    </row>
    <row r="143" spans="1:25">
      <c r="A143" t="s">
        <v>421</v>
      </c>
    </row>
    <row r="144" spans="1:25">
      <c r="A144" t="s">
        <v>514</v>
      </c>
    </row>
    <row r="145" spans="1:1">
      <c r="A145" t="s">
        <v>533</v>
      </c>
    </row>
    <row r="146" spans="1:1">
      <c r="A146" s="302" t="s">
        <v>604</v>
      </c>
    </row>
    <row r="147" spans="1:1">
      <c r="A147" t="s">
        <v>603</v>
      </c>
    </row>
    <row r="148" spans="1:1">
      <c r="A148" t="s">
        <v>609</v>
      </c>
    </row>
  </sheetData>
  <sortState xmlns:xlrd2="http://schemas.microsoft.com/office/spreadsheetml/2017/richdata2" ref="A80:L123">
    <sortCondition ref="L80:L123"/>
  </sortState>
  <mergeCells count="2">
    <mergeCell ref="L7:R7"/>
    <mergeCell ref="B7:H7"/>
  </mergeCells>
  <pageMargins left="0.7" right="0.7" top="0.75" bottom="0.75" header="0.3" footer="0.3"/>
  <pageSetup paperSize="5" scale="28" orientation="landscape" r:id="rId1"/>
  <headerFooter>
    <oddFooter xml:space="preserve">&amp;C_x000D_&amp;1#&amp;"Calibri"&amp;12&amp;K000000 Public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F7DA5-8F2A-447A-9B23-06CD6D8B0E1D}">
  <sheetPr codeName="Sheet2"/>
  <dimension ref="A2:W270"/>
  <sheetViews>
    <sheetView zoomScale="80" zoomScaleNormal="80" workbookViewId="0">
      <pane xSplit="1" ySplit="8" topLeftCell="B58" activePane="bottomRight" state="frozen"/>
      <selection pane="topRight" activeCell="B1" sqref="B1"/>
      <selection pane="bottomLeft" activeCell="A9" sqref="A9"/>
      <selection pane="bottomRight" activeCell="I147" sqref="I147"/>
    </sheetView>
  </sheetViews>
  <sheetFormatPr defaultColWidth="9.140625" defaultRowHeight="15" outlineLevelRow="1"/>
  <cols>
    <col min="1" max="1" width="78.140625" bestFit="1" customWidth="1"/>
    <col min="2" max="2" width="24.42578125" bestFit="1" customWidth="1"/>
    <col min="3" max="3" width="58.28515625" customWidth="1"/>
    <col min="4" max="4" width="14.85546875" style="53" customWidth="1"/>
    <col min="5" max="5" width="23" customWidth="1"/>
    <col min="6" max="6" width="15.7109375" bestFit="1" customWidth="1"/>
    <col min="7" max="7" width="14.28515625" bestFit="1" customWidth="1"/>
    <col min="8" max="8" width="15.42578125" bestFit="1" customWidth="1"/>
    <col min="9" max="9" width="15.42578125" customWidth="1"/>
    <col min="10" max="10" width="15.42578125" style="54" customWidth="1"/>
    <col min="11" max="11" width="13.85546875" customWidth="1"/>
    <col min="12" max="12" width="13.7109375" bestFit="1" customWidth="1"/>
    <col min="13" max="13" width="13" bestFit="1" customWidth="1"/>
    <col min="14" max="14" width="13" customWidth="1"/>
    <col min="15" max="15" width="6" bestFit="1" customWidth="1"/>
    <col min="17" max="17" width="22.140625" bestFit="1" customWidth="1"/>
    <col min="18" max="18" width="17.28515625" customWidth="1"/>
    <col min="19" max="19" width="18.85546875" bestFit="1" customWidth="1"/>
    <col min="20" max="20" width="14.7109375" customWidth="1"/>
    <col min="21" max="21" width="13.85546875" customWidth="1"/>
    <col min="22" max="22" width="13.7109375" customWidth="1"/>
    <col min="23" max="23" width="25.42578125" customWidth="1"/>
    <col min="24" max="24" width="15.42578125" customWidth="1"/>
  </cols>
  <sheetData>
    <row r="2" spans="1:23">
      <c r="A2" t="str">
        <f>'Authorized Rev Req'!A2</f>
        <v>Annual Period 2024</v>
      </c>
      <c r="B2" s="284"/>
    </row>
    <row r="3" spans="1:23">
      <c r="A3" t="str">
        <f>'Authorized Rev Req'!A3</f>
        <v>Reporting Date: September 1, 2024</v>
      </c>
      <c r="B3" s="284"/>
      <c r="E3" s="139"/>
      <c r="F3" s="139"/>
      <c r="G3" s="139"/>
    </row>
    <row r="4" spans="1:23">
      <c r="B4" s="284"/>
      <c r="C4" s="52"/>
      <c r="F4" s="139"/>
    </row>
    <row r="5" spans="1:23">
      <c r="A5" s="285" t="s">
        <v>61</v>
      </c>
      <c r="B5" s="303">
        <f>'Authorized Rev Req'!U133</f>
        <v>19590006.678271208</v>
      </c>
      <c r="F5" s="178"/>
    </row>
    <row r="6" spans="1:23">
      <c r="A6" s="285" t="s">
        <v>160</v>
      </c>
      <c r="B6" s="303" t="str">
        <f>'Authorized Rev Req'!K5</f>
        <v>September 1, 2024</v>
      </c>
      <c r="H6" s="139"/>
    </row>
    <row r="7" spans="1:23" ht="32.25" customHeight="1">
      <c r="A7" s="426" t="s">
        <v>59</v>
      </c>
      <c r="B7" s="426"/>
      <c r="C7" s="426"/>
      <c r="D7" s="426"/>
      <c r="E7" s="426"/>
      <c r="F7" s="426"/>
      <c r="G7" s="426"/>
      <c r="H7" s="426"/>
      <c r="I7" s="426"/>
      <c r="J7" s="426"/>
    </row>
    <row r="8" spans="1:23" ht="71.25" customHeight="1">
      <c r="A8" s="304" t="s">
        <v>1</v>
      </c>
      <c r="B8" s="304" t="s">
        <v>0</v>
      </c>
      <c r="C8" s="305" t="s">
        <v>5</v>
      </c>
      <c r="D8" s="306" t="s">
        <v>503</v>
      </c>
      <c r="E8" s="305" t="s">
        <v>2</v>
      </c>
      <c r="J8" s="305" t="s">
        <v>62</v>
      </c>
      <c r="Q8" s="307" t="s">
        <v>181</v>
      </c>
      <c r="R8" s="307"/>
    </row>
    <row r="9" spans="1:23">
      <c r="A9" s="285" t="s">
        <v>3</v>
      </c>
      <c r="F9">
        <v>2024</v>
      </c>
      <c r="G9">
        <f>F9+1</f>
        <v>2025</v>
      </c>
      <c r="H9">
        <f>G9+1</f>
        <v>2026</v>
      </c>
      <c r="I9">
        <f>H9+1</f>
        <v>2027</v>
      </c>
      <c r="R9" s="288">
        <f>F9</f>
        <v>2024</v>
      </c>
      <c r="S9" s="288">
        <f>G9</f>
        <v>2025</v>
      </c>
      <c r="T9" s="288">
        <f>H9</f>
        <v>2026</v>
      </c>
      <c r="U9" s="288">
        <f>I9</f>
        <v>2027</v>
      </c>
      <c r="V9" s="288"/>
    </row>
    <row r="10" spans="1:23">
      <c r="A10" t="s">
        <v>157</v>
      </c>
      <c r="C10" s="308" t="s">
        <v>473</v>
      </c>
      <c r="D10" s="308">
        <f>'Authorized Rev Req'!U9</f>
        <v>6515126.9516018834</v>
      </c>
      <c r="E10" t="s">
        <v>6</v>
      </c>
      <c r="F10" s="140">
        <f t="shared" ref="F10:F29" si="0">D10</f>
        <v>6515126.9516018834</v>
      </c>
      <c r="G10" s="140">
        <v>7048270.1829615748</v>
      </c>
      <c r="H10" s="140">
        <v>7626238.2999950023</v>
      </c>
      <c r="I10" s="140">
        <f>H10</f>
        <v>7626238.2999950023</v>
      </c>
      <c r="J10" s="54" t="s">
        <v>137</v>
      </c>
      <c r="Q10" t="s">
        <v>4</v>
      </c>
      <c r="R10" s="140">
        <f t="shared" ref="R10:U15" si="1">SUMIF($E$10:$E$108,$Q10,F$10:F$108)</f>
        <v>4168925.3443182372</v>
      </c>
      <c r="S10" s="140">
        <f t="shared" si="1"/>
        <v>4424925.3443182372</v>
      </c>
      <c r="T10" s="140">
        <f t="shared" si="1"/>
        <v>4424925.3443182372</v>
      </c>
      <c r="U10" s="140">
        <f t="shared" si="1"/>
        <v>4424925.3443182372</v>
      </c>
      <c r="V10" s="140"/>
      <c r="W10" s="140"/>
    </row>
    <row r="11" spans="1:23">
      <c r="A11" t="s">
        <v>335</v>
      </c>
      <c r="C11" s="308" t="s">
        <v>473</v>
      </c>
      <c r="D11" s="308">
        <f>'Authorized Rev Req'!U10</f>
        <v>817618.53230883065</v>
      </c>
      <c r="E11" t="s">
        <v>328</v>
      </c>
      <c r="F11" s="140">
        <f t="shared" si="0"/>
        <v>817618.53230883065</v>
      </c>
      <c r="G11" s="140">
        <f>F11</f>
        <v>817618.53230883065</v>
      </c>
      <c r="H11" s="140">
        <f>G11</f>
        <v>817618.53230883065</v>
      </c>
      <c r="I11" s="140">
        <f>H11</f>
        <v>817618.53230883065</v>
      </c>
      <c r="J11" s="54" t="s">
        <v>137</v>
      </c>
      <c r="Q11" s="138" t="s">
        <v>15</v>
      </c>
      <c r="R11" s="140">
        <f t="shared" si="1"/>
        <v>444350.2979319889</v>
      </c>
      <c r="S11" s="140">
        <f t="shared" si="1"/>
        <v>380080.17407251365</v>
      </c>
      <c r="T11" s="140">
        <f t="shared" si="1"/>
        <v>380080.17407251365</v>
      </c>
      <c r="U11" s="140">
        <f t="shared" si="1"/>
        <v>380080.17407251365</v>
      </c>
      <c r="V11" s="140"/>
      <c r="W11" s="140"/>
    </row>
    <row r="12" spans="1:23">
      <c r="A12" t="s">
        <v>157</v>
      </c>
      <c r="C12" s="308" t="s">
        <v>473</v>
      </c>
      <c r="D12" s="308">
        <f>'Authorized Rev Req'!U15</f>
        <v>2264591.3655145746</v>
      </c>
      <c r="E12" t="s">
        <v>219</v>
      </c>
      <c r="F12" s="140">
        <f t="shared" si="0"/>
        <v>2264591.3655145746</v>
      </c>
      <c r="G12" s="140">
        <v>1848595.0987140844</v>
      </c>
      <c r="H12" s="140">
        <v>1205677.1825411695</v>
      </c>
      <c r="I12" s="140">
        <f>H12</f>
        <v>1205677.1825411695</v>
      </c>
      <c r="J12" s="54" t="s">
        <v>137</v>
      </c>
      <c r="Q12" t="s">
        <v>6</v>
      </c>
      <c r="R12" s="140">
        <f t="shared" si="1"/>
        <v>9292315.5973220039</v>
      </c>
      <c r="S12" s="140">
        <f t="shared" si="1"/>
        <v>8577258.5517251138</v>
      </c>
      <c r="T12" s="140">
        <f t="shared" si="1"/>
        <v>8364959.2733553536</v>
      </c>
      <c r="U12" s="140">
        <f t="shared" si="1"/>
        <v>8501887.9321043398</v>
      </c>
      <c r="V12" s="140"/>
      <c r="W12" s="140"/>
    </row>
    <row r="13" spans="1:23">
      <c r="A13" t="s">
        <v>474</v>
      </c>
      <c r="C13" s="308" t="s">
        <v>473</v>
      </c>
      <c r="D13" s="308">
        <f>'Authorized Rev Req'!U12</f>
        <v>872096.71037771134</v>
      </c>
      <c r="E13" t="s">
        <v>6</v>
      </c>
      <c r="F13" s="54">
        <f t="shared" si="0"/>
        <v>872096.71037771134</v>
      </c>
      <c r="G13" s="54">
        <f>F13</f>
        <v>872096.71037771134</v>
      </c>
      <c r="H13" s="140">
        <v>0</v>
      </c>
      <c r="I13" s="140">
        <v>0</v>
      </c>
      <c r="J13" s="54" t="s">
        <v>136</v>
      </c>
      <c r="Q13" t="s">
        <v>140</v>
      </c>
      <c r="R13" s="140">
        <f t="shared" si="1"/>
        <v>-689321.08387833403</v>
      </c>
      <c r="S13" s="140">
        <f t="shared" si="1"/>
        <v>-689321.08387833403</v>
      </c>
      <c r="T13" s="140">
        <f t="shared" si="1"/>
        <v>-689321.08387833403</v>
      </c>
      <c r="U13" s="140">
        <f t="shared" si="1"/>
        <v>-689321.08387833403</v>
      </c>
      <c r="V13" s="140"/>
      <c r="W13" s="140"/>
    </row>
    <row r="14" spans="1:23">
      <c r="A14" t="s">
        <v>474</v>
      </c>
      <c r="C14" s="308" t="s">
        <v>473</v>
      </c>
      <c r="D14" s="308">
        <f>'Authorized Rev Req'!U16</f>
        <v>-993.7272371893788</v>
      </c>
      <c r="E14" t="s">
        <v>219</v>
      </c>
      <c r="F14" s="54">
        <f t="shared" si="0"/>
        <v>-993.7272371893788</v>
      </c>
      <c r="G14" s="54">
        <f>F14</f>
        <v>-993.7272371893788</v>
      </c>
      <c r="H14" s="140">
        <v>0</v>
      </c>
      <c r="I14" s="140">
        <v>0</v>
      </c>
      <c r="J14" s="54" t="s">
        <v>136</v>
      </c>
      <c r="Q14" t="s">
        <v>69</v>
      </c>
      <c r="R14" s="140">
        <f t="shared" si="1"/>
        <v>75596.533707629613</v>
      </c>
      <c r="S14" s="140">
        <f t="shared" si="1"/>
        <v>14630.403030328112</v>
      </c>
      <c r="T14" s="140">
        <f t="shared" si="1"/>
        <v>14630.403030328112</v>
      </c>
      <c r="U14" s="140">
        <f t="shared" si="1"/>
        <v>14630.403030328112</v>
      </c>
      <c r="V14" s="140"/>
      <c r="W14" s="140"/>
    </row>
    <row r="15" spans="1:23">
      <c r="A15" t="s">
        <v>351</v>
      </c>
      <c r="C15" s="308" t="str">
        <f>'Authorized Rev Req'!H14</f>
        <v>D.23-01-005</v>
      </c>
      <c r="D15" s="308">
        <f>'Authorized Rev Req'!U14</f>
        <v>404008.12629373185</v>
      </c>
      <c r="E15" t="s">
        <v>6</v>
      </c>
      <c r="F15" s="139">
        <f t="shared" si="0"/>
        <v>404008.12629373185</v>
      </c>
      <c r="G15" s="139">
        <v>0</v>
      </c>
      <c r="H15" s="139">
        <v>0</v>
      </c>
      <c r="I15" s="140">
        <v>0</v>
      </c>
      <c r="J15" s="54" t="s">
        <v>136</v>
      </c>
      <c r="Q15" t="s">
        <v>17</v>
      </c>
      <c r="R15" s="140">
        <f t="shared" si="1"/>
        <v>-209072.92178726735</v>
      </c>
      <c r="S15" s="140">
        <f t="shared" si="1"/>
        <v>11760.785984999997</v>
      </c>
      <c r="T15" s="140">
        <f t="shared" si="1"/>
        <v>0</v>
      </c>
      <c r="U15" s="140">
        <f t="shared" si="1"/>
        <v>0</v>
      </c>
      <c r="V15" s="140"/>
      <c r="W15" s="140"/>
    </row>
    <row r="16" spans="1:23">
      <c r="A16" t="s">
        <v>549</v>
      </c>
      <c r="C16" t="s">
        <v>589</v>
      </c>
      <c r="D16" s="308">
        <v>0</v>
      </c>
      <c r="E16" t="s">
        <v>6</v>
      </c>
      <c r="F16" s="139">
        <v>0</v>
      </c>
      <c r="G16" s="139">
        <v>144310</v>
      </c>
      <c r="H16" s="139">
        <f>91568+G16</f>
        <v>235878</v>
      </c>
      <c r="I16" s="139">
        <f>99071+H16</f>
        <v>334949</v>
      </c>
      <c r="J16" s="54" t="s">
        <v>137</v>
      </c>
      <c r="R16" s="140"/>
      <c r="S16" s="140"/>
      <c r="T16" s="140"/>
      <c r="U16" s="140"/>
      <c r="V16" s="140"/>
      <c r="W16" s="140"/>
    </row>
    <row r="17" spans="1:23" outlineLevel="1">
      <c r="A17" t="s">
        <v>68</v>
      </c>
      <c r="C17" s="308" t="s">
        <v>557</v>
      </c>
      <c r="D17" s="139">
        <f>'Authorized Rev Req'!U17</f>
        <v>71556.24213014952</v>
      </c>
      <c r="E17" t="s">
        <v>6</v>
      </c>
      <c r="F17" s="139">
        <v>71556.30161158042</v>
      </c>
      <c r="G17" s="139">
        <f t="shared" ref="G17:I18" si="2">F17</f>
        <v>71556.30161158042</v>
      </c>
      <c r="H17" s="139">
        <f t="shared" si="2"/>
        <v>71556.30161158042</v>
      </c>
      <c r="I17" s="139">
        <f t="shared" si="2"/>
        <v>71556.30161158042</v>
      </c>
      <c r="J17" s="54" t="s">
        <v>137</v>
      </c>
      <c r="Q17" t="s">
        <v>16</v>
      </c>
      <c r="R17" s="140">
        <f t="shared" ref="R17:U24" si="3">SUMIF($E$10:$E$108,$Q17,F$10:F$108)</f>
        <v>609236.34423596959</v>
      </c>
      <c r="S17" s="140">
        <f t="shared" si="3"/>
        <v>454974.11522247858</v>
      </c>
      <c r="T17" s="140">
        <f t="shared" si="3"/>
        <v>429046.22527000011</v>
      </c>
      <c r="U17" s="140">
        <f t="shared" si="3"/>
        <v>407924.83577000012</v>
      </c>
      <c r="V17" s="140"/>
      <c r="W17" s="140"/>
    </row>
    <row r="18" spans="1:23" outlineLevel="1">
      <c r="A18" t="s">
        <v>68</v>
      </c>
      <c r="C18" s="308" t="s">
        <v>557</v>
      </c>
      <c r="D18" s="139">
        <f>'Authorized Rev Req'!U19</f>
        <v>40840.810625489292</v>
      </c>
      <c r="E18" t="s">
        <v>219</v>
      </c>
      <c r="F18" s="139">
        <v>39491.613222698499</v>
      </c>
      <c r="G18" s="139">
        <f t="shared" si="2"/>
        <v>39491.613222698499</v>
      </c>
      <c r="H18" s="139">
        <f t="shared" si="2"/>
        <v>39491.613222698499</v>
      </c>
      <c r="I18" s="139">
        <f t="shared" si="2"/>
        <v>39491.613222698499</v>
      </c>
      <c r="J18" s="54" t="s">
        <v>137</v>
      </c>
      <c r="Q18" t="s">
        <v>18</v>
      </c>
      <c r="R18" s="140">
        <f t="shared" si="3"/>
        <v>393053.02899999998</v>
      </c>
      <c r="S18" s="140">
        <f t="shared" si="3"/>
        <v>393053.02899999998</v>
      </c>
      <c r="T18" s="140">
        <f t="shared" si="3"/>
        <v>393053.02899999998</v>
      </c>
      <c r="U18" s="140">
        <f t="shared" si="3"/>
        <v>393053.02899999998</v>
      </c>
      <c r="V18" s="140"/>
      <c r="W18" s="140"/>
    </row>
    <row r="19" spans="1:23">
      <c r="A19" t="s">
        <v>472</v>
      </c>
      <c r="C19" s="308" t="s">
        <v>473</v>
      </c>
      <c r="D19" s="308">
        <f>'Authorized Rev Req'!U13</f>
        <v>8928.6850254772435</v>
      </c>
      <c r="E19" t="s">
        <v>6</v>
      </c>
      <c r="F19" s="140">
        <f t="shared" si="0"/>
        <v>8928.6850254772435</v>
      </c>
      <c r="G19" s="140">
        <v>8928.6850254772435</v>
      </c>
      <c r="H19" s="140">
        <v>0</v>
      </c>
      <c r="I19" s="140">
        <v>0</v>
      </c>
      <c r="J19" s="54" t="s">
        <v>136</v>
      </c>
      <c r="Q19" s="138" t="s">
        <v>138</v>
      </c>
      <c r="R19" s="140">
        <f t="shared" si="3"/>
        <v>-2005.9644950460411</v>
      </c>
      <c r="S19" s="140">
        <f t="shared" si="3"/>
        <v>0</v>
      </c>
      <c r="T19" s="140">
        <f t="shared" si="3"/>
        <v>0</v>
      </c>
      <c r="U19" s="140">
        <f t="shared" si="3"/>
        <v>0</v>
      </c>
      <c r="V19" s="140"/>
      <c r="W19" s="140"/>
    </row>
    <row r="20" spans="1:23">
      <c r="A20" t="s">
        <v>73</v>
      </c>
      <c r="C20" s="308" t="s">
        <v>473</v>
      </c>
      <c r="D20" s="308">
        <f>'Authorized Rev Req'!U21</f>
        <v>-1828</v>
      </c>
      <c r="E20" t="s">
        <v>219</v>
      </c>
      <c r="F20" s="140">
        <f t="shared" si="0"/>
        <v>-1828</v>
      </c>
      <c r="G20" s="140">
        <f t="shared" ref="G20:H22" si="4">F20</f>
        <v>-1828</v>
      </c>
      <c r="H20" s="140">
        <f t="shared" si="4"/>
        <v>-1828</v>
      </c>
      <c r="I20" s="140">
        <f>H20</f>
        <v>-1828</v>
      </c>
      <c r="J20" s="54" t="s">
        <v>137</v>
      </c>
      <c r="Q20" t="s">
        <v>11</v>
      </c>
      <c r="R20" s="140">
        <f t="shared" si="3"/>
        <v>2788799.6412609736</v>
      </c>
      <c r="S20" s="140">
        <f t="shared" si="3"/>
        <v>2788799.6412609736</v>
      </c>
      <c r="T20" s="140">
        <f t="shared" si="3"/>
        <v>2788799.6412609736</v>
      </c>
      <c r="U20" s="140">
        <f t="shared" si="3"/>
        <v>2788799.6412609736</v>
      </c>
      <c r="V20" s="140"/>
      <c r="W20" s="140"/>
    </row>
    <row r="21" spans="1:23">
      <c r="A21" t="s">
        <v>466</v>
      </c>
      <c r="C21" s="308" t="s">
        <v>506</v>
      </c>
      <c r="D21" s="308">
        <f>'Authorized Rev Req'!U22</f>
        <v>4421013.2718403628</v>
      </c>
      <c r="E21" t="s">
        <v>4</v>
      </c>
      <c r="F21" s="140">
        <f t="shared" si="0"/>
        <v>4421013.2718403628</v>
      </c>
      <c r="G21" s="140">
        <f t="shared" si="4"/>
        <v>4421013.2718403628</v>
      </c>
      <c r="H21" s="140">
        <f t="shared" si="4"/>
        <v>4421013.2718403628</v>
      </c>
      <c r="I21" s="140">
        <f>H21</f>
        <v>4421013.2718403628</v>
      </c>
      <c r="J21" s="54" t="s">
        <v>137</v>
      </c>
      <c r="Q21" t="s">
        <v>145</v>
      </c>
      <c r="R21" s="140">
        <f t="shared" si="3"/>
        <v>-125555.80927334364</v>
      </c>
      <c r="S21" s="140">
        <f t="shared" si="3"/>
        <v>-117919.33164037766</v>
      </c>
      <c r="T21" s="140">
        <f t="shared" si="3"/>
        <v>-117919.33164037766</v>
      </c>
      <c r="U21" s="140">
        <f t="shared" si="3"/>
        <v>-117919.33164037766</v>
      </c>
      <c r="V21" s="140"/>
      <c r="W21" s="140"/>
    </row>
    <row r="22" spans="1:23">
      <c r="A22" t="s">
        <v>466</v>
      </c>
      <c r="C22" s="308" t="s">
        <v>506</v>
      </c>
      <c r="D22" s="308">
        <f>'Authorized Rev Req'!U23</f>
        <v>-1895054.416589357</v>
      </c>
      <c r="E22" t="s">
        <v>219</v>
      </c>
      <c r="F22" s="140">
        <f t="shared" si="0"/>
        <v>-1895054.416589357</v>
      </c>
      <c r="G22" s="140">
        <f t="shared" si="4"/>
        <v>-1895054.416589357</v>
      </c>
      <c r="H22" s="140">
        <f t="shared" si="4"/>
        <v>-1895054.416589357</v>
      </c>
      <c r="I22" s="140">
        <f>H22</f>
        <v>-1895054.416589357</v>
      </c>
      <c r="J22" s="54" t="s">
        <v>137</v>
      </c>
      <c r="Q22" t="s">
        <v>219</v>
      </c>
      <c r="R22" s="140">
        <f t="shared" si="3"/>
        <v>614827.7588768712</v>
      </c>
      <c r="S22" s="140">
        <f t="shared" si="3"/>
        <v>130852.69300442099</v>
      </c>
      <c r="T22" s="140">
        <f t="shared" si="3"/>
        <v>-633601.73558360722</v>
      </c>
      <c r="U22" s="140">
        <f t="shared" si="3"/>
        <v>-620064.31139375083</v>
      </c>
      <c r="V22" s="140"/>
      <c r="W22" s="140"/>
    </row>
    <row r="23" spans="1:23">
      <c r="A23" t="s">
        <v>467</v>
      </c>
      <c r="C23" s="308" t="s">
        <v>506</v>
      </c>
      <c r="D23" s="308">
        <f>'Authorized Rev Req'!U29</f>
        <v>14630.403030328112</v>
      </c>
      <c r="E23" t="s">
        <v>69</v>
      </c>
      <c r="F23" s="140">
        <f t="shared" si="0"/>
        <v>14630.403030328112</v>
      </c>
      <c r="G23" s="140">
        <f t="shared" ref="G23:H27" si="5">F23</f>
        <v>14630.403030328112</v>
      </c>
      <c r="H23" s="140">
        <f t="shared" si="5"/>
        <v>14630.403030328112</v>
      </c>
      <c r="I23" s="140">
        <f>H23</f>
        <v>14630.403030328112</v>
      </c>
      <c r="J23" s="54" t="s">
        <v>137</v>
      </c>
      <c r="Q23" t="s">
        <v>297</v>
      </c>
      <c r="R23" s="140">
        <f t="shared" si="3"/>
        <v>296337.78893673094</v>
      </c>
      <c r="S23" s="140">
        <f t="shared" si="3"/>
        <v>296337.78893673094</v>
      </c>
      <c r="T23" s="140">
        <f t="shared" si="3"/>
        <v>296337.78893673094</v>
      </c>
      <c r="U23" s="140">
        <f t="shared" si="3"/>
        <v>296337.78893673094</v>
      </c>
      <c r="V23" s="140"/>
      <c r="W23" s="140"/>
    </row>
    <row r="24" spans="1:23">
      <c r="A24" t="s">
        <v>110</v>
      </c>
      <c r="C24" s="308" t="s">
        <v>506</v>
      </c>
      <c r="D24" s="308">
        <f>'Authorized Rev Req'!U31</f>
        <v>378526.51755633799</v>
      </c>
      <c r="E24" t="s">
        <v>15</v>
      </c>
      <c r="F24" s="140">
        <f t="shared" si="0"/>
        <v>378526.51755633799</v>
      </c>
      <c r="G24" s="140">
        <f t="shared" si="5"/>
        <v>378526.51755633799</v>
      </c>
      <c r="H24" s="140">
        <f t="shared" si="5"/>
        <v>378526.51755633799</v>
      </c>
      <c r="I24" s="140">
        <f>H24</f>
        <v>378526.51755633799</v>
      </c>
      <c r="J24" s="54" t="s">
        <v>137</v>
      </c>
      <c r="Q24" t="s">
        <v>328</v>
      </c>
      <c r="R24" s="140">
        <f t="shared" si="3"/>
        <v>1927115.3561525713</v>
      </c>
      <c r="S24" s="140">
        <f t="shared" si="3"/>
        <v>803666.33718079608</v>
      </c>
      <c r="T24" s="140">
        <f t="shared" si="3"/>
        <v>803666.33718079608</v>
      </c>
      <c r="U24" s="140">
        <f t="shared" si="3"/>
        <v>803666.33718079608</v>
      </c>
      <c r="W24" s="140"/>
    </row>
    <row r="25" spans="1:23">
      <c r="A25" t="s">
        <v>498</v>
      </c>
      <c r="C25" s="308" t="s">
        <v>506</v>
      </c>
      <c r="D25" s="308">
        <f>'Authorized Rev Req'!U25</f>
        <v>-256000</v>
      </c>
      <c r="E25" t="s">
        <v>4</v>
      </c>
      <c r="F25" s="140">
        <v>-256000</v>
      </c>
      <c r="G25" s="140">
        <v>0</v>
      </c>
      <c r="H25" s="140">
        <v>0</v>
      </c>
      <c r="I25" s="140">
        <v>0</v>
      </c>
      <c r="J25" s="54" t="s">
        <v>137</v>
      </c>
      <c r="Q25" t="s">
        <v>143</v>
      </c>
      <c r="R25" s="309">
        <f>SUM(R10:R24)</f>
        <v>19584601.912308984</v>
      </c>
      <c r="S25" s="309">
        <f>SUM(S10:S24)</f>
        <v>17469098.44821788</v>
      </c>
      <c r="T25" s="309">
        <f>SUM(T10:T24)</f>
        <v>16454656.065322611</v>
      </c>
      <c r="U25" s="309">
        <f>SUM(U10:U24)</f>
        <v>16584000.758761454</v>
      </c>
    </row>
    <row r="26" spans="1:23">
      <c r="A26" t="s">
        <v>71</v>
      </c>
      <c r="C26" s="308" t="str">
        <f>'Authorized Rev Req'!H39</f>
        <v>D.18-01-022</v>
      </c>
      <c r="D26" s="308">
        <f>'Authorized Rev Req'!U39</f>
        <v>11760.785984999997</v>
      </c>
      <c r="E26" t="s">
        <v>17</v>
      </c>
      <c r="F26" s="140">
        <f t="shared" si="0"/>
        <v>11760.785984999997</v>
      </c>
      <c r="G26" s="140">
        <f t="shared" si="5"/>
        <v>11760.785984999997</v>
      </c>
      <c r="H26" s="140">
        <v>0</v>
      </c>
      <c r="I26" s="140">
        <v>0</v>
      </c>
      <c r="J26" s="54" t="s">
        <v>137</v>
      </c>
      <c r="P26" s="130"/>
      <c r="V26" s="139"/>
    </row>
    <row r="27" spans="1:23">
      <c r="A27" t="s">
        <v>71</v>
      </c>
      <c r="C27" s="308" t="str">
        <f>'Authorized Rev Req'!H40</f>
        <v>D.18-01-022</v>
      </c>
      <c r="D27" s="308">
        <f>'Authorized Rev Req'!U40</f>
        <v>53191.926780000002</v>
      </c>
      <c r="E27" t="s">
        <v>219</v>
      </c>
      <c r="F27" s="140">
        <f t="shared" si="0"/>
        <v>53191.926780000002</v>
      </c>
      <c r="G27" s="140">
        <f t="shared" si="5"/>
        <v>53191.926780000002</v>
      </c>
      <c r="H27" s="140">
        <v>0</v>
      </c>
      <c r="I27" s="140">
        <v>0</v>
      </c>
      <c r="J27" s="54" t="s">
        <v>137</v>
      </c>
    </row>
    <row r="28" spans="1:23">
      <c r="A28" t="s">
        <v>70</v>
      </c>
      <c r="C28" s="308" t="s">
        <v>507</v>
      </c>
      <c r="D28" s="308">
        <f>'Authorized Rev Req'!U34</f>
        <v>168344.38255275568</v>
      </c>
      <c r="E28" t="s">
        <v>6</v>
      </c>
      <c r="F28" s="140">
        <f t="shared" si="0"/>
        <v>168344.38255275568</v>
      </c>
      <c r="G28" s="140">
        <f>F28</f>
        <v>168344.38255275568</v>
      </c>
      <c r="H28" s="140">
        <f>G28</f>
        <v>168344.38255275568</v>
      </c>
      <c r="I28" s="140">
        <f>H28</f>
        <v>168344.38255275568</v>
      </c>
      <c r="J28" s="54" t="s">
        <v>137</v>
      </c>
      <c r="T28" s="139"/>
      <c r="U28" s="139"/>
    </row>
    <row r="29" spans="1:23">
      <c r="A29" t="s">
        <v>70</v>
      </c>
      <c r="C29" s="308" t="s">
        <v>507</v>
      </c>
      <c r="D29" s="308">
        <f>'Authorized Rev Req'!U35</f>
        <v>31649.30943173822</v>
      </c>
      <c r="E29" t="s">
        <v>219</v>
      </c>
      <c r="F29" s="140">
        <f t="shared" si="0"/>
        <v>31649.30943173822</v>
      </c>
      <c r="G29" s="140">
        <f t="shared" ref="G29:I31" si="6">F29</f>
        <v>31649.30943173822</v>
      </c>
      <c r="H29" s="140">
        <f t="shared" si="6"/>
        <v>31649.30943173822</v>
      </c>
      <c r="I29" s="140">
        <f t="shared" si="6"/>
        <v>31649.30943173822</v>
      </c>
      <c r="J29" s="54" t="s">
        <v>137</v>
      </c>
      <c r="M29" s="139"/>
      <c r="R29" s="140"/>
      <c r="S29" s="310"/>
      <c r="V29" s="139"/>
    </row>
    <row r="30" spans="1:23">
      <c r="A30" t="s">
        <v>70</v>
      </c>
      <c r="C30" s="308" t="s">
        <v>507</v>
      </c>
      <c r="D30" s="308">
        <f>'Authorized Rev Req'!U36</f>
        <v>1090.3444778743578</v>
      </c>
      <c r="E30" t="s">
        <v>4</v>
      </c>
      <c r="F30" s="140">
        <f>D30</f>
        <v>1090.3444778743578</v>
      </c>
      <c r="G30" s="140">
        <f t="shared" si="6"/>
        <v>1090.3444778743578</v>
      </c>
      <c r="H30" s="140">
        <f t="shared" si="6"/>
        <v>1090.3444778743578</v>
      </c>
      <c r="I30" s="140">
        <f t="shared" si="6"/>
        <v>1090.3444778743578</v>
      </c>
      <c r="J30" s="54" t="s">
        <v>137</v>
      </c>
      <c r="R30" s="140"/>
      <c r="S30" s="310"/>
      <c r="V30" s="139"/>
    </row>
    <row r="31" spans="1:23">
      <c r="A31" t="s">
        <v>70</v>
      </c>
      <c r="C31" s="308" t="s">
        <v>507</v>
      </c>
      <c r="D31" s="308">
        <f>'Authorized Rev Req'!U37</f>
        <v>1553.6565161756589</v>
      </c>
      <c r="E31" t="s">
        <v>15</v>
      </c>
      <c r="F31" s="140">
        <f>D31</f>
        <v>1553.6565161756589</v>
      </c>
      <c r="G31" s="140">
        <f t="shared" si="6"/>
        <v>1553.6565161756589</v>
      </c>
      <c r="H31" s="140">
        <f t="shared" si="6"/>
        <v>1553.6565161756589</v>
      </c>
      <c r="I31" s="140">
        <f t="shared" si="6"/>
        <v>1553.6565161756589</v>
      </c>
      <c r="J31" s="54" t="s">
        <v>137</v>
      </c>
      <c r="R31" s="140"/>
      <c r="S31" s="310"/>
      <c r="V31" s="139"/>
    </row>
    <row r="32" spans="1:23">
      <c r="A32" t="s">
        <v>475</v>
      </c>
      <c r="C32" s="308" t="s">
        <v>486</v>
      </c>
      <c r="D32" s="308">
        <f>'Authorized Rev Req'!U45</f>
        <v>393053.02899999998</v>
      </c>
      <c r="E32" t="s">
        <v>18</v>
      </c>
      <c r="F32" s="140">
        <f>D32</f>
        <v>393053.02899999998</v>
      </c>
      <c r="G32" s="140">
        <f t="shared" ref="G32:I33" si="7">F32</f>
        <v>393053.02899999998</v>
      </c>
      <c r="H32" s="140">
        <f t="shared" si="7"/>
        <v>393053.02899999998</v>
      </c>
      <c r="I32" s="140">
        <f t="shared" si="7"/>
        <v>393053.02899999998</v>
      </c>
      <c r="J32" s="54" t="s">
        <v>137</v>
      </c>
      <c r="S32" s="139"/>
    </row>
    <row r="33" spans="1:20">
      <c r="A33" t="s">
        <v>88</v>
      </c>
      <c r="C33" s="308" t="str">
        <f>'Authorized Rev Req'!H46</f>
        <v>CPUC Code 6350-6354</v>
      </c>
      <c r="D33" s="308">
        <f>'Authorized Rev Req'!U46</f>
        <v>2821.7280000000001</v>
      </c>
      <c r="E33" t="s">
        <v>4</v>
      </c>
      <c r="F33" s="140">
        <f>D33</f>
        <v>2821.7280000000001</v>
      </c>
      <c r="G33" s="140">
        <f t="shared" si="7"/>
        <v>2821.7280000000001</v>
      </c>
      <c r="H33" s="140">
        <f t="shared" si="7"/>
        <v>2821.7280000000001</v>
      </c>
      <c r="I33" s="140">
        <f t="shared" si="7"/>
        <v>2821.7280000000001</v>
      </c>
      <c r="J33" s="54" t="s">
        <v>137</v>
      </c>
      <c r="S33" s="139"/>
      <c r="T33" s="139"/>
    </row>
    <row r="34" spans="1:20">
      <c r="A34" t="s">
        <v>556</v>
      </c>
      <c r="C34" s="52" t="s">
        <v>559</v>
      </c>
      <c r="D34" s="140">
        <f>'Authorized Rev Req'!U48</f>
        <v>408416.68302289414</v>
      </c>
      <c r="E34" t="s">
        <v>328</v>
      </c>
      <c r="F34" s="173">
        <v>408416.68302289414</v>
      </c>
      <c r="G34" s="140">
        <v>0</v>
      </c>
      <c r="H34" s="140">
        <v>0</v>
      </c>
      <c r="I34" s="140">
        <v>0</v>
      </c>
      <c r="J34" s="54" t="s">
        <v>136</v>
      </c>
      <c r="S34" s="139"/>
      <c r="T34" s="139"/>
    </row>
    <row r="35" spans="1:20">
      <c r="A35" t="s">
        <v>556</v>
      </c>
      <c r="C35" s="52" t="s">
        <v>559</v>
      </c>
      <c r="D35" s="140">
        <f>'Authorized Rev Req'!U52</f>
        <v>6144.3180408703111</v>
      </c>
      <c r="E35" t="s">
        <v>570</v>
      </c>
      <c r="F35" s="173">
        <v>6144.3180408703111</v>
      </c>
      <c r="G35" s="140">
        <v>0</v>
      </c>
      <c r="H35" s="140">
        <v>0</v>
      </c>
      <c r="I35" s="140">
        <v>0</v>
      </c>
      <c r="J35" s="54" t="s">
        <v>136</v>
      </c>
      <c r="S35" s="139"/>
      <c r="T35" s="139"/>
    </row>
    <row r="36" spans="1:20">
      <c r="A36" t="s">
        <v>241</v>
      </c>
      <c r="C36" s="308" t="str">
        <f>'Authorized Rev Req'!H55</f>
        <v>n/a</v>
      </c>
      <c r="D36" s="308">
        <f>'Authorized Rev Req'!U55</f>
        <v>0</v>
      </c>
      <c r="E36" t="s">
        <v>328</v>
      </c>
      <c r="F36" s="140">
        <v>0</v>
      </c>
      <c r="G36" s="140">
        <v>0</v>
      </c>
      <c r="H36" s="140">
        <v>0</v>
      </c>
      <c r="I36" s="140">
        <v>0</v>
      </c>
      <c r="J36" s="54" t="s">
        <v>137</v>
      </c>
      <c r="S36" s="139"/>
      <c r="T36" s="139"/>
    </row>
    <row r="37" spans="1:20" hidden="1">
      <c r="C37" s="308"/>
      <c r="D37" s="308"/>
      <c r="F37" s="140"/>
      <c r="G37" s="140"/>
      <c r="H37" s="140"/>
      <c r="I37" s="140"/>
      <c r="S37" s="139"/>
      <c r="T37" s="139"/>
    </row>
    <row r="38" spans="1:20">
      <c r="A38" t="s">
        <v>306</v>
      </c>
      <c r="C38" s="308" t="str">
        <f>'Authorized Rev Req'!H53</f>
        <v>n/a</v>
      </c>
      <c r="D38" s="308">
        <f>'Authorized Rev Req'!U53</f>
        <v>0</v>
      </c>
      <c r="E38" t="s">
        <v>6</v>
      </c>
      <c r="F38" s="140">
        <v>0</v>
      </c>
      <c r="G38" s="140">
        <v>0</v>
      </c>
      <c r="H38" s="140">
        <v>0</v>
      </c>
      <c r="I38" s="140">
        <v>0</v>
      </c>
      <c r="J38" s="54" t="s">
        <v>137</v>
      </c>
      <c r="S38" s="139"/>
      <c r="T38" s="139"/>
    </row>
    <row r="39" spans="1:20">
      <c r="A39" t="s">
        <v>334</v>
      </c>
      <c r="C39" s="308" t="str">
        <f>'Authorized Rev Req'!H54</f>
        <v>n/a</v>
      </c>
      <c r="D39" s="308">
        <f>'Authorized Rev Req'!U54</f>
        <v>0</v>
      </c>
      <c r="E39" t="s">
        <v>328</v>
      </c>
      <c r="F39" s="140">
        <v>0</v>
      </c>
      <c r="G39" s="140">
        <v>0</v>
      </c>
      <c r="H39" s="140">
        <v>0</v>
      </c>
      <c r="I39" s="140">
        <v>0</v>
      </c>
      <c r="J39" s="54" t="s">
        <v>137</v>
      </c>
      <c r="S39" s="139"/>
      <c r="T39" s="139"/>
    </row>
    <row r="40" spans="1:20">
      <c r="A40" t="s">
        <v>336</v>
      </c>
      <c r="C40" s="308" t="str">
        <f>'Authorized Rev Req'!H58</f>
        <v>D.21-06-030, AL 7106-E</v>
      </c>
      <c r="D40" s="308">
        <f>'Authorized Rev Req'!U58</f>
        <v>65887.47887289428</v>
      </c>
      <c r="E40" t="s">
        <v>297</v>
      </c>
      <c r="F40" s="140">
        <f>D40</f>
        <v>65887.47887289428</v>
      </c>
      <c r="G40" s="170">
        <f>F40</f>
        <v>65887.47887289428</v>
      </c>
      <c r="H40" s="170">
        <f>G40</f>
        <v>65887.47887289428</v>
      </c>
      <c r="I40" s="170">
        <f>H40</f>
        <v>65887.47887289428</v>
      </c>
      <c r="J40" s="54" t="s">
        <v>137</v>
      </c>
      <c r="S40" s="139"/>
      <c r="T40" s="139"/>
    </row>
    <row r="41" spans="1:20">
      <c r="A41" t="s">
        <v>336</v>
      </c>
      <c r="C41" s="308" t="str">
        <f>'Authorized Rev Req'!H59</f>
        <v>D.21-06-030, AL 6390-E</v>
      </c>
      <c r="D41" s="308">
        <f>'Authorized Rev Req'!U59</f>
        <v>-277.61216137696971</v>
      </c>
      <c r="E41" t="s">
        <v>328</v>
      </c>
      <c r="F41" s="170">
        <f>D41</f>
        <v>-277.61216137696971</v>
      </c>
      <c r="G41" s="140">
        <f t="shared" ref="G41:H43" si="8">F41</f>
        <v>-277.61216137696971</v>
      </c>
      <c r="H41" s="140">
        <f t="shared" si="8"/>
        <v>-277.61216137696971</v>
      </c>
      <c r="I41" s="170">
        <f>H41</f>
        <v>-277.61216137696971</v>
      </c>
      <c r="J41" s="54" t="s">
        <v>137</v>
      </c>
      <c r="S41" s="139"/>
      <c r="T41" s="139"/>
    </row>
    <row r="42" spans="1:20">
      <c r="A42" t="s">
        <v>337</v>
      </c>
      <c r="C42" s="308" t="str">
        <f>'Authorized Rev Req'!H60</f>
        <v>D.22-08-004, AL 7126-E</v>
      </c>
      <c r="D42" s="308">
        <f>'Authorized Rev Req'!U60</f>
        <v>55096.69203695187</v>
      </c>
      <c r="E42" t="s">
        <v>297</v>
      </c>
      <c r="F42" s="140">
        <f>D42</f>
        <v>55096.69203695187</v>
      </c>
      <c r="G42" s="140">
        <f t="shared" si="8"/>
        <v>55096.69203695187</v>
      </c>
      <c r="H42" s="140">
        <f t="shared" si="8"/>
        <v>55096.69203695187</v>
      </c>
      <c r="I42" s="170">
        <f>H42</f>
        <v>55096.69203695187</v>
      </c>
      <c r="J42" s="54" t="s">
        <v>137</v>
      </c>
      <c r="K42" s="140"/>
      <c r="L42" s="140"/>
      <c r="M42" s="140"/>
      <c r="N42" s="140"/>
      <c r="O42" s="311"/>
    </row>
    <row r="43" spans="1:20">
      <c r="A43" t="s">
        <v>337</v>
      </c>
      <c r="C43" s="308" t="str">
        <f>'Authorized Rev Req'!H61</f>
        <v>D.22-08-004, AL 6769-E</v>
      </c>
      <c r="D43" s="308">
        <f>'Authorized Rev Req'!U61</f>
        <v>-13674.582966657574</v>
      </c>
      <c r="E43" t="s">
        <v>328</v>
      </c>
      <c r="F43" s="140">
        <f>D43</f>
        <v>-13674.582966657574</v>
      </c>
      <c r="G43" s="140">
        <f t="shared" si="8"/>
        <v>-13674.582966657574</v>
      </c>
      <c r="H43" s="140">
        <f t="shared" si="8"/>
        <v>-13674.582966657574</v>
      </c>
      <c r="I43" s="170">
        <f>H43</f>
        <v>-13674.582966657574</v>
      </c>
      <c r="J43" s="54" t="s">
        <v>137</v>
      </c>
      <c r="K43" s="140"/>
      <c r="L43" s="140"/>
      <c r="M43" s="129"/>
      <c r="N43" s="129"/>
      <c r="O43" s="311"/>
    </row>
    <row r="44" spans="1:20">
      <c r="A44" t="s">
        <v>449</v>
      </c>
      <c r="C44" t="s">
        <v>504</v>
      </c>
      <c r="D44" s="140">
        <f>'Authorized Rev Req'!U62</f>
        <v>175353.61802688477</v>
      </c>
      <c r="E44" t="s">
        <v>297</v>
      </c>
      <c r="F44" s="140">
        <v>175353.61802688477</v>
      </c>
      <c r="G44" s="140">
        <f>F44</f>
        <v>175353.61802688477</v>
      </c>
      <c r="H44" s="140">
        <f>G44</f>
        <v>175353.61802688477</v>
      </c>
      <c r="I44" s="140">
        <f>H44</f>
        <v>175353.61802688477</v>
      </c>
      <c r="J44" s="54" t="s">
        <v>136</v>
      </c>
      <c r="K44" s="140"/>
      <c r="L44" s="140"/>
      <c r="M44" s="140"/>
      <c r="N44" s="140"/>
      <c r="O44" s="311"/>
    </row>
    <row r="45" spans="1:20">
      <c r="A45" t="s">
        <v>288</v>
      </c>
      <c r="C45" s="175" t="str">
        <f>'Authorized Rev Req'!H63</f>
        <v>D.21-03-056, D.21-12-015</v>
      </c>
      <c r="D45" s="175">
        <f>'Authorized Rev Req'!U63</f>
        <v>1324.7309499999999</v>
      </c>
      <c r="E45" t="s">
        <v>6</v>
      </c>
      <c r="F45" s="140">
        <f>D45</f>
        <v>1324.7309499999999</v>
      </c>
      <c r="G45" s="140">
        <v>0</v>
      </c>
      <c r="H45" s="140">
        <v>0</v>
      </c>
      <c r="I45" s="140">
        <v>0</v>
      </c>
      <c r="J45" s="54" t="s">
        <v>137</v>
      </c>
      <c r="S45" s="139"/>
      <c r="T45" s="139"/>
    </row>
    <row r="46" spans="1:20">
      <c r="A46" t="s">
        <v>220</v>
      </c>
      <c r="C46" s="308" t="str">
        <f>'Authorized Rev Req'!H64</f>
        <v>D.21-08-027</v>
      </c>
      <c r="D46" s="308">
        <f>'Authorized Rev Req'!U64</f>
        <v>-38657.658748985537</v>
      </c>
      <c r="E46" t="s">
        <v>6</v>
      </c>
      <c r="F46" s="140">
        <f>D46</f>
        <v>-38657.658748985537</v>
      </c>
      <c r="G46" s="140">
        <f>F46</f>
        <v>-38657.658748985537</v>
      </c>
      <c r="H46" s="140">
        <f>G46</f>
        <v>-38657.658748985537</v>
      </c>
      <c r="I46" s="140">
        <v>0</v>
      </c>
      <c r="J46" s="54" t="s">
        <v>137</v>
      </c>
      <c r="S46" s="139"/>
      <c r="T46" s="139"/>
    </row>
    <row r="47" spans="1:20">
      <c r="A47" t="s">
        <v>220</v>
      </c>
      <c r="C47" s="308" t="str">
        <f>'Authorized Rev Req'!H65</f>
        <v>D.21-08-027</v>
      </c>
      <c r="D47" s="308">
        <f>'Authorized Rev Req'!U65</f>
        <v>-6566.0645929710518</v>
      </c>
      <c r="E47" t="s">
        <v>219</v>
      </c>
      <c r="F47" s="140">
        <f>D47</f>
        <v>-6566.0645929710518</v>
      </c>
      <c r="G47" s="140">
        <v>-22823.387058155302</v>
      </c>
      <c r="H47" s="140">
        <f>G47</f>
        <v>-22823.387058155302</v>
      </c>
      <c r="I47" s="140">
        <v>0</v>
      </c>
      <c r="J47" s="54" t="s">
        <v>137</v>
      </c>
      <c r="S47" s="139"/>
      <c r="T47" s="139"/>
    </row>
    <row r="48" spans="1:20">
      <c r="A48" t="s">
        <v>345</v>
      </c>
      <c r="C48" s="308" t="str">
        <f>'Authorized Rev Req'!H33</f>
        <v>D.23-02-017</v>
      </c>
      <c r="D48" s="308">
        <f>'Authorized Rev Req'!U33</f>
        <v>319987.2119071029</v>
      </c>
      <c r="E48" t="s">
        <v>328</v>
      </c>
      <c r="F48" s="140">
        <f>D48</f>
        <v>319987.2119071029</v>
      </c>
      <c r="G48" s="140">
        <v>0</v>
      </c>
      <c r="H48" s="140">
        <v>0</v>
      </c>
      <c r="I48" s="140">
        <v>0</v>
      </c>
      <c r="J48" s="54" t="s">
        <v>136</v>
      </c>
      <c r="S48" s="139"/>
      <c r="T48" s="139"/>
    </row>
    <row r="49" spans="1:15">
      <c r="A49" t="s">
        <v>345</v>
      </c>
      <c r="C49" s="308" t="s">
        <v>375</v>
      </c>
      <c r="D49" s="295">
        <v>0</v>
      </c>
      <c r="E49" t="s">
        <v>219</v>
      </c>
      <c r="F49" s="295">
        <v>0</v>
      </c>
      <c r="G49" s="140">
        <f>1520</f>
        <v>1520</v>
      </c>
      <c r="H49" s="140">
        <v>0</v>
      </c>
      <c r="I49" s="140">
        <v>0</v>
      </c>
      <c r="J49" s="54" t="s">
        <v>136</v>
      </c>
      <c r="K49" s="140"/>
      <c r="L49" s="140"/>
      <c r="M49" s="140"/>
      <c r="N49" s="140"/>
      <c r="O49" s="311"/>
    </row>
    <row r="50" spans="1:15">
      <c r="A50" t="s">
        <v>469</v>
      </c>
      <c r="C50" s="308" t="s">
        <v>470</v>
      </c>
      <c r="D50" s="308">
        <f>'Authorized Rev Req'!U67</f>
        <v>41793.584705409317</v>
      </c>
      <c r="E50" t="s">
        <v>219</v>
      </c>
      <c r="F50" s="140">
        <f>D50</f>
        <v>41793.584705409317</v>
      </c>
      <c r="G50" s="140">
        <v>0</v>
      </c>
      <c r="H50" s="140">
        <v>0</v>
      </c>
      <c r="I50" s="140">
        <v>0</v>
      </c>
      <c r="J50" s="54" t="s">
        <v>137</v>
      </c>
      <c r="K50" s="140"/>
      <c r="L50" s="140"/>
      <c r="M50" s="140"/>
      <c r="N50" s="140"/>
      <c r="O50" s="311"/>
    </row>
    <row r="51" spans="1:15">
      <c r="A51" t="s">
        <v>468</v>
      </c>
      <c r="C51" s="138" t="s">
        <v>471</v>
      </c>
      <c r="D51" s="295">
        <v>0</v>
      </c>
      <c r="E51" t="s">
        <v>6</v>
      </c>
      <c r="F51" s="140">
        <f>D51</f>
        <v>0</v>
      </c>
      <c r="G51" s="140">
        <v>0</v>
      </c>
      <c r="H51" s="140">
        <v>0</v>
      </c>
      <c r="I51" s="140">
        <v>0</v>
      </c>
      <c r="J51" s="54" t="s">
        <v>137</v>
      </c>
      <c r="K51" s="140"/>
      <c r="L51" s="140"/>
      <c r="M51" s="140"/>
      <c r="N51" s="140"/>
      <c r="O51" s="311"/>
    </row>
    <row r="52" spans="1:15">
      <c r="A52" t="s">
        <v>468</v>
      </c>
      <c r="C52" s="138" t="s">
        <v>471</v>
      </c>
      <c r="D52" s="308">
        <f>'Authorized Rev Req'!U66</f>
        <v>76163.624360518428</v>
      </c>
      <c r="E52" t="s">
        <v>219</v>
      </c>
      <c r="F52" s="140">
        <f>D52</f>
        <v>76163.624360518428</v>
      </c>
      <c r="G52" s="140">
        <v>0</v>
      </c>
      <c r="H52" s="140">
        <v>0</v>
      </c>
      <c r="I52" s="140">
        <v>0</v>
      </c>
      <c r="J52" s="54" t="s">
        <v>137</v>
      </c>
      <c r="K52" s="140"/>
      <c r="L52" s="140"/>
      <c r="M52" s="140"/>
      <c r="N52" s="140"/>
      <c r="O52" s="311"/>
    </row>
    <row r="53" spans="1:15">
      <c r="A53" t="s">
        <v>414</v>
      </c>
      <c r="C53" s="52" t="s">
        <v>415</v>
      </c>
      <c r="D53" s="295">
        <f>'Authorized Rev Req'!U71</f>
        <v>0</v>
      </c>
      <c r="E53" s="295" t="str">
        <f>'Authorized Rev Req'!V69</f>
        <v>Distribution</v>
      </c>
      <c r="F53" s="140">
        <v>0</v>
      </c>
      <c r="G53" s="140">
        <v>0</v>
      </c>
      <c r="H53" s="140">
        <v>0</v>
      </c>
      <c r="I53" s="140">
        <v>0</v>
      </c>
      <c r="J53" s="54" t="s">
        <v>136</v>
      </c>
      <c r="K53" s="140"/>
      <c r="L53" s="140"/>
      <c r="M53" s="140"/>
      <c r="N53" s="140"/>
      <c r="O53" s="311"/>
    </row>
    <row r="54" spans="1:15">
      <c r="A54" t="s">
        <v>414</v>
      </c>
      <c r="C54" s="52" t="s">
        <v>415</v>
      </c>
      <c r="D54" s="295">
        <f>'Authorized Rev Req'!U70</f>
        <v>0</v>
      </c>
      <c r="E54" s="295" t="str">
        <f>'Authorized Rev Req'!V70</f>
        <v>Distribution (Wildfire)</v>
      </c>
      <c r="F54" s="140">
        <v>0</v>
      </c>
      <c r="G54" s="140">
        <v>0</v>
      </c>
      <c r="H54" s="140">
        <v>0</v>
      </c>
      <c r="I54" s="140">
        <v>0</v>
      </c>
      <c r="J54" s="54" t="s">
        <v>136</v>
      </c>
      <c r="K54" s="140"/>
      <c r="L54" s="140"/>
      <c r="M54" s="140"/>
      <c r="N54" s="140"/>
      <c r="O54" s="311"/>
    </row>
    <row r="55" spans="1:15">
      <c r="A55" t="s">
        <v>425</v>
      </c>
      <c r="C55" s="52" t="s">
        <v>423</v>
      </c>
      <c r="D55" s="140">
        <f>'Authorized Rev Req'!U73</f>
        <v>15954.283721827203</v>
      </c>
      <c r="E55" s="295" t="str">
        <f>'Authorized Rev Req'!V71</f>
        <v>Distribution</v>
      </c>
      <c r="F55" s="140">
        <f>D55</f>
        <v>15954.283721827203</v>
      </c>
      <c r="G55" s="140">
        <v>0</v>
      </c>
      <c r="H55" s="140">
        <v>0</v>
      </c>
      <c r="I55" s="140">
        <v>0</v>
      </c>
      <c r="J55" s="54" t="s">
        <v>136</v>
      </c>
      <c r="K55" s="140"/>
      <c r="L55" s="140"/>
      <c r="M55" s="140"/>
      <c r="N55" s="140"/>
      <c r="O55" s="311"/>
    </row>
    <row r="56" spans="1:15">
      <c r="A56" t="s">
        <v>425</v>
      </c>
      <c r="C56" s="52" t="s">
        <v>423</v>
      </c>
      <c r="D56" s="140">
        <f>'Authorized Rev Req'!U72</f>
        <v>347680.94515622273</v>
      </c>
      <c r="E56" t="s">
        <v>328</v>
      </c>
      <c r="F56" s="310">
        <f>D56</f>
        <v>347680.94515622273</v>
      </c>
      <c r="G56" s="140">
        <v>0</v>
      </c>
      <c r="H56" s="140">
        <v>0</v>
      </c>
      <c r="I56" s="140">
        <v>0</v>
      </c>
      <c r="J56" s="54" t="s">
        <v>136</v>
      </c>
      <c r="K56" s="140"/>
      <c r="L56" s="140"/>
      <c r="M56" s="140"/>
      <c r="N56" s="140"/>
      <c r="O56" s="311"/>
    </row>
    <row r="57" spans="1:15">
      <c r="A57" t="s">
        <v>425</v>
      </c>
      <c r="B57" s="82"/>
      <c r="C57" s="52" t="s">
        <v>423</v>
      </c>
      <c r="D57" s="295">
        <v>0</v>
      </c>
      <c r="E57" s="82" t="s">
        <v>219</v>
      </c>
      <c r="F57" s="140">
        <f>D57</f>
        <v>0</v>
      </c>
      <c r="G57" s="140">
        <v>8914.6018488819755</v>
      </c>
      <c r="H57" s="140">
        <v>0</v>
      </c>
      <c r="I57" s="140">
        <v>0</v>
      </c>
      <c r="J57" s="54" t="s">
        <v>136</v>
      </c>
      <c r="K57" s="140"/>
      <c r="L57" s="140"/>
      <c r="M57" s="140"/>
      <c r="N57" s="140"/>
      <c r="O57" s="311"/>
    </row>
    <row r="58" spans="1:15">
      <c r="A58" t="s">
        <v>613</v>
      </c>
      <c r="B58" s="82"/>
      <c r="C58" s="52" t="s">
        <v>590</v>
      </c>
      <c r="D58" s="312">
        <f>F58</f>
        <v>0</v>
      </c>
      <c r="E58" t="s">
        <v>552</v>
      </c>
      <c r="F58" s="140">
        <v>0</v>
      </c>
      <c r="G58" s="140">
        <v>139826.22751556055</v>
      </c>
      <c r="H58" s="140">
        <v>48302.851389135954</v>
      </c>
      <c r="I58" s="140">
        <v>0</v>
      </c>
      <c r="J58" s="54" t="s">
        <v>136</v>
      </c>
      <c r="K58" s="140"/>
      <c r="L58" s="140"/>
      <c r="M58" s="140"/>
      <c r="N58" s="140"/>
      <c r="O58" s="311"/>
    </row>
    <row r="59" spans="1:15">
      <c r="A59" t="s">
        <v>613</v>
      </c>
      <c r="B59" s="82"/>
      <c r="C59" s="52" t="s">
        <v>590</v>
      </c>
      <c r="D59" s="312">
        <f>F59</f>
        <v>0</v>
      </c>
      <c r="E59" t="s">
        <v>219</v>
      </c>
      <c r="F59" s="140">
        <v>0</v>
      </c>
      <c r="G59" s="140">
        <v>68189.673891719649</v>
      </c>
      <c r="H59" s="140">
        <v>9285.9628682988186</v>
      </c>
      <c r="I59" s="140">
        <v>0</v>
      </c>
      <c r="J59" s="54" t="s">
        <v>136</v>
      </c>
      <c r="K59" s="140"/>
      <c r="L59" s="140"/>
      <c r="M59" s="140"/>
      <c r="N59" s="140"/>
      <c r="O59" s="311"/>
    </row>
    <row r="60" spans="1:15" ht="15.75" thickBot="1">
      <c r="A60" s="313"/>
      <c r="B60" s="82"/>
      <c r="C60" s="52"/>
      <c r="D60" s="82"/>
      <c r="E60" s="82"/>
      <c r="F60" s="140"/>
      <c r="G60" s="140"/>
      <c r="H60" s="140"/>
      <c r="I60" s="140"/>
      <c r="K60" s="140"/>
      <c r="L60" s="140"/>
      <c r="M60" s="140"/>
      <c r="N60" s="140"/>
      <c r="O60" s="311"/>
    </row>
    <row r="61" spans="1:15">
      <c r="B61" s="82"/>
      <c r="C61" s="52"/>
      <c r="D61" s="82"/>
      <c r="E61" s="82"/>
      <c r="F61" s="310"/>
      <c r="G61" s="140"/>
      <c r="H61" s="140"/>
      <c r="I61" s="140"/>
      <c r="K61" s="140"/>
      <c r="L61" s="140"/>
      <c r="M61" s="140"/>
      <c r="N61" s="140"/>
      <c r="O61" s="311"/>
    </row>
    <row r="62" spans="1:15">
      <c r="B62" s="82"/>
      <c r="C62" s="52"/>
      <c r="D62" s="82"/>
      <c r="E62" s="82"/>
      <c r="F62" s="310"/>
      <c r="G62" s="140"/>
      <c r="H62" s="140"/>
      <c r="I62" s="140"/>
      <c r="K62" s="140"/>
      <c r="L62" s="140"/>
      <c r="M62" s="140"/>
      <c r="N62" s="140"/>
      <c r="O62" s="311"/>
    </row>
    <row r="63" spans="1:15">
      <c r="B63" s="82"/>
      <c r="C63" s="52"/>
      <c r="D63" s="82"/>
      <c r="E63" s="82"/>
      <c r="F63" s="310"/>
      <c r="G63" s="140"/>
      <c r="H63" s="140"/>
      <c r="I63" s="140"/>
      <c r="K63" s="140"/>
      <c r="L63" s="140"/>
      <c r="M63" s="140"/>
      <c r="N63" s="140"/>
      <c r="O63" s="311"/>
    </row>
    <row r="64" spans="1:15" ht="14.45" customHeight="1">
      <c r="B64" s="82"/>
      <c r="C64" s="52"/>
      <c r="D64" s="82"/>
      <c r="E64" s="82"/>
      <c r="F64" s="310"/>
      <c r="G64" s="140"/>
      <c r="H64" s="140"/>
      <c r="I64" s="140"/>
      <c r="K64" s="140"/>
      <c r="L64" s="140"/>
      <c r="M64" s="140"/>
      <c r="N64" s="140"/>
      <c r="O64" s="311"/>
    </row>
    <row r="65" spans="1:20">
      <c r="K65" s="140"/>
      <c r="L65" s="140"/>
      <c r="M65" s="140"/>
      <c r="N65" s="140"/>
      <c r="O65" s="311"/>
    </row>
    <row r="66" spans="1:20">
      <c r="C66" s="82"/>
      <c r="D66" s="308"/>
      <c r="F66" s="140"/>
      <c r="G66" s="140"/>
      <c r="H66" s="140"/>
      <c r="I66" s="140"/>
      <c r="K66" s="140"/>
      <c r="L66" s="140"/>
      <c r="M66" s="140"/>
      <c r="N66" s="140"/>
      <c r="O66" s="311"/>
    </row>
    <row r="67" spans="1:20">
      <c r="A67" s="285" t="s">
        <v>8</v>
      </c>
      <c r="B67" s="285"/>
      <c r="D67" s="82"/>
      <c r="F67" s="122"/>
      <c r="G67" s="122"/>
      <c r="H67" s="140"/>
      <c r="I67" s="140"/>
      <c r="J67"/>
    </row>
    <row r="68" spans="1:20">
      <c r="A68" t="s">
        <v>286</v>
      </c>
      <c r="B68" s="285"/>
      <c r="C68" s="308" t="s">
        <v>506</v>
      </c>
      <c r="D68" s="308">
        <f>'Authorized Rev Req'!U79</f>
        <v>-689321.08387833403</v>
      </c>
      <c r="E68" t="s">
        <v>140</v>
      </c>
      <c r="F68" s="140">
        <f t="shared" ref="F68:F74" si="9">D68</f>
        <v>-689321.08387833403</v>
      </c>
      <c r="G68" s="140">
        <f t="shared" ref="G68:H71" si="10">F68</f>
        <v>-689321.08387833403</v>
      </c>
      <c r="H68" s="140">
        <f t="shared" si="10"/>
        <v>-689321.08387833403</v>
      </c>
      <c r="I68" s="140">
        <f>H68</f>
        <v>-689321.08387833403</v>
      </c>
      <c r="J68" s="54" t="s">
        <v>137</v>
      </c>
      <c r="S68" s="310"/>
      <c r="T68" s="310"/>
    </row>
    <row r="69" spans="1:20">
      <c r="A69" t="s">
        <v>287</v>
      </c>
      <c r="C69" s="308" t="s">
        <v>506</v>
      </c>
      <c r="D69" s="308">
        <f>'Authorized Rev Req'!U109</f>
        <v>23165.271583381906</v>
      </c>
      <c r="E69" t="s">
        <v>16</v>
      </c>
      <c r="F69" s="140">
        <f t="shared" si="9"/>
        <v>23165.271583381906</v>
      </c>
      <c r="G69" s="140">
        <f t="shared" si="10"/>
        <v>23165.271583381906</v>
      </c>
      <c r="H69" s="140">
        <f t="shared" si="10"/>
        <v>23165.271583381906</v>
      </c>
      <c r="I69" s="140">
        <f t="shared" ref="I69:I82" si="11">H69</f>
        <v>23165.271583381906</v>
      </c>
      <c r="J69" s="54" t="s">
        <v>137</v>
      </c>
      <c r="R69" s="138"/>
      <c r="S69" s="131"/>
      <c r="T69" s="132"/>
    </row>
    <row r="70" spans="1:20">
      <c r="A70" t="s">
        <v>75</v>
      </c>
      <c r="B70" s="285"/>
      <c r="C70" s="308" t="str">
        <f>'Authorized Rev Req'!H80</f>
        <v>D.20-01-021, AL 5857-E</v>
      </c>
      <c r="D70" s="308">
        <f>'Authorized Rev Req'!U80</f>
        <v>59877.176383845785</v>
      </c>
      <c r="E70" t="s">
        <v>16</v>
      </c>
      <c r="F70" s="140">
        <f t="shared" si="9"/>
        <v>59877.176383845785</v>
      </c>
      <c r="G70" s="140">
        <v>0</v>
      </c>
      <c r="H70" s="140">
        <v>0</v>
      </c>
      <c r="I70" s="140">
        <f t="shared" si="11"/>
        <v>0</v>
      </c>
      <c r="J70" s="54" t="s">
        <v>137</v>
      </c>
      <c r="S70" s="310"/>
      <c r="T70" s="310"/>
    </row>
    <row r="71" spans="1:20">
      <c r="A71" t="s">
        <v>79</v>
      </c>
      <c r="B71" s="285"/>
      <c r="C71" s="308" t="s">
        <v>494</v>
      </c>
      <c r="D71" s="308">
        <f>'Authorized Rev Req'!U82</f>
        <v>79240.989000000001</v>
      </c>
      <c r="E71" t="s">
        <v>6</v>
      </c>
      <c r="F71" s="140">
        <f t="shared" si="9"/>
        <v>79240.989000000001</v>
      </c>
      <c r="G71" s="140">
        <f t="shared" si="10"/>
        <v>79240.989000000001</v>
      </c>
      <c r="H71" s="140">
        <f t="shared" si="10"/>
        <v>79240.989000000001</v>
      </c>
      <c r="I71" s="140">
        <f t="shared" si="11"/>
        <v>79240.989000000001</v>
      </c>
      <c r="J71" s="54" t="s">
        <v>137</v>
      </c>
    </row>
    <row r="72" spans="1:20">
      <c r="A72" t="s">
        <v>100</v>
      </c>
      <c r="B72" s="285"/>
      <c r="C72" s="308" t="str">
        <f>'Authorized Rev Req'!H102</f>
        <v>D.23-06-055/ AL 7047-E</v>
      </c>
      <c r="D72" s="308">
        <f>'Authorized Rev Req'!U102</f>
        <v>120736.87385986045</v>
      </c>
      <c r="E72" t="s">
        <v>16</v>
      </c>
      <c r="F72" s="140">
        <f t="shared" si="9"/>
        <v>120736.87385986045</v>
      </c>
      <c r="G72" s="140">
        <f t="shared" ref="G72:H74" si="12">F72</f>
        <v>120736.87385986045</v>
      </c>
      <c r="H72" s="140">
        <f t="shared" si="12"/>
        <v>120736.87385986045</v>
      </c>
      <c r="I72" s="140">
        <f t="shared" si="11"/>
        <v>120736.87385986045</v>
      </c>
      <c r="J72" s="54" t="s">
        <v>137</v>
      </c>
      <c r="S72" s="131"/>
      <c r="T72" s="132"/>
    </row>
    <row r="73" spans="1:20">
      <c r="A73" t="s">
        <v>99</v>
      </c>
      <c r="B73" s="285"/>
      <c r="C73" s="308" t="str">
        <f>'Authorized Rev Req'!H103</f>
        <v>D.23-06-055/ AL 7047-E</v>
      </c>
      <c r="D73" s="308">
        <f>'Authorized Rev Req'!U103</f>
        <v>38268.101000000002</v>
      </c>
      <c r="E73" t="s">
        <v>16</v>
      </c>
      <c r="F73" s="140">
        <f>'Authorized Rev Req'!S103</f>
        <v>38268.101000000002</v>
      </c>
      <c r="G73" s="140">
        <v>78257.088435987665</v>
      </c>
      <c r="H73" s="140">
        <v>70907.132432579252</v>
      </c>
      <c r="I73" s="140">
        <f t="shared" si="11"/>
        <v>70907.132432579252</v>
      </c>
      <c r="J73" s="54" t="s">
        <v>137</v>
      </c>
      <c r="R73" s="138"/>
      <c r="S73" s="131"/>
      <c r="T73" s="132"/>
    </row>
    <row r="74" spans="1:20">
      <c r="A74" t="s">
        <v>97</v>
      </c>
      <c r="C74" s="308" t="s">
        <v>505</v>
      </c>
      <c r="D74" s="308">
        <f>'Authorized Rev Req'!U87</f>
        <v>197658.95894499999</v>
      </c>
      <c r="E74" t="s">
        <v>6</v>
      </c>
      <c r="F74" s="140">
        <f t="shared" si="9"/>
        <v>197658.95894499999</v>
      </c>
      <c r="G74" s="140">
        <f t="shared" si="12"/>
        <v>197658.95894499999</v>
      </c>
      <c r="H74" s="140">
        <f t="shared" si="12"/>
        <v>197658.95894499999</v>
      </c>
      <c r="I74" s="140">
        <f t="shared" si="11"/>
        <v>197658.95894499999</v>
      </c>
      <c r="J74" s="54" t="s">
        <v>137</v>
      </c>
      <c r="S74" s="131"/>
      <c r="T74" s="132"/>
    </row>
    <row r="75" spans="1:20" hidden="1">
      <c r="C75" s="308"/>
      <c r="D75" s="308"/>
      <c r="F75" s="140"/>
      <c r="G75" s="140"/>
      <c r="H75" s="140"/>
      <c r="I75" s="140">
        <f t="shared" si="11"/>
        <v>0</v>
      </c>
      <c r="L75" s="52"/>
      <c r="S75" s="131"/>
      <c r="T75" s="132"/>
    </row>
    <row r="76" spans="1:20">
      <c r="A76" t="s">
        <v>240</v>
      </c>
      <c r="C76" s="308" t="str">
        <f>'Authorized Rev Req'!H84</f>
        <v>D.18-05-040, D.19-11-017, D.19-09-006, D.20-12-029, D.22-08-024</v>
      </c>
      <c r="D76" s="308">
        <f>'Authorized Rev Req'!U84</f>
        <v>47917.91</v>
      </c>
      <c r="E76" t="s">
        <v>6</v>
      </c>
      <c r="F76" s="140">
        <f>D76</f>
        <v>47917.91</v>
      </c>
      <c r="G76" s="140">
        <v>25510</v>
      </c>
      <c r="H76" s="140">
        <v>24700</v>
      </c>
      <c r="I76" s="140">
        <v>23900</v>
      </c>
      <c r="J76" s="54" t="s">
        <v>137</v>
      </c>
      <c r="S76" s="131"/>
      <c r="T76" s="132"/>
    </row>
    <row r="77" spans="1:20" hidden="1">
      <c r="C77" s="308"/>
      <c r="D77" s="308"/>
      <c r="F77" s="140"/>
      <c r="G77" s="140"/>
      <c r="H77" s="140"/>
      <c r="I77" s="140">
        <f t="shared" si="11"/>
        <v>0</v>
      </c>
      <c r="S77" s="131"/>
      <c r="T77" s="132"/>
    </row>
    <row r="78" spans="1:20" hidden="1">
      <c r="C78" s="308"/>
      <c r="D78" s="308"/>
      <c r="F78" s="140"/>
      <c r="G78" s="140"/>
      <c r="H78" s="140"/>
      <c r="I78" s="140">
        <f t="shared" si="11"/>
        <v>0</v>
      </c>
      <c r="S78" s="131"/>
      <c r="T78" s="132"/>
    </row>
    <row r="79" spans="1:20" hidden="1">
      <c r="C79" s="308"/>
      <c r="D79" s="308"/>
      <c r="F79" s="140"/>
      <c r="G79" s="140"/>
      <c r="H79" s="140"/>
      <c r="I79" s="140">
        <f t="shared" si="11"/>
        <v>0</v>
      </c>
      <c r="S79" s="131"/>
      <c r="T79" s="132"/>
    </row>
    <row r="80" spans="1:20" hidden="1">
      <c r="C80" s="308"/>
      <c r="D80" s="308"/>
      <c r="F80" s="140"/>
      <c r="G80" s="140"/>
      <c r="H80" s="140"/>
      <c r="I80" s="140">
        <f t="shared" si="11"/>
        <v>0</v>
      </c>
      <c r="S80" s="294"/>
      <c r="T80" s="294"/>
    </row>
    <row r="81" spans="1:15">
      <c r="A81" t="s">
        <v>98</v>
      </c>
      <c r="C81" s="308" t="str">
        <f>'Authorized Rev Req'!H100</f>
        <v>D.21-06-015</v>
      </c>
      <c r="D81" s="308">
        <f>'Authorized Rev Req'!U100</f>
        <v>91031.31</v>
      </c>
      <c r="E81" t="s">
        <v>16</v>
      </c>
      <c r="F81" s="140">
        <v>93120</v>
      </c>
      <c r="G81" s="140">
        <v>92820</v>
      </c>
      <c r="H81" s="140">
        <v>92710</v>
      </c>
      <c r="I81" s="140">
        <f t="shared" si="11"/>
        <v>92710</v>
      </c>
      <c r="J81" s="54" t="s">
        <v>137</v>
      </c>
    </row>
    <row r="82" spans="1:15">
      <c r="A82" t="s">
        <v>495</v>
      </c>
      <c r="C82" s="308" t="str">
        <f>'Authorized Rev Req'!H101</f>
        <v>D.21-06-015</v>
      </c>
      <c r="D82" s="308">
        <f>'Authorized Rev Req'!U101</f>
        <v>-26000</v>
      </c>
      <c r="E82" t="s">
        <v>16</v>
      </c>
      <c r="F82" s="140">
        <f t="shared" ref="F82:F87" si="13">D82</f>
        <v>-26000</v>
      </c>
      <c r="G82" s="140">
        <v>0</v>
      </c>
      <c r="H82" s="140">
        <v>0</v>
      </c>
      <c r="I82" s="140">
        <f t="shared" si="11"/>
        <v>0</v>
      </c>
      <c r="J82" s="54" t="s">
        <v>136</v>
      </c>
    </row>
    <row r="83" spans="1:15">
      <c r="A83" t="s">
        <v>78</v>
      </c>
      <c r="C83" s="308" t="str">
        <f>'Authorized Rev Req'!H96</f>
        <v>D.21-06-015</v>
      </c>
      <c r="D83" s="308">
        <f>'Authorized Rev Req'!U96</f>
        <v>11256.48</v>
      </c>
      <c r="E83" t="s">
        <v>16</v>
      </c>
      <c r="F83" s="140">
        <f t="shared" si="13"/>
        <v>11256.48</v>
      </c>
      <c r="G83" s="140">
        <v>11555.36</v>
      </c>
      <c r="H83" s="140">
        <v>11830.16</v>
      </c>
      <c r="I83" s="140">
        <v>11830.16</v>
      </c>
      <c r="J83" s="54" t="s">
        <v>137</v>
      </c>
      <c r="L83" s="138"/>
    </row>
    <row r="84" spans="1:15">
      <c r="A84" t="s">
        <v>80</v>
      </c>
      <c r="C84" s="308" t="str">
        <f>'Authorized Rev Req'!H98</f>
        <v>D.20-08-042</v>
      </c>
      <c r="D84" s="308">
        <f>'Authorized Rev Req'!U98</f>
        <v>93732.733949070069</v>
      </c>
      <c r="E84" t="s">
        <v>16</v>
      </c>
      <c r="F84" s="140">
        <f t="shared" si="13"/>
        <v>93732.733949070069</v>
      </c>
      <c r="G84" s="140">
        <f>F84</f>
        <v>93732.733949070069</v>
      </c>
      <c r="H84" s="140">
        <v>74990.000000000015</v>
      </c>
      <c r="I84" s="140">
        <v>74990.000000000015</v>
      </c>
      <c r="J84" s="54" t="s">
        <v>137</v>
      </c>
    </row>
    <row r="85" spans="1:15">
      <c r="A85" t="s">
        <v>307</v>
      </c>
      <c r="C85" s="308" t="s">
        <v>506</v>
      </c>
      <c r="D85" s="175">
        <f>'Authorized Rev Req'!U114</f>
        <v>14061.230709652091</v>
      </c>
      <c r="E85" t="s">
        <v>16</v>
      </c>
      <c r="F85" s="140">
        <f t="shared" si="13"/>
        <v>14061.230709652091</v>
      </c>
      <c r="G85" s="140">
        <f>F85</f>
        <v>14061.230709652091</v>
      </c>
      <c r="H85" s="140">
        <f>G85</f>
        <v>14061.230709652091</v>
      </c>
      <c r="I85" s="140">
        <f>H85</f>
        <v>14061.230709652091</v>
      </c>
      <c r="J85" s="54" t="s">
        <v>137</v>
      </c>
      <c r="K85" s="140"/>
      <c r="L85" s="140"/>
      <c r="M85" s="140"/>
      <c r="N85" s="140"/>
      <c r="O85" s="311"/>
    </row>
    <row r="86" spans="1:15">
      <c r="A86" t="s">
        <v>309</v>
      </c>
      <c r="C86" s="308" t="s">
        <v>506</v>
      </c>
      <c r="D86" s="175">
        <f>'Authorized Rev Req'!U116</f>
        <v>-475.83281547354295</v>
      </c>
      <c r="E86" t="s">
        <v>16</v>
      </c>
      <c r="F86" s="140">
        <f t="shared" si="13"/>
        <v>-475.83281547354295</v>
      </c>
      <c r="G86" s="140">
        <f>F86</f>
        <v>-475.83281547354295</v>
      </c>
      <c r="H86" s="140">
        <f>G86</f>
        <v>-475.83281547354295</v>
      </c>
      <c r="I86" s="140">
        <f>H86</f>
        <v>-475.83281547354295</v>
      </c>
      <c r="J86" s="54" t="s">
        <v>137</v>
      </c>
      <c r="K86" s="140"/>
      <c r="L86" s="140"/>
      <c r="M86" s="140"/>
      <c r="N86" s="140"/>
      <c r="O86" s="311"/>
    </row>
    <row r="87" spans="1:15">
      <c r="A87" t="s">
        <v>310</v>
      </c>
      <c r="C87" s="308" t="s">
        <v>506</v>
      </c>
      <c r="D87" s="175">
        <f>'Authorized Rev Req'!U118</f>
        <v>13908.018</v>
      </c>
      <c r="E87" t="s">
        <v>16</v>
      </c>
      <c r="F87" s="140">
        <f t="shared" si="13"/>
        <v>13908.018</v>
      </c>
      <c r="G87" s="140">
        <f>F87</f>
        <v>13908.018</v>
      </c>
      <c r="H87" s="140">
        <f>G87</f>
        <v>13908.018</v>
      </c>
      <c r="I87" s="140" t="s">
        <v>548</v>
      </c>
      <c r="J87" s="54" t="s">
        <v>137</v>
      </c>
      <c r="K87" s="140"/>
      <c r="L87" s="140"/>
      <c r="M87" s="140"/>
      <c r="N87" s="140"/>
      <c r="O87" s="311"/>
    </row>
    <row r="88" spans="1:15" hidden="1">
      <c r="C88" s="52"/>
      <c r="D88" s="175"/>
      <c r="F88" s="140"/>
      <c r="G88" s="170"/>
      <c r="H88" s="140"/>
      <c r="I88" s="140"/>
      <c r="J88" s="54" t="s">
        <v>137</v>
      </c>
      <c r="K88" s="140"/>
      <c r="L88" s="140"/>
      <c r="M88" s="140"/>
      <c r="N88" s="140"/>
      <c r="O88" s="311"/>
    </row>
    <row r="89" spans="1:15">
      <c r="A89" s="52" t="s">
        <v>350</v>
      </c>
      <c r="C89" s="52" t="s">
        <v>497</v>
      </c>
      <c r="D89" s="295">
        <f>'Authorized Rev Req'!U105</f>
        <v>7213.3715000000002</v>
      </c>
      <c r="E89" t="s">
        <v>16</v>
      </c>
      <c r="F89" s="173">
        <v>7213.3715000000002</v>
      </c>
      <c r="G89" s="140">
        <f>F89</f>
        <v>7213.3715000000002</v>
      </c>
      <c r="H89" s="140">
        <f>G89</f>
        <v>7213.3715000000002</v>
      </c>
      <c r="I89" s="140">
        <v>0</v>
      </c>
      <c r="J89" s="54" t="s">
        <v>137</v>
      </c>
      <c r="K89" s="140"/>
      <c r="L89" s="140"/>
      <c r="M89" s="140"/>
      <c r="N89" s="140"/>
      <c r="O89" s="311"/>
    </row>
    <row r="90" spans="1:15">
      <c r="K90" s="140"/>
      <c r="L90" s="140"/>
      <c r="M90" s="140"/>
      <c r="N90" s="140"/>
      <c r="O90" s="311"/>
    </row>
    <row r="91" spans="1:15">
      <c r="C91" s="52"/>
      <c r="D91" s="176"/>
      <c r="F91" s="122"/>
      <c r="G91" s="170"/>
      <c r="H91" s="140"/>
      <c r="I91" s="140"/>
    </row>
    <row r="92" spans="1:15">
      <c r="C92" s="52"/>
      <c r="D92" s="176"/>
      <c r="F92" s="122"/>
      <c r="G92" s="170"/>
      <c r="H92" s="140"/>
      <c r="I92" s="140"/>
    </row>
    <row r="93" spans="1:15">
      <c r="C93" s="52"/>
      <c r="D93" s="176"/>
      <c r="F93" s="122"/>
      <c r="G93" s="170"/>
      <c r="H93" s="140"/>
      <c r="I93" s="140"/>
    </row>
    <row r="94" spans="1:15">
      <c r="A94" s="314" t="s">
        <v>225</v>
      </c>
      <c r="D94" s="176"/>
      <c r="F94" s="122"/>
      <c r="G94" s="122"/>
      <c r="H94" s="140"/>
      <c r="I94" s="140"/>
    </row>
    <row r="95" spans="1:15">
      <c r="A95" s="138" t="s">
        <v>4</v>
      </c>
      <c r="C95" s="52" t="s">
        <v>374</v>
      </c>
      <c r="D95" s="308">
        <f>SUMIFS('Authorized Rev Req'!$U:$U,'Authorized Rev Req'!$V:$V,E95,'Authorized Rev Req'!$W:$W,"Y")</f>
        <v>0</v>
      </c>
      <c r="E95" t="s">
        <v>4</v>
      </c>
      <c r="F95" s="139">
        <f t="shared" ref="F95:F103" si="14">D95</f>
        <v>0</v>
      </c>
      <c r="G95" s="140"/>
      <c r="H95" s="140"/>
      <c r="I95" s="140"/>
      <c r="J95" s="54" t="s">
        <v>137</v>
      </c>
    </row>
    <row r="96" spans="1:15">
      <c r="A96" s="138" t="s">
        <v>6</v>
      </c>
      <c r="C96" s="52" t="s">
        <v>487</v>
      </c>
      <c r="D96" s="308">
        <f>SUMIFS('Authorized Rev Req'!$U:$U,'Authorized Rev Req'!$V:$V,E96,'Authorized Rev Req'!$W:$W,"Y")</f>
        <v>948815.22599102207</v>
      </c>
      <c r="E96" s="138" t="s">
        <v>6</v>
      </c>
      <c r="F96" s="139">
        <f t="shared" si="14"/>
        <v>948815.22599102207</v>
      </c>
      <c r="H96" s="140"/>
      <c r="I96" s="140"/>
      <c r="J96" s="54" t="s">
        <v>137</v>
      </c>
    </row>
    <row r="97" spans="1:15">
      <c r="A97" s="138" t="s">
        <v>328</v>
      </c>
      <c r="C97" s="52" t="s">
        <v>487</v>
      </c>
      <c r="D97" s="308">
        <f>SUMIFS('Authorized Rev Req'!$U:$U,'Authorized Rev Req'!$V:$V,E97,'Authorized Rev Req'!$W:$W,"Y")</f>
        <v>47364.178885555259</v>
      </c>
      <c r="E97" s="138" t="s">
        <v>328</v>
      </c>
      <c r="F97" s="139">
        <f t="shared" si="14"/>
        <v>47364.178885555259</v>
      </c>
      <c r="J97" s="54" t="s">
        <v>137</v>
      </c>
    </row>
    <row r="98" spans="1:15">
      <c r="A98" s="138" t="s">
        <v>15</v>
      </c>
      <c r="C98" s="52" t="s">
        <v>374</v>
      </c>
      <c r="D98" s="308">
        <f>SUMIFS('Authorized Rev Req'!$U:$U,'Authorized Rev Req'!$V:$V,E98,'Authorized Rev Req'!$W:$W,"Y")</f>
        <v>64270.123859475272</v>
      </c>
      <c r="E98" s="138" t="s">
        <v>15</v>
      </c>
      <c r="F98" s="139">
        <f t="shared" si="14"/>
        <v>64270.123859475272</v>
      </c>
      <c r="G98" s="140"/>
      <c r="H98" s="140"/>
      <c r="I98" s="140"/>
      <c r="J98" s="54" t="s">
        <v>137</v>
      </c>
    </row>
    <row r="99" spans="1:15">
      <c r="A99" s="138" t="s">
        <v>16</v>
      </c>
      <c r="C99" s="52" t="s">
        <v>487</v>
      </c>
      <c r="D99" s="308">
        <f>SUMIFS('Authorized Rev Req'!$U:$U,'Authorized Rev Req'!$V:$V,E99,'Authorized Rev Req'!$W:$W,"Y")</f>
        <v>160372.92006563282</v>
      </c>
      <c r="E99" s="138" t="s">
        <v>16</v>
      </c>
      <c r="F99" s="139">
        <f t="shared" si="14"/>
        <v>160372.92006563282</v>
      </c>
      <c r="G99" s="140"/>
      <c r="H99" s="140"/>
      <c r="I99" s="140"/>
      <c r="J99" s="54" t="s">
        <v>137</v>
      </c>
    </row>
    <row r="100" spans="1:15">
      <c r="A100" s="138" t="s">
        <v>17</v>
      </c>
      <c r="C100" s="52" t="s">
        <v>487</v>
      </c>
      <c r="D100" s="308">
        <f>SUMIFS('Authorized Rev Req'!$U:$U,'Authorized Rev Req'!$V:$V,E100,'Authorized Rev Req'!$W:$W,"Y")</f>
        <v>-220833.70777226734</v>
      </c>
      <c r="E100" s="138" t="s">
        <v>17</v>
      </c>
      <c r="F100" s="139">
        <f t="shared" si="14"/>
        <v>-220833.70777226734</v>
      </c>
      <c r="G100" s="140"/>
      <c r="H100" s="140"/>
      <c r="I100" s="140"/>
      <c r="J100" s="54" t="s">
        <v>137</v>
      </c>
    </row>
    <row r="101" spans="1:15">
      <c r="A101" s="138" t="s">
        <v>138</v>
      </c>
      <c r="C101" s="52" t="s">
        <v>487</v>
      </c>
      <c r="D101" s="308">
        <f>SUMIFS('Authorized Rev Req'!$U:$U,'Authorized Rev Req'!$V:$V,E101,'Authorized Rev Req'!$W:$W,"Y")</f>
        <v>-2005.9644950460411</v>
      </c>
      <c r="E101" s="138" t="s">
        <v>138</v>
      </c>
      <c r="F101" s="139">
        <f t="shared" si="14"/>
        <v>-2005.9644950460411</v>
      </c>
      <c r="G101" s="140"/>
      <c r="H101" s="140"/>
      <c r="I101" s="140"/>
      <c r="J101" s="54" t="s">
        <v>137</v>
      </c>
    </row>
    <row r="102" spans="1:15">
      <c r="A102" s="138" t="s">
        <v>69</v>
      </c>
      <c r="C102" s="52" t="s">
        <v>374</v>
      </c>
      <c r="D102" s="308">
        <f>SUMIFS('Authorized Rev Req'!$U:$U,'Authorized Rev Req'!$V:$V,E102,'Authorized Rev Req'!$W:$W,"Y")</f>
        <v>60966.130677301502</v>
      </c>
      <c r="E102" s="138" t="s">
        <v>69</v>
      </c>
      <c r="F102" s="139">
        <f t="shared" si="14"/>
        <v>60966.130677301502</v>
      </c>
      <c r="G102" s="140"/>
      <c r="H102" s="140"/>
      <c r="I102" s="140"/>
      <c r="J102" s="54" t="s">
        <v>137</v>
      </c>
    </row>
    <row r="103" spans="1:15">
      <c r="A103" s="138" t="s">
        <v>219</v>
      </c>
      <c r="C103" s="52" t="s">
        <v>374</v>
      </c>
      <c r="D103" s="308">
        <f>SUMIFS('Authorized Rev Req'!$U:$U,'Authorized Rev Req'!$V:$V,E103,'Authorized Rev Req'!$W:$W,"Y")</f>
        <v>12388.543281449209</v>
      </c>
      <c r="E103" s="138" t="s">
        <v>219</v>
      </c>
      <c r="F103" s="139">
        <f t="shared" si="14"/>
        <v>12388.543281449209</v>
      </c>
      <c r="H103" s="140"/>
      <c r="I103" s="140"/>
      <c r="J103" s="54" t="s">
        <v>137</v>
      </c>
      <c r="K103" s="54"/>
    </row>
    <row r="104" spans="1:15">
      <c r="A104" s="138"/>
      <c r="C104" s="52"/>
      <c r="D104" s="175"/>
      <c r="F104" s="122"/>
      <c r="G104" s="122"/>
      <c r="H104" s="140"/>
      <c r="I104" s="140"/>
    </row>
    <row r="105" spans="1:15">
      <c r="A105" s="285" t="s">
        <v>10</v>
      </c>
      <c r="D105" s="175"/>
      <c r="F105" s="122"/>
      <c r="G105" s="122"/>
      <c r="H105" s="140"/>
      <c r="I105" s="140"/>
      <c r="K105" s="54"/>
    </row>
    <row r="106" spans="1:15">
      <c r="A106" t="s">
        <v>162</v>
      </c>
      <c r="C106" s="52" t="str">
        <f>'Authorized Rev Req'!H126</f>
        <v>ER24-96-000</v>
      </c>
      <c r="D106" s="308">
        <f>'Authorized Rev Req'!U126</f>
        <v>2788799.6412609736</v>
      </c>
      <c r="E106" t="s">
        <v>11</v>
      </c>
      <c r="F106" s="140">
        <f>D106</f>
        <v>2788799.6412609736</v>
      </c>
      <c r="G106" s="140">
        <f t="shared" ref="G106:I107" si="15">F106</f>
        <v>2788799.6412609736</v>
      </c>
      <c r="H106" s="140">
        <f t="shared" si="15"/>
        <v>2788799.6412609736</v>
      </c>
      <c r="I106" s="140">
        <f t="shared" si="15"/>
        <v>2788799.6412609736</v>
      </c>
      <c r="J106" s="54" t="s">
        <v>137</v>
      </c>
    </row>
    <row r="107" spans="1:15">
      <c r="A107" s="138" t="s">
        <v>139</v>
      </c>
      <c r="C107" t="str">
        <f>CONCATENATE('Authorized Rev Req'!H127," / ",'Authorized Rev Req'!H128,"")</f>
        <v>ER24-599-000 / ER23-2968-000</v>
      </c>
      <c r="D107" s="308">
        <f>SUM('Authorized Rev Req'!U127:U129)</f>
        <v>-117919.33164037766</v>
      </c>
      <c r="E107" t="s">
        <v>145</v>
      </c>
      <c r="F107" s="140">
        <f>D107</f>
        <v>-117919.33164037766</v>
      </c>
      <c r="G107" s="140">
        <f t="shared" si="15"/>
        <v>-117919.33164037766</v>
      </c>
      <c r="H107" s="140">
        <f t="shared" si="15"/>
        <v>-117919.33164037766</v>
      </c>
      <c r="I107" s="140">
        <f t="shared" si="15"/>
        <v>-117919.33164037766</v>
      </c>
      <c r="J107" s="54" t="s">
        <v>137</v>
      </c>
    </row>
    <row r="108" spans="1:15">
      <c r="A108" t="s">
        <v>540</v>
      </c>
      <c r="C108" t="s">
        <v>539</v>
      </c>
      <c r="D108" s="308">
        <f>'Authorized Rev Req'!U130</f>
        <v>-7636.4776329659817</v>
      </c>
      <c r="E108" t="s">
        <v>145</v>
      </c>
      <c r="F108" s="139">
        <f>D108</f>
        <v>-7636.4776329659817</v>
      </c>
      <c r="G108" s="140"/>
      <c r="H108" s="140"/>
      <c r="I108" s="140"/>
      <c r="J108" s="54" t="s">
        <v>136</v>
      </c>
      <c r="K108" s="140"/>
      <c r="L108" s="140"/>
      <c r="M108" s="122"/>
      <c r="N108" s="122"/>
      <c r="O108" s="158"/>
    </row>
    <row r="109" spans="1:15">
      <c r="D109" s="175"/>
      <c r="F109" s="140"/>
      <c r="G109" s="140"/>
      <c r="H109" s="140"/>
      <c r="I109" s="140"/>
      <c r="K109" s="140"/>
      <c r="L109" s="140"/>
      <c r="M109" s="122"/>
      <c r="N109" s="122"/>
      <c r="O109" s="158"/>
    </row>
    <row r="110" spans="1:15" ht="15.75" thickBot="1">
      <c r="A110" s="285" t="s">
        <v>60</v>
      </c>
      <c r="D110" s="315">
        <f>SUM(D10:D109)</f>
        <v>19590006.678271223</v>
      </c>
      <c r="E110" s="310"/>
      <c r="F110" s="316">
        <f t="shared" ref="F110" si="16">SUM(F10:F108)</f>
        <v>19590746.230349865</v>
      </c>
      <c r="G110" s="316">
        <f>SUM(G10:G108)</f>
        <v>17608924.675733436</v>
      </c>
      <c r="H110" s="316">
        <f t="shared" ref="H110:I110" si="17">SUM(H10:H108)</f>
        <v>16502958.916711746</v>
      </c>
      <c r="I110" s="316">
        <f t="shared" si="17"/>
        <v>16584000.758761453</v>
      </c>
      <c r="J110"/>
    </row>
    <row r="111" spans="1:15" ht="15.75" thickTop="1">
      <c r="D111" s="175">
        <f>D110-B5</f>
        <v>0</v>
      </c>
      <c r="E111" s="310"/>
      <c r="F111" s="310"/>
      <c r="G111" s="310"/>
      <c r="H111" s="310"/>
      <c r="I111" s="310"/>
    </row>
    <row r="112" spans="1:15">
      <c r="D112" s="301"/>
    </row>
    <row r="113" spans="1:21" ht="30.75" customHeight="1">
      <c r="A113" s="426" t="s">
        <v>13</v>
      </c>
      <c r="B113" s="426"/>
      <c r="C113" s="426"/>
      <c r="D113" s="426"/>
      <c r="E113" s="426"/>
      <c r="F113" s="426"/>
      <c r="G113" s="426"/>
      <c r="H113" s="426"/>
      <c r="I113" s="426"/>
      <c r="J113" s="426"/>
      <c r="K113" s="426"/>
      <c r="L113" s="426"/>
      <c r="M113" s="426"/>
      <c r="N113" s="317"/>
      <c r="O113" s="317"/>
      <c r="Q113" s="307" t="s">
        <v>144</v>
      </c>
      <c r="R113" s="307"/>
    </row>
    <row r="114" spans="1:21" ht="75" customHeight="1">
      <c r="A114" s="288" t="s">
        <v>1</v>
      </c>
      <c r="B114" s="288" t="s">
        <v>218</v>
      </c>
      <c r="C114" s="318" t="s">
        <v>205</v>
      </c>
      <c r="D114" s="318" t="s">
        <v>529</v>
      </c>
      <c r="E114" s="318" t="s">
        <v>58</v>
      </c>
      <c r="F114" s="427"/>
      <c r="G114" s="427"/>
      <c r="H114" s="427"/>
      <c r="I114" s="319"/>
      <c r="J114" s="318" t="s">
        <v>62</v>
      </c>
      <c r="K114" s="428" t="s">
        <v>63</v>
      </c>
      <c r="L114" s="428"/>
      <c r="M114" s="428"/>
      <c r="N114" s="428"/>
      <c r="R114" s="288">
        <f>K115</f>
        <v>2024</v>
      </c>
      <c r="S114" s="288">
        <f>L115</f>
        <v>2025</v>
      </c>
      <c r="T114" s="288">
        <f>M115</f>
        <v>2026</v>
      </c>
      <c r="U114" s="288">
        <f>N115</f>
        <v>2027</v>
      </c>
    </row>
    <row r="115" spans="1:21">
      <c r="A115" s="285" t="s">
        <v>3</v>
      </c>
      <c r="C115" s="233"/>
      <c r="D115" s="233"/>
      <c r="E115" s="233"/>
      <c r="F115">
        <f>F9</f>
        <v>2024</v>
      </c>
      <c r="G115">
        <f>F115+1</f>
        <v>2025</v>
      </c>
      <c r="H115">
        <f>G115+1</f>
        <v>2026</v>
      </c>
      <c r="I115">
        <f>H115+1</f>
        <v>2027</v>
      </c>
      <c r="J115"/>
      <c r="K115">
        <f>F9</f>
        <v>2024</v>
      </c>
      <c r="L115">
        <f>K115+1</f>
        <v>2025</v>
      </c>
      <c r="M115">
        <f>L115+1</f>
        <v>2026</v>
      </c>
      <c r="N115">
        <f>M115+1</f>
        <v>2027</v>
      </c>
      <c r="O115" s="294"/>
      <c r="Q115" t="s">
        <v>4</v>
      </c>
      <c r="R115" s="131">
        <f t="shared" ref="R115:U120" si="18">SUM(R10,SUMIFS(K$116:K$149,$E$116:$E$149,$Q115,$O$116:$O$149,"y"))</f>
        <v>4168925.3443182372</v>
      </c>
      <c r="S115" s="131">
        <f t="shared" si="18"/>
        <v>3802779.78796492</v>
      </c>
      <c r="T115" s="131">
        <f t="shared" si="18"/>
        <v>4429230.1354435552</v>
      </c>
      <c r="U115" s="131">
        <f t="shared" si="18"/>
        <v>4424925.3443182372</v>
      </c>
    </row>
    <row r="116" spans="1:21" ht="15" customHeight="1">
      <c r="A116" t="s">
        <v>339</v>
      </c>
      <c r="B116" s="52" t="s">
        <v>354</v>
      </c>
      <c r="C116" s="82" t="s">
        <v>560</v>
      </c>
      <c r="D116" s="140">
        <f t="shared" ref="D116:D125" si="19">F116</f>
        <v>0</v>
      </c>
      <c r="E116" t="s">
        <v>328</v>
      </c>
      <c r="F116" s="139">
        <f>0</f>
        <v>0</v>
      </c>
      <c r="G116" s="140">
        <v>191260</v>
      </c>
      <c r="H116" s="140">
        <v>14700</v>
      </c>
      <c r="I116" s="140">
        <v>0</v>
      </c>
      <c r="J116" s="54" t="s">
        <v>136</v>
      </c>
      <c r="K116" s="140">
        <f t="shared" ref="K116:N117" si="20">F116</f>
        <v>0</v>
      </c>
      <c r="L116" s="140">
        <f t="shared" si="20"/>
        <v>191260</v>
      </c>
      <c r="M116" s="140">
        <f t="shared" si="20"/>
        <v>14700</v>
      </c>
      <c r="N116" s="140">
        <f t="shared" si="20"/>
        <v>0</v>
      </c>
      <c r="O116" s="311" t="str">
        <f>VLOOKUP(A116,Summary!$B$8:$E$26,3,FALSE)</f>
        <v>Y</v>
      </c>
      <c r="Q116" t="s">
        <v>15</v>
      </c>
      <c r="R116" s="131">
        <f t="shared" si="18"/>
        <v>444350.2979319889</v>
      </c>
      <c r="S116" s="131">
        <f t="shared" si="18"/>
        <v>170096.06391476034</v>
      </c>
      <c r="T116" s="131">
        <f t="shared" si="18"/>
        <v>380080.17407251365</v>
      </c>
      <c r="U116" s="131">
        <f t="shared" si="18"/>
        <v>380080.17407251365</v>
      </c>
    </row>
    <row r="117" spans="1:21" ht="15" customHeight="1">
      <c r="A117" t="s">
        <v>339</v>
      </c>
      <c r="B117" s="52" t="s">
        <v>354</v>
      </c>
      <c r="C117" s="82" t="s">
        <v>560</v>
      </c>
      <c r="D117" s="140">
        <f t="shared" si="19"/>
        <v>0</v>
      </c>
      <c r="E117" t="s">
        <v>219</v>
      </c>
      <c r="F117" s="139">
        <f>0</f>
        <v>0</v>
      </c>
      <c r="G117" s="140">
        <v>4400</v>
      </c>
      <c r="H117" s="140">
        <v>0</v>
      </c>
      <c r="I117" s="140">
        <v>0</v>
      </c>
      <c r="J117" s="54" t="s">
        <v>136</v>
      </c>
      <c r="K117" s="140">
        <f t="shared" si="20"/>
        <v>0</v>
      </c>
      <c r="L117" s="140">
        <f t="shared" si="20"/>
        <v>4400</v>
      </c>
      <c r="M117" s="140">
        <f t="shared" si="20"/>
        <v>0</v>
      </c>
      <c r="N117" s="140">
        <f t="shared" si="20"/>
        <v>0</v>
      </c>
      <c r="O117" s="311" t="str">
        <f>VLOOKUP(A117,Summary!$B$8:$E$26,3,FALSE)</f>
        <v>Y</v>
      </c>
      <c r="Q117" t="s">
        <v>6</v>
      </c>
      <c r="R117" s="131">
        <f t="shared" si="18"/>
        <v>9292315.5973220039</v>
      </c>
      <c r="S117" s="131">
        <f t="shared" si="18"/>
        <v>8577258.5517251138</v>
      </c>
      <c r="T117" s="131">
        <f t="shared" si="18"/>
        <v>8364959.2733553536</v>
      </c>
      <c r="U117" s="131">
        <f t="shared" si="18"/>
        <v>8501887.9321043398</v>
      </c>
    </row>
    <row r="118" spans="1:21">
      <c r="A118" t="s">
        <v>463</v>
      </c>
      <c r="B118" s="52" t="s">
        <v>465</v>
      </c>
      <c r="C118" s="82" t="s">
        <v>616</v>
      </c>
      <c r="D118" s="140">
        <f t="shared" si="19"/>
        <v>710701.78347413824</v>
      </c>
      <c r="E118" t="s">
        <v>328</v>
      </c>
      <c r="F118" s="139">
        <v>710701.78347413824</v>
      </c>
      <c r="G118" s="140">
        <v>710701.78347413824</v>
      </c>
      <c r="H118" s="140">
        <f>979056.27</f>
        <v>979056.27</v>
      </c>
      <c r="I118" s="140">
        <v>0</v>
      </c>
      <c r="J118" s="54" t="s">
        <v>136</v>
      </c>
      <c r="K118" s="140">
        <f t="shared" ref="K118:K130" si="21">F118</f>
        <v>710701.78347413824</v>
      </c>
      <c r="L118" s="140">
        <f t="shared" ref="L118:L124" si="22">G118</f>
        <v>710701.78347413824</v>
      </c>
      <c r="M118" s="140">
        <f t="shared" ref="M118:M124" si="23">H118</f>
        <v>979056.27</v>
      </c>
      <c r="N118" s="140">
        <f t="shared" ref="N118:N138" si="24">I118</f>
        <v>0</v>
      </c>
      <c r="O118" s="311" t="str">
        <f>VLOOKUP(A118,Summary!$B$8:$E$26,3,FALSE)</f>
        <v>Y</v>
      </c>
      <c r="Q118" t="s">
        <v>140</v>
      </c>
      <c r="R118" s="131">
        <f t="shared" si="18"/>
        <v>-689321.08387833403</v>
      </c>
      <c r="S118" s="131">
        <f t="shared" si="18"/>
        <v>-887998</v>
      </c>
      <c r="T118" s="131">
        <f t="shared" si="18"/>
        <v>-689321.08387833403</v>
      </c>
      <c r="U118" s="131">
        <f t="shared" si="18"/>
        <v>-689321.08387833403</v>
      </c>
    </row>
    <row r="119" spans="1:21">
      <c r="A119" t="s">
        <v>463</v>
      </c>
      <c r="B119" s="52" t="s">
        <v>465</v>
      </c>
      <c r="C119" s="82" t="s">
        <v>580</v>
      </c>
      <c r="D119" s="140">
        <f t="shared" si="19"/>
        <v>0</v>
      </c>
      <c r="E119" t="s">
        <v>219</v>
      </c>
      <c r="F119" s="139">
        <v>0</v>
      </c>
      <c r="G119" s="140">
        <v>0</v>
      </c>
      <c r="H119" s="140">
        <v>7430</v>
      </c>
      <c r="I119" s="140">
        <v>0</v>
      </c>
      <c r="J119" s="54" t="s">
        <v>136</v>
      </c>
      <c r="K119" s="140">
        <f t="shared" si="21"/>
        <v>0</v>
      </c>
      <c r="L119" s="140">
        <f t="shared" si="22"/>
        <v>0</v>
      </c>
      <c r="M119" s="140">
        <f t="shared" si="23"/>
        <v>7430</v>
      </c>
      <c r="N119" s="140">
        <f t="shared" si="24"/>
        <v>0</v>
      </c>
      <c r="O119" s="311" t="str">
        <f>VLOOKUP(A119,Summary!$B$8:$E$26,3,FALSE)</f>
        <v>Y</v>
      </c>
      <c r="Q119" t="s">
        <v>69</v>
      </c>
      <c r="R119" s="131">
        <f t="shared" si="18"/>
        <v>75596.533707629613</v>
      </c>
      <c r="S119" s="131">
        <f t="shared" si="18"/>
        <v>3166.0170655329603</v>
      </c>
      <c r="T119" s="131">
        <f t="shared" si="18"/>
        <v>14630.403030328112</v>
      </c>
      <c r="U119" s="131">
        <f t="shared" si="18"/>
        <v>14630.403030328112</v>
      </c>
    </row>
    <row r="120" spans="1:21">
      <c r="A120" t="s">
        <v>431</v>
      </c>
      <c r="B120" s="52" t="s">
        <v>433</v>
      </c>
      <c r="C120" s="82" t="s">
        <v>434</v>
      </c>
      <c r="D120" s="140">
        <f t="shared" si="19"/>
        <v>0</v>
      </c>
      <c r="E120" t="s">
        <v>328</v>
      </c>
      <c r="F120" s="139">
        <v>0</v>
      </c>
      <c r="G120" s="139">
        <v>295130</v>
      </c>
      <c r="H120" s="140">
        <v>295130</v>
      </c>
      <c r="I120" s="140">
        <v>0</v>
      </c>
      <c r="J120" s="54" t="s">
        <v>136</v>
      </c>
      <c r="K120" s="140">
        <f t="shared" si="21"/>
        <v>0</v>
      </c>
      <c r="L120" s="140">
        <f t="shared" si="22"/>
        <v>295130</v>
      </c>
      <c r="M120" s="140">
        <f t="shared" si="23"/>
        <v>295130</v>
      </c>
      <c r="N120" s="140">
        <f t="shared" si="24"/>
        <v>0</v>
      </c>
      <c r="O120" s="311" t="str">
        <f>VLOOKUP(A120,Summary!$B$8:$E$26,3,FALSE)</f>
        <v>Y</v>
      </c>
      <c r="Q120" t="s">
        <v>17</v>
      </c>
      <c r="R120" s="131">
        <f t="shared" si="18"/>
        <v>-209072.92178726735</v>
      </c>
      <c r="S120" s="131">
        <f t="shared" si="18"/>
        <v>11760.785984999997</v>
      </c>
      <c r="T120" s="131">
        <f t="shared" si="18"/>
        <v>0</v>
      </c>
      <c r="U120" s="131">
        <f t="shared" si="18"/>
        <v>0</v>
      </c>
    </row>
    <row r="121" spans="1:21">
      <c r="A121" t="s">
        <v>431</v>
      </c>
      <c r="B121" s="52" t="s">
        <v>433</v>
      </c>
      <c r="C121" s="82" t="s">
        <v>434</v>
      </c>
      <c r="D121" s="140">
        <f t="shared" si="19"/>
        <v>0</v>
      </c>
      <c r="E121" t="s">
        <v>219</v>
      </c>
      <c r="F121" s="139">
        <f>0</f>
        <v>0</v>
      </c>
      <c r="G121" s="140">
        <v>1270</v>
      </c>
      <c r="H121" s="140">
        <v>0</v>
      </c>
      <c r="I121" s="140">
        <v>0</v>
      </c>
      <c r="J121" s="54" t="s">
        <v>136</v>
      </c>
      <c r="K121" s="140">
        <f t="shared" si="21"/>
        <v>0</v>
      </c>
      <c r="L121" s="140">
        <f t="shared" si="22"/>
        <v>1270</v>
      </c>
      <c r="M121" s="140">
        <f t="shared" si="23"/>
        <v>0</v>
      </c>
      <c r="N121" s="140">
        <f t="shared" si="24"/>
        <v>0</v>
      </c>
      <c r="O121" s="311" t="str">
        <f>VLOOKUP(A121,Summary!$B$8:$E$26,3,FALSE)</f>
        <v>Y</v>
      </c>
      <c r="Q121" t="s">
        <v>16</v>
      </c>
      <c r="R121" s="131">
        <f t="shared" ref="R121:U128" si="25">SUM(R17,SUMIFS(K$116:K$149,$E$116:$E$149,$Q121,$O$116:$O$149,"y"))</f>
        <v>609236.34423596959</v>
      </c>
      <c r="S121" s="131">
        <f t="shared" si="25"/>
        <v>703864.74512199278</v>
      </c>
      <c r="T121" s="131">
        <f t="shared" si="25"/>
        <v>429046.22527000011</v>
      </c>
      <c r="U121" s="131">
        <f t="shared" si="25"/>
        <v>407924.83577000012</v>
      </c>
    </row>
    <row r="122" spans="1:21">
      <c r="A122" t="s">
        <v>550</v>
      </c>
      <c r="B122" s="52" t="s">
        <v>551</v>
      </c>
      <c r="C122" s="82" t="s">
        <v>553</v>
      </c>
      <c r="D122" s="140">
        <f t="shared" si="19"/>
        <v>0</v>
      </c>
      <c r="E122" t="s">
        <v>552</v>
      </c>
      <c r="F122" s="139"/>
      <c r="G122" s="140">
        <v>24003.90018755263</v>
      </c>
      <c r="H122" s="140">
        <v>22414.8544355431</v>
      </c>
      <c r="I122" s="139">
        <v>0</v>
      </c>
      <c r="J122" s="54" t="s">
        <v>136</v>
      </c>
      <c r="K122" s="140">
        <f t="shared" si="21"/>
        <v>0</v>
      </c>
      <c r="L122" s="140">
        <f t="shared" si="22"/>
        <v>24003.90018755263</v>
      </c>
      <c r="M122" s="140">
        <f t="shared" si="23"/>
        <v>22414.8544355431</v>
      </c>
      <c r="N122" s="140">
        <f t="shared" si="24"/>
        <v>0</v>
      </c>
      <c r="O122" s="311" t="str">
        <f>VLOOKUP(A122,Summary!$B$8:$E$26,3,FALSE)</f>
        <v>Y</v>
      </c>
      <c r="Q122" t="s">
        <v>18</v>
      </c>
      <c r="R122" s="131">
        <f t="shared" si="25"/>
        <v>393053.02899999998</v>
      </c>
      <c r="S122" s="131">
        <f t="shared" si="25"/>
        <v>393053.02899999998</v>
      </c>
      <c r="T122" s="131">
        <f t="shared" si="25"/>
        <v>393053.02899999998</v>
      </c>
      <c r="U122" s="131">
        <f t="shared" si="25"/>
        <v>393053.02899999998</v>
      </c>
    </row>
    <row r="123" spans="1:21">
      <c r="A123" t="s">
        <v>550</v>
      </c>
      <c r="B123" s="52" t="s">
        <v>551</v>
      </c>
      <c r="C123" s="82" t="s">
        <v>553</v>
      </c>
      <c r="D123" s="140">
        <f t="shared" si="19"/>
        <v>0</v>
      </c>
      <c r="E123" t="s">
        <v>4</v>
      </c>
      <c r="F123" s="139"/>
      <c r="G123" s="140">
        <v>10682.721357480434</v>
      </c>
      <c r="H123" s="140">
        <v>4304.7911253176426</v>
      </c>
      <c r="I123" s="139">
        <v>0</v>
      </c>
      <c r="J123" s="54" t="s">
        <v>136</v>
      </c>
      <c r="K123" s="140">
        <f t="shared" si="21"/>
        <v>0</v>
      </c>
      <c r="L123" s="140">
        <f t="shared" si="22"/>
        <v>10682.721357480434</v>
      </c>
      <c r="M123" s="140">
        <f t="shared" si="23"/>
        <v>4304.7911253176426</v>
      </c>
      <c r="N123" s="140">
        <f t="shared" si="24"/>
        <v>0</v>
      </c>
      <c r="O123" s="311" t="str">
        <f>VLOOKUP(A123,Summary!$B$8:$E$26,3,FALSE)</f>
        <v>Y</v>
      </c>
      <c r="Q123" s="138" t="s">
        <v>138</v>
      </c>
      <c r="R123" s="131">
        <f t="shared" si="25"/>
        <v>-2005.9644950460411</v>
      </c>
      <c r="S123" s="131">
        <f t="shared" si="25"/>
        <v>0</v>
      </c>
      <c r="T123" s="131">
        <f t="shared" si="25"/>
        <v>0</v>
      </c>
      <c r="U123" s="131">
        <f t="shared" si="25"/>
        <v>0</v>
      </c>
    </row>
    <row r="124" spans="1:21">
      <c r="A124" t="s">
        <v>561</v>
      </c>
      <c r="B124" s="52" t="s">
        <v>562</v>
      </c>
      <c r="C124" s="82" t="s">
        <v>567</v>
      </c>
      <c r="D124" s="140">
        <f t="shared" si="19"/>
        <v>0</v>
      </c>
      <c r="E124" t="s">
        <v>552</v>
      </c>
      <c r="F124" s="139">
        <v>0</v>
      </c>
      <c r="G124" s="140">
        <v>43013.803924508669</v>
      </c>
      <c r="H124" s="140">
        <v>0</v>
      </c>
      <c r="I124" s="139">
        <v>0</v>
      </c>
      <c r="J124" s="54" t="s">
        <v>136</v>
      </c>
      <c r="K124" s="140">
        <f t="shared" si="21"/>
        <v>0</v>
      </c>
      <c r="L124" s="140">
        <f t="shared" si="22"/>
        <v>43013.803924508669</v>
      </c>
      <c r="M124" s="140">
        <f t="shared" si="23"/>
        <v>0</v>
      </c>
      <c r="N124" s="140">
        <f t="shared" si="24"/>
        <v>0</v>
      </c>
      <c r="O124" s="311" t="str">
        <f>VLOOKUP(A124,Summary!$B$8:$E$26,3,FALSE)</f>
        <v>Y</v>
      </c>
      <c r="Q124" s="233" t="s">
        <v>11</v>
      </c>
      <c r="R124" s="131">
        <f t="shared" si="25"/>
        <v>2788799.6412609736</v>
      </c>
      <c r="S124" s="131">
        <f t="shared" si="25"/>
        <v>2788799.6412609736</v>
      </c>
      <c r="T124" s="131">
        <f t="shared" si="25"/>
        <v>2788799.6412609736</v>
      </c>
      <c r="U124" s="131">
        <f t="shared" si="25"/>
        <v>2788799.6412609736</v>
      </c>
    </row>
    <row r="125" spans="1:21">
      <c r="A125" t="s">
        <v>561</v>
      </c>
      <c r="B125" s="52" t="s">
        <v>562</v>
      </c>
      <c r="C125" s="82" t="s">
        <v>567</v>
      </c>
      <c r="D125" s="140">
        <f t="shared" si="19"/>
        <v>0</v>
      </c>
      <c r="E125" t="s">
        <v>4</v>
      </c>
      <c r="F125" s="139">
        <v>0</v>
      </c>
      <c r="G125" s="140">
        <v>18435.273694778378</v>
      </c>
      <c r="H125" s="140">
        <v>0</v>
      </c>
      <c r="I125" s="139">
        <v>0</v>
      </c>
      <c r="J125" s="54" t="s">
        <v>136</v>
      </c>
      <c r="K125" s="140">
        <f t="shared" si="21"/>
        <v>0</v>
      </c>
      <c r="L125" s="140">
        <f>G125</f>
        <v>18435.273694778378</v>
      </c>
      <c r="M125" s="140">
        <f>H125</f>
        <v>0</v>
      </c>
      <c r="N125" s="140">
        <f t="shared" si="24"/>
        <v>0</v>
      </c>
      <c r="O125" s="311" t="str">
        <f>VLOOKUP(A125,Summary!$B$8:$E$26,3,FALSE)</f>
        <v>Y</v>
      </c>
      <c r="Q125" t="s">
        <v>145</v>
      </c>
      <c r="R125" s="131">
        <f t="shared" si="25"/>
        <v>-125555.80927334364</v>
      </c>
      <c r="S125" s="131">
        <f t="shared" si="25"/>
        <v>-117919.33164037766</v>
      </c>
      <c r="T125" s="131">
        <f t="shared" si="25"/>
        <v>-117919.33164037766</v>
      </c>
      <c r="U125" s="131">
        <f t="shared" si="25"/>
        <v>-117919.33164037766</v>
      </c>
    </row>
    <row r="126" spans="1:21">
      <c r="A126" t="s">
        <v>564</v>
      </c>
      <c r="B126" t="s">
        <v>566</v>
      </c>
      <c r="C126" s="82" t="s">
        <v>568</v>
      </c>
      <c r="D126" s="140">
        <v>0</v>
      </c>
      <c r="E126" t="s">
        <v>15</v>
      </c>
      <c r="F126" s="139">
        <v>0</v>
      </c>
      <c r="G126" s="140">
        <v>168542.40739858468</v>
      </c>
      <c r="H126" s="140">
        <v>0</v>
      </c>
      <c r="I126" s="140">
        <v>0</v>
      </c>
      <c r="J126" s="54" t="s">
        <v>137</v>
      </c>
      <c r="K126" s="140">
        <f t="shared" si="21"/>
        <v>0</v>
      </c>
      <c r="L126" s="140">
        <f>G126-G24</f>
        <v>-209984.11015775331</v>
      </c>
      <c r="M126" s="140">
        <f>H126</f>
        <v>0</v>
      </c>
      <c r="N126" s="140">
        <f t="shared" si="24"/>
        <v>0</v>
      </c>
      <c r="O126" s="311" t="str">
        <f>VLOOKUP(A126,Summary!$B$8:$E$26,3,FALSE)</f>
        <v>Y</v>
      </c>
      <c r="Q126" t="s">
        <v>219</v>
      </c>
      <c r="R126" s="131">
        <f t="shared" si="25"/>
        <v>614827.7588768712</v>
      </c>
      <c r="S126" s="131">
        <f t="shared" si="25"/>
        <v>1125206.9382348098</v>
      </c>
      <c r="T126" s="131">
        <f t="shared" si="25"/>
        <v>-626171.73558360722</v>
      </c>
      <c r="U126" s="131">
        <f t="shared" si="25"/>
        <v>-620064.31139375083</v>
      </c>
    </row>
    <row r="127" spans="1:21">
      <c r="A127" t="s">
        <v>564</v>
      </c>
      <c r="B127" t="s">
        <v>566</v>
      </c>
      <c r="C127" s="82" t="s">
        <v>569</v>
      </c>
      <c r="D127" s="140">
        <v>0</v>
      </c>
      <c r="E127" t="s">
        <v>219</v>
      </c>
      <c r="F127" s="139">
        <v>0</v>
      </c>
      <c r="G127" s="140">
        <v>352.75189811906256</v>
      </c>
      <c r="H127" s="140">
        <v>0</v>
      </c>
      <c r="I127" s="140">
        <v>0</v>
      </c>
      <c r="J127" s="54" t="s">
        <v>137</v>
      </c>
      <c r="K127" s="140">
        <f t="shared" si="21"/>
        <v>0</v>
      </c>
      <c r="L127" s="140">
        <f>G127-'Authorized Rev Req'!S27</f>
        <v>-551.93192470675535</v>
      </c>
      <c r="M127" s="140">
        <f>H127</f>
        <v>0</v>
      </c>
      <c r="N127" s="140">
        <f t="shared" si="24"/>
        <v>0</v>
      </c>
      <c r="O127" s="311" t="str">
        <f>VLOOKUP(A127,Summary!$B$8:$E$26,3,FALSE)</f>
        <v>Y</v>
      </c>
      <c r="Q127" t="s">
        <v>297</v>
      </c>
      <c r="R127" s="131">
        <f t="shared" si="25"/>
        <v>296337.78893673094</v>
      </c>
      <c r="S127" s="131">
        <f t="shared" si="25"/>
        <v>615362.76344428258</v>
      </c>
      <c r="T127" s="131">
        <f t="shared" si="25"/>
        <v>615362.76344428258</v>
      </c>
      <c r="U127" s="131">
        <f t="shared" si="25"/>
        <v>615362.76344428258</v>
      </c>
    </row>
    <row r="128" spans="1:21">
      <c r="A128" t="s">
        <v>564</v>
      </c>
      <c r="B128" t="s">
        <v>566</v>
      </c>
      <c r="C128" s="82" t="s">
        <v>565</v>
      </c>
      <c r="D128" s="140">
        <v>0</v>
      </c>
      <c r="E128" t="s">
        <v>219</v>
      </c>
      <c r="F128" s="139">
        <v>0</v>
      </c>
      <c r="G128" s="140">
        <v>-930839.91350119235</v>
      </c>
      <c r="H128" s="140">
        <v>0</v>
      </c>
      <c r="I128" s="140">
        <v>0</v>
      </c>
      <c r="J128" s="54" t="s">
        <v>137</v>
      </c>
      <c r="K128" s="140">
        <f t="shared" si="21"/>
        <v>0</v>
      </c>
      <c r="L128" s="140">
        <f>G128-G22</f>
        <v>964214.50308816461</v>
      </c>
      <c r="M128" s="140">
        <f>H128</f>
        <v>0</v>
      </c>
      <c r="N128" s="140">
        <f t="shared" si="24"/>
        <v>0</v>
      </c>
      <c r="O128" s="311" t="str">
        <f>VLOOKUP(A128,Summary!$B$8:$E$26,3,FALSE)</f>
        <v>Y</v>
      </c>
      <c r="Q128" t="s">
        <v>328</v>
      </c>
      <c r="R128" s="131">
        <f t="shared" si="25"/>
        <v>2637817.1396267097</v>
      </c>
      <c r="S128" s="131">
        <f t="shared" si="25"/>
        <v>-212638.73215360241</v>
      </c>
      <c r="T128" s="131">
        <f t="shared" si="25"/>
        <v>2092954.7516584203</v>
      </c>
      <c r="U128" s="131">
        <f t="shared" si="25"/>
        <v>803666.33718079608</v>
      </c>
    </row>
    <row r="129" spans="1:21" ht="15.6" customHeight="1">
      <c r="A129" t="s">
        <v>564</v>
      </c>
      <c r="B129" t="s">
        <v>566</v>
      </c>
      <c r="C129" s="82" t="s">
        <v>571</v>
      </c>
      <c r="D129" s="140">
        <v>0</v>
      </c>
      <c r="E129" t="s">
        <v>69</v>
      </c>
      <c r="F129" s="139">
        <v>0</v>
      </c>
      <c r="G129" s="140">
        <v>3166.0170655329603</v>
      </c>
      <c r="H129" s="140">
        <v>0</v>
      </c>
      <c r="I129" s="140">
        <v>0</v>
      </c>
      <c r="J129" s="54" t="s">
        <v>137</v>
      </c>
      <c r="K129" s="140">
        <f t="shared" si="21"/>
        <v>0</v>
      </c>
      <c r="L129" s="140">
        <f>G129-G23</f>
        <v>-11464.385964795152</v>
      </c>
      <c r="M129" s="140">
        <f>H129</f>
        <v>0</v>
      </c>
      <c r="N129" s="140">
        <f t="shared" si="24"/>
        <v>0</v>
      </c>
      <c r="O129" s="311" t="str">
        <f>VLOOKUP(A129,Summary!$B$8:$E$26,3,FALSE)</f>
        <v>Y</v>
      </c>
      <c r="Q129" t="s">
        <v>143</v>
      </c>
      <c r="R129" s="309">
        <f>SUM(R115:R128)</f>
        <v>20295303.695783123</v>
      </c>
      <c r="S129" s="309">
        <f>SUM(S115:S128)</f>
        <v>16972792.259923406</v>
      </c>
      <c r="T129" s="309">
        <f>SUM(T115:T128)</f>
        <v>18074704.245433107</v>
      </c>
      <c r="U129" s="309">
        <f>SUM(U115:U128)</f>
        <v>16903025.733269006</v>
      </c>
    </row>
    <row r="130" spans="1:21" ht="15.6" customHeight="1">
      <c r="A130" t="s">
        <v>564</v>
      </c>
      <c r="B130" t="s">
        <v>566</v>
      </c>
      <c r="C130" s="82" t="s">
        <v>572</v>
      </c>
      <c r="D130" s="140">
        <v>0</v>
      </c>
      <c r="E130" t="s">
        <v>4</v>
      </c>
      <c r="F130" s="139">
        <v>0</v>
      </c>
      <c r="G130" s="140">
        <v>3769749.7204347868</v>
      </c>
      <c r="H130" s="140">
        <v>0</v>
      </c>
      <c r="I130" s="140">
        <v>0</v>
      </c>
      <c r="J130" s="54" t="s">
        <v>137</v>
      </c>
      <c r="K130" s="140">
        <f t="shared" si="21"/>
        <v>0</v>
      </c>
      <c r="L130" s="140">
        <f>G130-G21</f>
        <v>-651263.55140557606</v>
      </c>
      <c r="M130" s="140">
        <f>H130</f>
        <v>0</v>
      </c>
      <c r="N130" s="140">
        <f t="shared" si="24"/>
        <v>0</v>
      </c>
      <c r="O130" s="311" t="str">
        <f>VLOOKUP(A130,Summary!$B$8:$E$26,3,FALSE)</f>
        <v>Y</v>
      </c>
      <c r="R130" s="294"/>
      <c r="S130" s="294"/>
      <c r="T130" s="294"/>
      <c r="U130" s="294"/>
    </row>
    <row r="131" spans="1:21" ht="15.6" customHeight="1">
      <c r="A131" t="s">
        <v>564</v>
      </c>
      <c r="B131" t="s">
        <v>566</v>
      </c>
      <c r="C131" s="82" t="s">
        <v>565</v>
      </c>
      <c r="D131" s="140">
        <v>0</v>
      </c>
      <c r="E131" t="s">
        <v>4</v>
      </c>
      <c r="F131" s="139">
        <v>0</v>
      </c>
      <c r="G131" s="140">
        <v>0</v>
      </c>
      <c r="H131" s="140">
        <v>0</v>
      </c>
      <c r="I131" s="140">
        <v>0</v>
      </c>
      <c r="J131" s="54" t="s">
        <v>137</v>
      </c>
      <c r="K131" s="140">
        <f t="shared" ref="K131:M140" si="26">F131</f>
        <v>0</v>
      </c>
      <c r="L131" s="140">
        <f t="shared" si="26"/>
        <v>0</v>
      </c>
      <c r="M131" s="140">
        <f t="shared" si="26"/>
        <v>0</v>
      </c>
      <c r="N131" s="140">
        <f t="shared" si="24"/>
        <v>0</v>
      </c>
      <c r="O131" s="311" t="str">
        <f>VLOOKUP(A131,Summary!$B$8:$E$26,3,FALSE)</f>
        <v>Y</v>
      </c>
      <c r="R131" s="294"/>
      <c r="S131" s="294"/>
      <c r="T131" s="294"/>
      <c r="U131" s="294"/>
    </row>
    <row r="132" spans="1:21" ht="15.6" customHeight="1">
      <c r="A132" t="s">
        <v>564</v>
      </c>
      <c r="B132" t="s">
        <v>566</v>
      </c>
      <c r="C132" s="82" t="s">
        <v>565</v>
      </c>
      <c r="D132" s="140">
        <v>0</v>
      </c>
      <c r="E132" t="s">
        <v>219</v>
      </c>
      <c r="F132" s="139">
        <v>0</v>
      </c>
      <c r="G132" s="140">
        <v>0</v>
      </c>
      <c r="H132" s="140">
        <v>0</v>
      </c>
      <c r="I132" s="140">
        <v>0</v>
      </c>
      <c r="J132" s="54" t="s">
        <v>137</v>
      </c>
      <c r="K132" s="140">
        <f t="shared" si="26"/>
        <v>0</v>
      </c>
      <c r="L132" s="140">
        <f>G132-'Authorized Rev Req'!S26</f>
        <v>-11483.85945862339</v>
      </c>
      <c r="M132" s="140">
        <f t="shared" si="26"/>
        <v>0</v>
      </c>
      <c r="N132" s="140">
        <f t="shared" si="24"/>
        <v>0</v>
      </c>
      <c r="O132" s="311" t="str">
        <f>VLOOKUP(A132,Summary!$B$8:$E$26,3,FALSE)</f>
        <v>Y</v>
      </c>
      <c r="R132" s="294"/>
      <c r="S132" s="294"/>
      <c r="T132" s="294"/>
      <c r="U132" s="294"/>
    </row>
    <row r="133" spans="1:21" ht="15.6" customHeight="1">
      <c r="A133" t="s">
        <v>564</v>
      </c>
      <c r="B133" t="s">
        <v>566</v>
      </c>
      <c r="C133" s="82" t="s">
        <v>573</v>
      </c>
      <c r="D133" s="140">
        <v>0</v>
      </c>
      <c r="E133" t="s">
        <v>16</v>
      </c>
      <c r="F133" s="139">
        <v>0</v>
      </c>
      <c r="G133" s="140">
        <v>-81.9123184513914</v>
      </c>
      <c r="H133" s="140">
        <v>0</v>
      </c>
      <c r="I133" s="140">
        <v>0</v>
      </c>
      <c r="J133" s="54" t="s">
        <v>137</v>
      </c>
      <c r="K133" s="140">
        <f t="shared" si="26"/>
        <v>0</v>
      </c>
      <c r="L133" s="140">
        <f>G133-G86</f>
        <v>393.92049702215155</v>
      </c>
      <c r="M133" s="140">
        <f t="shared" si="26"/>
        <v>0</v>
      </c>
      <c r="N133" s="140">
        <f t="shared" si="24"/>
        <v>0</v>
      </c>
      <c r="O133" s="311" t="str">
        <f>VLOOKUP(A133,Summary!$B$8:$E$26,3,FALSE)</f>
        <v>Y</v>
      </c>
      <c r="R133" s="294"/>
      <c r="S133" s="294"/>
      <c r="T133" s="294"/>
      <c r="U133" s="294"/>
    </row>
    <row r="134" spans="1:21" ht="15.6" customHeight="1">
      <c r="A134" t="s">
        <v>564</v>
      </c>
      <c r="B134" t="s">
        <v>566</v>
      </c>
      <c r="C134" s="82" t="s">
        <v>574</v>
      </c>
      <c r="D134" s="140">
        <v>0</v>
      </c>
      <c r="E134" t="s">
        <v>16</v>
      </c>
      <c r="F134" s="139">
        <v>0</v>
      </c>
      <c r="G134" s="140">
        <v>40301.931940098366</v>
      </c>
      <c r="H134" s="140">
        <v>0</v>
      </c>
      <c r="I134" s="140">
        <v>0</v>
      </c>
      <c r="J134" s="54" t="s">
        <v>137</v>
      </c>
      <c r="K134" s="140">
        <f t="shared" si="26"/>
        <v>0</v>
      </c>
      <c r="L134" s="140">
        <f>G134-G69</f>
        <v>17136.66035671646</v>
      </c>
      <c r="M134" s="140">
        <f t="shared" si="26"/>
        <v>0</v>
      </c>
      <c r="N134" s="140">
        <f t="shared" si="24"/>
        <v>0</v>
      </c>
      <c r="O134" s="311" t="str">
        <f>VLOOKUP(A134,Summary!$B$8:$E$26,3,FALSE)</f>
        <v>Y</v>
      </c>
      <c r="R134" s="294"/>
      <c r="S134" s="294"/>
      <c r="T134" s="294"/>
      <c r="U134" s="294"/>
    </row>
    <row r="135" spans="1:21" ht="15.6" customHeight="1">
      <c r="A135" t="s">
        <v>564</v>
      </c>
      <c r="B135" t="s">
        <v>566</v>
      </c>
      <c r="C135" s="82" t="s">
        <v>575</v>
      </c>
      <c r="D135" s="140">
        <v>0</v>
      </c>
      <c r="E135" t="s">
        <v>16</v>
      </c>
      <c r="F135" s="139">
        <v>0</v>
      </c>
      <c r="G135" s="140">
        <v>13220.279755427671</v>
      </c>
      <c r="H135" s="140">
        <v>0</v>
      </c>
      <c r="I135" s="140">
        <v>0</v>
      </c>
      <c r="J135" s="54" t="s">
        <v>137</v>
      </c>
      <c r="K135" s="140">
        <f t="shared" si="26"/>
        <v>0</v>
      </c>
      <c r="L135" s="140">
        <f>G135-G85</f>
        <v>-840.95095422441955</v>
      </c>
      <c r="M135" s="140">
        <f t="shared" si="26"/>
        <v>0</v>
      </c>
      <c r="N135" s="140">
        <f t="shared" si="24"/>
        <v>0</v>
      </c>
      <c r="O135" s="311" t="str">
        <f>VLOOKUP(A135,Summary!$B$8:$E$26,3,FALSE)</f>
        <v>Y</v>
      </c>
      <c r="R135" s="294"/>
      <c r="S135" s="294"/>
      <c r="T135" s="294"/>
      <c r="U135" s="294"/>
    </row>
    <row r="136" spans="1:21" ht="15.6" customHeight="1">
      <c r="A136" t="s">
        <v>564</v>
      </c>
      <c r="B136" t="s">
        <v>566</v>
      </c>
      <c r="C136" s="320" t="s">
        <v>579</v>
      </c>
      <c r="D136" s="140">
        <v>0</v>
      </c>
      <c r="E136" t="s">
        <v>140</v>
      </c>
      <c r="F136" s="139">
        <v>0</v>
      </c>
      <c r="G136" s="140">
        <v>-887998</v>
      </c>
      <c r="H136" s="140">
        <v>0</v>
      </c>
      <c r="I136" s="140">
        <v>0</v>
      </c>
      <c r="J136" s="54" t="s">
        <v>137</v>
      </c>
      <c r="K136" s="140">
        <f t="shared" si="26"/>
        <v>0</v>
      </c>
      <c r="L136" s="140">
        <f>G136-G68</f>
        <v>-198676.91612166597</v>
      </c>
      <c r="M136" s="140">
        <f t="shared" si="26"/>
        <v>0</v>
      </c>
      <c r="N136" s="140">
        <f t="shared" si="24"/>
        <v>0</v>
      </c>
      <c r="O136" s="311" t="str">
        <f>VLOOKUP(A136,Summary!$B$8:$E$26,3,FALSE)</f>
        <v>Y</v>
      </c>
      <c r="R136" s="294"/>
      <c r="S136" s="294"/>
      <c r="T136" s="294"/>
      <c r="U136" s="294"/>
    </row>
    <row r="137" spans="1:21" ht="15.6" customHeight="1">
      <c r="A137" t="s">
        <v>420</v>
      </c>
      <c r="B137" t="s">
        <v>576</v>
      </c>
      <c r="C137" t="s">
        <v>577</v>
      </c>
      <c r="D137" s="140">
        <v>0</v>
      </c>
      <c r="E137" t="s">
        <v>328</v>
      </c>
      <c r="F137" s="140">
        <v>0</v>
      </c>
      <c r="G137" s="140">
        <v>168801.86719146292</v>
      </c>
      <c r="H137" s="140">
        <v>402.14447762413943</v>
      </c>
      <c r="I137" s="140">
        <v>0</v>
      </c>
      <c r="J137" s="54" t="s">
        <v>137</v>
      </c>
      <c r="K137" s="140">
        <f t="shared" si="26"/>
        <v>0</v>
      </c>
      <c r="L137" s="140">
        <f t="shared" si="26"/>
        <v>168801.86719146292</v>
      </c>
      <c r="M137" s="140">
        <f t="shared" si="26"/>
        <v>402.14447762413943</v>
      </c>
      <c r="N137" s="140">
        <f t="shared" si="24"/>
        <v>0</v>
      </c>
      <c r="O137" s="311" t="str">
        <f>VLOOKUP(A137,Summary!$B$8:$E$26,3,FALSE)</f>
        <v>Y</v>
      </c>
      <c r="R137" s="294"/>
      <c r="S137" s="294"/>
      <c r="T137" s="294"/>
      <c r="U137" s="294"/>
    </row>
    <row r="138" spans="1:21" ht="15.6" customHeight="1">
      <c r="A138" t="s">
        <v>420</v>
      </c>
      <c r="B138" t="s">
        <v>576</v>
      </c>
      <c r="C138" t="s">
        <v>578</v>
      </c>
      <c r="D138" s="140">
        <v>0</v>
      </c>
      <c r="E138" t="s">
        <v>219</v>
      </c>
      <c r="F138" s="140">
        <v>0</v>
      </c>
      <c r="G138" s="140">
        <v>36505.533525554318</v>
      </c>
      <c r="H138" s="140">
        <v>0</v>
      </c>
      <c r="I138" s="140">
        <v>0</v>
      </c>
      <c r="J138" s="54" t="s">
        <v>137</v>
      </c>
      <c r="K138" s="140">
        <f t="shared" si="26"/>
        <v>0</v>
      </c>
      <c r="L138" s="140">
        <f t="shared" si="26"/>
        <v>36505.533525554318</v>
      </c>
      <c r="M138" s="140">
        <f t="shared" si="26"/>
        <v>0</v>
      </c>
      <c r="N138" s="140">
        <f t="shared" si="24"/>
        <v>0</v>
      </c>
      <c r="O138" s="311" t="str">
        <f>VLOOKUP(A138,Summary!$B$8:$E$26,3,FALSE)</f>
        <v>Y</v>
      </c>
      <c r="R138" s="294"/>
      <c r="S138" s="294"/>
      <c r="T138" s="294"/>
      <c r="U138" s="294"/>
    </row>
    <row r="139" spans="1:21" ht="15.6" customHeight="1">
      <c r="A139" s="321" t="s">
        <v>587</v>
      </c>
      <c r="B139" t="s">
        <v>588</v>
      </c>
      <c r="C139" t="s">
        <v>591</v>
      </c>
      <c r="D139" s="310"/>
      <c r="E139" t="s">
        <v>328</v>
      </c>
      <c r="F139" s="140"/>
      <c r="G139" s="140">
        <v>-2382198.7199999997</v>
      </c>
      <c r="H139" s="140">
        <v>0</v>
      </c>
      <c r="I139" s="140">
        <v>0</v>
      </c>
      <c r="J139" s="54" t="s">
        <v>136</v>
      </c>
      <c r="K139" s="140">
        <f t="shared" si="26"/>
        <v>0</v>
      </c>
      <c r="L139" s="140">
        <f t="shared" si="26"/>
        <v>-2382198.7199999997</v>
      </c>
      <c r="M139" s="140">
        <f t="shared" si="26"/>
        <v>0</v>
      </c>
      <c r="N139" s="140">
        <f>I139</f>
        <v>0</v>
      </c>
      <c r="O139" s="311" t="str">
        <f>VLOOKUP(A139,Summary!$B$8:$E$26,3,FALSE)</f>
        <v>Y</v>
      </c>
      <c r="R139" s="294"/>
      <c r="S139" s="294"/>
      <c r="T139" s="294"/>
      <c r="U139" s="294"/>
    </row>
    <row r="140" spans="1:21" ht="15.6" customHeight="1">
      <c r="A140" s="321" t="s">
        <v>587</v>
      </c>
      <c r="B140" t="s">
        <v>588</v>
      </c>
      <c r="C140" t="s">
        <v>591</v>
      </c>
      <c r="D140" s="310"/>
      <c r="E140" t="s">
        <v>297</v>
      </c>
      <c r="F140" s="140"/>
      <c r="G140" s="140">
        <v>319024.97450755164</v>
      </c>
      <c r="H140" s="140">
        <v>319024.97450755164</v>
      </c>
      <c r="I140" s="140">
        <v>319024.97450755164</v>
      </c>
      <c r="J140" s="54" t="s">
        <v>136</v>
      </c>
      <c r="K140" s="140">
        <f t="shared" si="26"/>
        <v>0</v>
      </c>
      <c r="L140" s="140">
        <f t="shared" si="26"/>
        <v>319024.97450755164</v>
      </c>
      <c r="M140" s="140">
        <f t="shared" si="26"/>
        <v>319024.97450755164</v>
      </c>
      <c r="N140" s="140">
        <f>I140</f>
        <v>319024.97450755164</v>
      </c>
      <c r="O140" s="311" t="str">
        <f>VLOOKUP(A140,Summary!$B$8:$E$26,3,FALSE)</f>
        <v>Y</v>
      </c>
      <c r="R140" s="294"/>
      <c r="S140" s="294"/>
      <c r="T140" s="294"/>
      <c r="U140" s="294"/>
    </row>
    <row r="141" spans="1:21" ht="15.6" customHeight="1">
      <c r="A141" s="285" t="s">
        <v>8</v>
      </c>
      <c r="D141" s="310"/>
      <c r="F141" s="140"/>
      <c r="H141" s="140"/>
      <c r="I141" s="140"/>
      <c r="K141" s="140"/>
      <c r="L141" s="140"/>
      <c r="M141" s="140"/>
      <c r="N141" s="140"/>
      <c r="O141" s="311"/>
      <c r="R141" s="294"/>
      <c r="S141" s="294"/>
      <c r="T141" s="294"/>
      <c r="U141" s="294"/>
    </row>
    <row r="142" spans="1:21" ht="15.75" thickBot="1">
      <c r="A142" s="322" t="s">
        <v>584</v>
      </c>
      <c r="B142" s="323" t="s">
        <v>563</v>
      </c>
      <c r="C142" t="s">
        <v>581</v>
      </c>
      <c r="D142" s="140">
        <f>F142</f>
        <v>0</v>
      </c>
      <c r="E142" t="s">
        <v>16</v>
      </c>
      <c r="F142" s="140">
        <v>0</v>
      </c>
      <c r="G142" s="140">
        <v>232201</v>
      </c>
      <c r="H142" s="140">
        <v>0</v>
      </c>
      <c r="I142" s="140">
        <v>0</v>
      </c>
      <c r="J142" s="54" t="s">
        <v>136</v>
      </c>
      <c r="K142" s="140">
        <f>F142</f>
        <v>0</v>
      </c>
      <c r="L142" s="140">
        <f>G142</f>
        <v>232201</v>
      </c>
      <c r="M142" s="140">
        <f>H142</f>
        <v>0</v>
      </c>
      <c r="N142" s="140">
        <v>0</v>
      </c>
      <c r="O142" s="311" t="str">
        <f>VLOOKUP(A142,Summary!$B$8:$E$26,3,FALSE)</f>
        <v>Y</v>
      </c>
    </row>
    <row r="143" spans="1:21" ht="15.75" thickBot="1">
      <c r="A143" s="322"/>
      <c r="B143" s="324"/>
      <c r="D143" s="310"/>
      <c r="F143" s="122"/>
      <c r="G143" s="240"/>
      <c r="H143" s="122"/>
      <c r="I143" s="122"/>
      <c r="K143" s="122"/>
      <c r="L143" s="122"/>
      <c r="M143" s="122"/>
      <c r="N143" s="122"/>
      <c r="O143" s="122"/>
    </row>
    <row r="144" spans="1:21">
      <c r="A144" s="325"/>
      <c r="B144" s="324"/>
      <c r="D144" s="310"/>
      <c r="F144" s="122"/>
      <c r="G144" s="240"/>
      <c r="H144" s="122"/>
      <c r="I144" s="122"/>
      <c r="K144" s="122"/>
      <c r="L144" s="122"/>
      <c r="M144" s="122"/>
      <c r="N144" s="122"/>
      <c r="O144" s="122"/>
      <c r="Q144" s="326"/>
    </row>
    <row r="145" spans="1:15">
      <c r="A145" s="325"/>
      <c r="B145" s="324"/>
      <c r="D145" s="310"/>
      <c r="F145" s="122"/>
      <c r="G145" s="240"/>
      <c r="H145" s="122"/>
      <c r="I145" s="122"/>
      <c r="K145" s="122"/>
      <c r="L145" s="122"/>
      <c r="M145" s="122"/>
      <c r="N145" s="122"/>
      <c r="O145" s="122"/>
    </row>
    <row r="146" spans="1:15">
      <c r="A146" s="325"/>
      <c r="B146" s="324"/>
      <c r="D146" s="310"/>
      <c r="F146" s="122"/>
      <c r="G146" s="240"/>
      <c r="H146" s="122"/>
      <c r="I146" s="122"/>
      <c r="K146" s="122"/>
      <c r="L146" s="122"/>
      <c r="M146" s="122"/>
      <c r="N146" s="122"/>
      <c r="O146" s="122"/>
    </row>
    <row r="147" spans="1:15">
      <c r="A147" s="325"/>
      <c r="B147" s="324"/>
      <c r="D147" s="310"/>
      <c r="F147" s="122"/>
      <c r="G147" s="240"/>
      <c r="H147" s="122"/>
      <c r="I147" s="122"/>
      <c r="K147" s="122"/>
      <c r="L147" s="122"/>
      <c r="M147" s="122"/>
      <c r="N147" s="122"/>
      <c r="O147" s="122"/>
    </row>
    <row r="148" spans="1:15">
      <c r="A148" s="285" t="s">
        <v>10</v>
      </c>
      <c r="D148" s="175"/>
      <c r="F148" s="122"/>
      <c r="G148" s="122"/>
      <c r="H148" s="122"/>
      <c r="I148" s="122"/>
      <c r="K148" s="122"/>
      <c r="L148" s="122"/>
      <c r="M148" s="122"/>
      <c r="N148" s="122"/>
      <c r="O148" s="122"/>
    </row>
    <row r="149" spans="1:15">
      <c r="D149" s="308"/>
      <c r="F149" s="139"/>
      <c r="G149" s="140"/>
      <c r="H149" s="140"/>
      <c r="I149" s="140"/>
      <c r="K149" s="140"/>
      <c r="L149" s="140"/>
      <c r="M149" s="140"/>
      <c r="N149" s="140"/>
      <c r="O149" s="311"/>
    </row>
    <row r="150" spans="1:15">
      <c r="C150" s="82"/>
      <c r="D150" s="308"/>
      <c r="F150" s="140"/>
      <c r="G150" s="140"/>
      <c r="H150" s="122"/>
      <c r="I150" s="122"/>
      <c r="K150" s="140"/>
      <c r="L150" s="140"/>
      <c r="M150" s="122"/>
      <c r="N150" s="122"/>
      <c r="O150" s="311"/>
    </row>
    <row r="151" spans="1:15">
      <c r="C151" s="82"/>
      <c r="D151" s="308"/>
      <c r="F151" s="140"/>
      <c r="G151" s="140"/>
      <c r="H151" s="122"/>
      <c r="I151" s="122"/>
      <c r="K151" s="140"/>
      <c r="L151" s="140"/>
      <c r="M151" s="122"/>
      <c r="N151" s="122"/>
      <c r="O151" s="311"/>
    </row>
    <row r="152" spans="1:15">
      <c r="D152" s="175"/>
      <c r="F152" s="122"/>
      <c r="G152" s="122"/>
      <c r="H152" s="122"/>
      <c r="I152" s="122"/>
      <c r="K152" s="122"/>
      <c r="L152" s="122"/>
      <c r="M152" s="122"/>
      <c r="N152" s="122"/>
      <c r="O152" s="122"/>
    </row>
    <row r="153" spans="1:15" ht="15.75" thickBot="1">
      <c r="A153" s="285" t="s">
        <v>57</v>
      </c>
      <c r="D153" s="315">
        <f>SUM(D116:D152)</f>
        <v>710701.78347413824</v>
      </c>
      <c r="F153" s="316">
        <f>SUM(F116:F152)</f>
        <v>710701.78347413824</v>
      </c>
      <c r="G153" s="316">
        <f>SUM(G116:G152)</f>
        <v>1849645.4205359332</v>
      </c>
      <c r="H153" s="316">
        <f>SUM(H116:H152)</f>
        <v>1642463.0345460365</v>
      </c>
      <c r="I153" s="316">
        <f>SUM(I116:I152)</f>
        <v>319024.97450755164</v>
      </c>
      <c r="J153"/>
      <c r="K153" s="316">
        <f>SUM(K116:K152)</f>
        <v>710701.78347413824</v>
      </c>
      <c r="L153" s="316">
        <f>SUM(L116:L152)</f>
        <v>-429288.4841824146</v>
      </c>
      <c r="M153" s="316">
        <f>SUM(M116:M152)</f>
        <v>1642463.0345460365</v>
      </c>
      <c r="N153" s="316">
        <f>SUM(N116:N152)</f>
        <v>319024.97450755164</v>
      </c>
      <c r="O153" s="327"/>
    </row>
    <row r="154" spans="1:15" ht="15.75" thickTop="1"/>
    <row r="157" spans="1:15">
      <c r="A157" t="s">
        <v>384</v>
      </c>
      <c r="B157" s="328">
        <v>1.0869E-2</v>
      </c>
    </row>
    <row r="158" spans="1:15">
      <c r="A158" t="s">
        <v>292</v>
      </c>
      <c r="B158" s="329">
        <v>1.0810999999999999E-2</v>
      </c>
    </row>
    <row r="159" spans="1:15">
      <c r="A159" t="s">
        <v>538</v>
      </c>
      <c r="B159">
        <v>1.1245E-2</v>
      </c>
    </row>
    <row r="258" spans="5:12">
      <c r="E258" s="53"/>
      <c r="F258" s="53"/>
      <c r="G258" s="53"/>
      <c r="H258" s="53"/>
      <c r="I258" s="53"/>
      <c r="J258" s="53"/>
      <c r="K258" s="53"/>
      <c r="L258" s="53"/>
    </row>
    <row r="259" spans="5:12">
      <c r="E259" s="53"/>
      <c r="F259" s="53"/>
      <c r="G259" s="53"/>
      <c r="H259" s="53"/>
      <c r="I259" s="53"/>
      <c r="J259" s="53"/>
      <c r="K259" s="53"/>
      <c r="L259" s="53"/>
    </row>
    <row r="260" spans="5:12">
      <c r="E260" s="53"/>
      <c r="F260" s="53"/>
      <c r="G260" s="53"/>
      <c r="H260" s="53"/>
      <c r="I260" s="53"/>
      <c r="J260" s="53"/>
      <c r="K260" s="53"/>
      <c r="L260" s="53"/>
    </row>
    <row r="261" spans="5:12">
      <c r="E261" s="53"/>
      <c r="F261" s="53"/>
      <c r="G261" s="53"/>
      <c r="H261" s="53"/>
      <c r="I261" s="53"/>
      <c r="J261" s="53"/>
      <c r="K261" s="53"/>
      <c r="L261" s="53"/>
    </row>
    <row r="262" spans="5:12">
      <c r="E262" s="53"/>
      <c r="F262" s="53"/>
      <c r="G262" s="53"/>
      <c r="H262" s="53"/>
      <c r="I262" s="53"/>
      <c r="J262" s="53"/>
      <c r="K262" s="53"/>
      <c r="L262" s="53"/>
    </row>
    <row r="263" spans="5:12">
      <c r="E263" s="53"/>
      <c r="F263" s="53"/>
      <c r="G263" s="53"/>
      <c r="H263" s="53"/>
      <c r="I263" s="53"/>
      <c r="J263" s="53"/>
      <c r="K263" s="53"/>
      <c r="L263" s="53"/>
    </row>
    <row r="264" spans="5:12">
      <c r="E264" s="53"/>
      <c r="F264" s="53"/>
      <c r="G264" s="53"/>
      <c r="H264" s="53"/>
      <c r="I264" s="53"/>
      <c r="J264" s="53"/>
      <c r="K264" s="53"/>
      <c r="L264" s="53"/>
    </row>
    <row r="265" spans="5:12">
      <c r="E265" s="53"/>
      <c r="F265" s="53"/>
      <c r="G265" s="53"/>
      <c r="H265" s="53"/>
      <c r="I265" s="53"/>
      <c r="J265" s="53"/>
      <c r="K265" s="53"/>
      <c r="L265" s="53"/>
    </row>
    <row r="266" spans="5:12">
      <c r="E266" s="53"/>
      <c r="F266" s="53"/>
      <c r="G266" s="53"/>
      <c r="H266" s="53"/>
      <c r="I266" s="53"/>
      <c r="J266" s="53"/>
      <c r="K266" s="53"/>
      <c r="L266" s="53"/>
    </row>
    <row r="267" spans="5:12">
      <c r="E267" s="53"/>
      <c r="F267" s="53"/>
      <c r="G267" s="53"/>
      <c r="H267" s="53"/>
      <c r="I267" s="53"/>
      <c r="J267" s="53"/>
      <c r="K267" s="53"/>
      <c r="L267" s="53"/>
    </row>
    <row r="268" spans="5:12">
      <c r="E268" s="53"/>
      <c r="F268" s="53"/>
      <c r="G268" s="53"/>
      <c r="H268" s="53"/>
      <c r="I268" s="53"/>
      <c r="J268" s="53"/>
      <c r="K268" s="53"/>
      <c r="L268" s="53"/>
    </row>
    <row r="269" spans="5:12">
      <c r="E269" s="53"/>
      <c r="F269" s="53"/>
      <c r="G269" s="53"/>
      <c r="H269" s="53"/>
      <c r="I269" s="53"/>
      <c r="J269" s="53"/>
      <c r="K269" s="53"/>
      <c r="L269" s="53"/>
    </row>
    <row r="270" spans="5:12">
      <c r="E270" s="53"/>
      <c r="F270" s="53"/>
      <c r="G270" s="53"/>
      <c r="H270" s="53"/>
      <c r="I270" s="53"/>
      <c r="J270" s="53"/>
      <c r="K270" s="53"/>
      <c r="L270" s="53"/>
    </row>
  </sheetData>
  <mergeCells count="4">
    <mergeCell ref="A7:J7"/>
    <mergeCell ref="A113:M113"/>
    <mergeCell ref="F114:H114"/>
    <mergeCell ref="K114:N114"/>
  </mergeCells>
  <conditionalFormatting sqref="L69 L74:L84">
    <cfRule type="duplicateValues" dxfId="0" priority="14"/>
  </conditionalFormatting>
  <dataValidations count="1">
    <dataValidation type="list" allowBlank="1" showInputMessage="1" showErrorMessage="1" sqref="F115 J115:K115" xr:uid="{00000000-0002-0000-0500-000000000000}">
      <formula1>"2019,2020,2021,2022,2023,2024,2025"</formula1>
    </dataValidation>
  </dataValidations>
  <pageMargins left="0.7" right="0.7" top="0.75" bottom="0.75" header="0.3" footer="0.3"/>
  <pageSetup paperSize="3" orientation="landscape" r:id="rId1"/>
  <headerFooter>
    <oddFooter xml:space="preserve">&amp;C_x000D_&amp;1#&amp;"Calibri"&amp;12&amp;K000000 Public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5583C-BC29-4C0A-9DD4-F45D9C5A9712}">
  <sheetPr codeName="Sheet5"/>
  <dimension ref="B1:AN76"/>
  <sheetViews>
    <sheetView zoomScale="90" zoomScaleNormal="90" workbookViewId="0">
      <selection activeCell="N25" sqref="N25"/>
    </sheetView>
  </sheetViews>
  <sheetFormatPr defaultColWidth="8.85546875" defaultRowHeight="15"/>
  <cols>
    <col min="1" max="1" width="3.5703125" style="61" customWidth="1"/>
    <col min="2" max="2" width="20.5703125" style="61" customWidth="1"/>
    <col min="3" max="3" width="19.42578125" style="61" customWidth="1"/>
    <col min="4" max="4" width="17.42578125" style="61" customWidth="1"/>
    <col min="5" max="5" width="10.5703125" style="61" customWidth="1"/>
    <col min="6" max="6" width="20.85546875" style="61" customWidth="1"/>
    <col min="7" max="7" width="18.28515625" style="61" customWidth="1"/>
    <col min="8" max="8" width="13.85546875" style="61" bestFit="1" customWidth="1"/>
    <col min="9" max="9" width="13.5703125" style="61" customWidth="1"/>
    <col min="10" max="10" width="15.85546875" style="61" customWidth="1"/>
    <col min="11" max="11" width="16.85546875" style="61" bestFit="1" customWidth="1"/>
    <col min="12" max="14" width="15.42578125" style="61" customWidth="1"/>
    <col min="15" max="15" width="16.140625" style="61" bestFit="1" customWidth="1"/>
    <col min="16" max="16" width="15.5703125" style="61" customWidth="1"/>
    <col min="17" max="17" width="13" style="61" customWidth="1"/>
    <col min="18" max="18" width="14" style="61" customWidth="1"/>
    <col min="19" max="19" width="15.85546875" style="61" customWidth="1"/>
    <col min="20" max="20" width="13.28515625" style="61" customWidth="1"/>
    <col min="21" max="21" width="15" style="61" customWidth="1"/>
    <col min="22" max="22" width="16.28515625" style="61" bestFit="1" customWidth="1"/>
    <col min="23" max="23" width="42" style="61" customWidth="1"/>
    <col min="24" max="24" width="15.42578125" style="61" customWidth="1"/>
    <col min="25" max="26" width="20.140625" style="61" bestFit="1" customWidth="1"/>
    <col min="27" max="27" width="15.7109375" style="61" bestFit="1" customWidth="1"/>
    <col min="28" max="28" width="16.140625" style="61" bestFit="1" customWidth="1"/>
    <col min="29" max="29" width="16.140625" style="61" customWidth="1"/>
    <col min="30" max="30" width="12.85546875" style="61" bestFit="1" customWidth="1"/>
    <col min="31" max="31" width="9.85546875" style="61" bestFit="1" customWidth="1"/>
    <col min="32" max="32" width="12.85546875" style="61" bestFit="1" customWidth="1"/>
    <col min="33" max="34" width="8.85546875" style="61"/>
    <col min="35" max="35" width="14.7109375" style="61" bestFit="1" customWidth="1"/>
    <col min="36" max="36" width="15.42578125" style="61" bestFit="1" customWidth="1"/>
    <col min="37" max="16384" width="8.85546875" style="61"/>
  </cols>
  <sheetData>
    <row r="1" spans="2:29" ht="53.85" customHeight="1"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</row>
    <row r="2" spans="2:29" ht="15.75">
      <c r="B2" s="105"/>
      <c r="C2" s="429" t="s">
        <v>14</v>
      </c>
      <c r="D2" s="429"/>
      <c r="E2" s="105"/>
      <c r="F2" s="105"/>
      <c r="H2" s="109"/>
      <c r="J2" s="109"/>
      <c r="R2" s="105"/>
      <c r="S2" s="105"/>
      <c r="T2" s="105"/>
      <c r="U2" s="105"/>
      <c r="V2" s="105"/>
      <c r="W2" s="105"/>
    </row>
    <row r="3" spans="2:29">
      <c r="B3" s="15"/>
      <c r="C3" s="84" t="s">
        <v>181</v>
      </c>
      <c r="D3" s="84" t="s">
        <v>183</v>
      </c>
      <c r="R3" s="330"/>
      <c r="S3" s="330"/>
      <c r="T3" s="330"/>
      <c r="U3" s="330"/>
      <c r="V3" s="330"/>
      <c r="W3" s="330"/>
    </row>
    <row r="4" spans="2:29" ht="15.75">
      <c r="B4" s="78" t="s">
        <v>4</v>
      </c>
      <c r="C4" s="16">
        <f>INDEX('Incremental Rev Req'!$Q$9:$U$25,MATCH(B4,'Incremental Rev Req'!$Q$9:$Q$25,0),MATCH(Summary!$D$3,'Incremental Rev Req'!$Q$9:$U$9,0))</f>
        <v>4168925.3443182372</v>
      </c>
      <c r="D4" s="16">
        <f>INDEX('Incremental Rev Req'!$Q$114:$U$129,MATCH(B4,'Incremental Rev Req'!$Q$114:$Q$129,0),MATCH(Summary!$D$3,'Incremental Rev Req'!$Q$114:$U$114,0))</f>
        <v>4168925.3443182372</v>
      </c>
      <c r="G4" s="430" t="s">
        <v>184</v>
      </c>
      <c r="H4" s="430"/>
      <c r="I4" s="430"/>
      <c r="J4" s="430"/>
      <c r="K4" s="430"/>
      <c r="L4" s="430"/>
      <c r="M4" s="430"/>
      <c r="N4" s="430"/>
      <c r="O4" s="430"/>
      <c r="P4" s="430"/>
      <c r="R4" s="43"/>
      <c r="S4" s="57"/>
      <c r="T4" s="57"/>
      <c r="U4" s="57"/>
      <c r="V4" s="57"/>
      <c r="W4" s="57"/>
      <c r="X4" s="57"/>
      <c r="Y4" s="57"/>
    </row>
    <row r="5" spans="2:29" ht="31.5">
      <c r="B5" s="78" t="s">
        <v>15</v>
      </c>
      <c r="C5" s="16">
        <f>INDEX('Incremental Rev Req'!$Q$9:$U$25,MATCH(B5,'Incremental Rev Req'!$Q$9:$Q$25,0),MATCH(Summary!$D$3,'Incremental Rev Req'!$Q$9:$U$9,0))</f>
        <v>444350.2979319889</v>
      </c>
      <c r="D5" s="16">
        <f>INDEX('Incremental Rev Req'!$Q$114:$U$129,MATCH(B5,'Incremental Rev Req'!$Q$114:$Q$129,0),MATCH(Summary!$D$3,'Incremental Rev Req'!$Q$114:$U$114,0))</f>
        <v>444350.2979319889</v>
      </c>
      <c r="F5" s="18"/>
      <c r="G5" s="19" t="s">
        <v>4</v>
      </c>
      <c r="H5" s="19" t="s">
        <v>6</v>
      </c>
      <c r="I5" s="19" t="s">
        <v>17</v>
      </c>
      <c r="J5" s="19" t="s">
        <v>185</v>
      </c>
      <c r="K5" s="19" t="s">
        <v>15</v>
      </c>
      <c r="L5" s="19" t="s">
        <v>11</v>
      </c>
      <c r="M5" s="19" t="s">
        <v>69</v>
      </c>
      <c r="N5" s="19" t="s">
        <v>138</v>
      </c>
      <c r="O5" s="19" t="s">
        <v>145</v>
      </c>
      <c r="P5" s="19" t="s">
        <v>186</v>
      </c>
      <c r="Q5" s="331" t="s">
        <v>25</v>
      </c>
      <c r="R5" s="19" t="s">
        <v>297</v>
      </c>
      <c r="S5" s="331" t="s">
        <v>219</v>
      </c>
      <c r="T5" s="332" t="s">
        <v>328</v>
      </c>
    </row>
    <row r="6" spans="2:29" ht="15.75">
      <c r="B6" s="78" t="s">
        <v>6</v>
      </c>
      <c r="C6" s="16">
        <f>INDEX('Incremental Rev Req'!$Q$9:$U$25,MATCH(B6,'Incremental Rev Req'!$Q$9:$Q$25,0),MATCH(Summary!$D$3,'Incremental Rev Req'!$Q$9:$U$9,0))</f>
        <v>9292315.5973220039</v>
      </c>
      <c r="D6" s="16">
        <f>INDEX('Incremental Rev Req'!$Q$114:$U$129,MATCH(B6,'Incremental Rev Req'!$Q$114:$Q$129,0),MATCH(Summary!$D$3,'Incremental Rev Req'!$Q$114:$U$114,0))</f>
        <v>9292315.5973220039</v>
      </c>
      <c r="F6" s="18" t="s">
        <v>20</v>
      </c>
      <c r="G6" s="126">
        <f>VLOOKUP(Summary!$D$3,$F$35:$T$38,G$33,FALSE)</f>
        <v>0.41961677830328925</v>
      </c>
      <c r="H6" s="126">
        <f>VLOOKUP(Summary!$D$3,$F$35:$T$38,H$33,FALSE)</f>
        <v>0.41030043760165247</v>
      </c>
      <c r="I6" s="126">
        <f>VLOOKUP(Summary!$D$3,$F$35:$T$38,I$33,FALSE)</f>
        <v>0.34374584048159085</v>
      </c>
      <c r="J6" s="126">
        <f>VLOOKUP(Summary!$D$3,$F$35:$T$38,J$33,FALSE)</f>
        <v>0.32579002610373808</v>
      </c>
      <c r="K6" s="126">
        <f>VLOOKUP(Summary!$D$3,$F$35:$T$38,K$33,FALSE)</f>
        <v>0.47268993749771782</v>
      </c>
      <c r="L6" s="126">
        <f>VLOOKUP(Summary!$D$3,$F$35:$T$38,L$33,FALSE)</f>
        <v>0.46778394463327705</v>
      </c>
      <c r="M6" s="126">
        <f>VLOOKUP(Summary!$D$3,$F$35:$T$38,M$33,FALSE)</f>
        <v>0.36971075562333439</v>
      </c>
      <c r="N6" s="126">
        <f>VLOOKUP(Summary!$D$3,$F$35:$T$38,N$33,FALSE)</f>
        <v>0.35127959810528381</v>
      </c>
      <c r="O6" s="126">
        <f>VLOOKUP(Summary!$D$3,$F$35:$T$38,O$33,FALSE)</f>
        <v>0.3551118269030733</v>
      </c>
      <c r="P6" s="126">
        <f>VLOOKUP(Summary!$D$3,$F$35:$T$38,P$33,FALSE)</f>
        <v>0.86318626849318725</v>
      </c>
      <c r="Q6" s="126">
        <f>VLOOKUP(Summary!$D$3,$F$35:$T$38,Q$33,FALSE)</f>
        <v>0.26631071752033519</v>
      </c>
      <c r="R6" s="126">
        <f>VLOOKUP(Summary!$D$3,$F$35:$T$38,R$33,FALSE)</f>
        <v>0.32536443369300266</v>
      </c>
      <c r="S6" s="126">
        <f>VLOOKUP(Summary!$D$3,$F$35:$T$38,S$33,FALSE)</f>
        <v>0.3819272913100783</v>
      </c>
      <c r="T6" s="126">
        <f>VLOOKUP(Summary!$D$3,$F$35:$T$38,T$33,FALSE)</f>
        <v>0.4156426708708027</v>
      </c>
      <c r="U6" s="217"/>
    </row>
    <row r="7" spans="2:29" ht="15.75">
      <c r="B7" s="78" t="s">
        <v>140</v>
      </c>
      <c r="C7" s="16">
        <f>INDEX('Incremental Rev Req'!$Q$9:$U$25,MATCH(B7,'Incremental Rev Req'!$Q$9:$Q$25,0),MATCH(Summary!$D$3,'Incremental Rev Req'!$Q$9:$U$9,0))</f>
        <v>-689321.08387833403</v>
      </c>
      <c r="D7" s="16">
        <f>INDEX('Incremental Rev Req'!$Q$114:$U$129,MATCH(B7,'Incremental Rev Req'!$Q$114:$Q$129,0),MATCH(Summary!$D$3,'Incremental Rev Req'!$Q$114:$U$114,0))</f>
        <v>-689321.08387833403</v>
      </c>
      <c r="F7" s="18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</row>
    <row r="8" spans="2:29" ht="15.75">
      <c r="B8" s="78" t="s">
        <v>69</v>
      </c>
      <c r="C8" s="16">
        <f>INDEX('Incremental Rev Req'!$Q$9:$U$25,MATCH(B8,'Incremental Rev Req'!$Q$9:$Q$25,0),MATCH(Summary!$D$3,'Incremental Rev Req'!$Q$9:$U$9,0))</f>
        <v>75596.533707629613</v>
      </c>
      <c r="D8" s="16">
        <f>INDEX('Incremental Rev Req'!$Q$114:$U$129,MATCH(B8,'Incremental Rev Req'!$Q$114:$Q$129,0),MATCH(Summary!$D$3,'Incremental Rev Req'!$Q$114:$U$114,0))</f>
        <v>75596.533707629613</v>
      </c>
      <c r="F8" s="36"/>
      <c r="G8" s="430" t="s">
        <v>187</v>
      </c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</row>
    <row r="9" spans="2:29" ht="34.5" customHeight="1">
      <c r="B9" s="78" t="s">
        <v>17</v>
      </c>
      <c r="C9" s="16">
        <f>INDEX('Incremental Rev Req'!$Q$9:$U$25,MATCH(B9,'Incremental Rev Req'!$Q$9:$Q$25,0),MATCH(Summary!$D$3,'Incremental Rev Req'!$Q$9:$U$9,0))</f>
        <v>-209072.92178726735</v>
      </c>
      <c r="D9" s="16">
        <f>INDEX('Incremental Rev Req'!$Q$114:$U$129,MATCH(B9,'Incremental Rev Req'!$Q$114:$Q$129,0),MATCH(Summary!$D$3,'Incremental Rev Req'!$Q$114:$U$114,0))</f>
        <v>-209072.92178726735</v>
      </c>
      <c r="F9" s="106" t="s">
        <v>181</v>
      </c>
      <c r="G9" s="19" t="s">
        <v>4</v>
      </c>
      <c r="H9" s="19" t="s">
        <v>6</v>
      </c>
      <c r="I9" s="19" t="s">
        <v>17</v>
      </c>
      <c r="J9" s="19" t="s">
        <v>16</v>
      </c>
      <c r="K9" s="19" t="s">
        <v>15</v>
      </c>
      <c r="L9" s="19" t="s">
        <v>11</v>
      </c>
      <c r="M9" s="19" t="s">
        <v>69</v>
      </c>
      <c r="N9" s="19" t="s">
        <v>138</v>
      </c>
      <c r="O9" s="19" t="s">
        <v>145</v>
      </c>
      <c r="P9" s="19" t="s">
        <v>140</v>
      </c>
      <c r="Q9" s="19" t="s">
        <v>18</v>
      </c>
      <c r="R9" s="19" t="s">
        <v>297</v>
      </c>
      <c r="S9" s="331" t="s">
        <v>219</v>
      </c>
      <c r="T9" s="332" t="s">
        <v>328</v>
      </c>
      <c r="U9" s="19" t="s">
        <v>143</v>
      </c>
    </row>
    <row r="10" spans="2:29" ht="15.75">
      <c r="B10" s="78" t="s">
        <v>16</v>
      </c>
      <c r="C10" s="16">
        <f>INDEX('Incremental Rev Req'!$Q$9:$U$25,MATCH(B10,'Incremental Rev Req'!$Q$9:$Q$25,0),MATCH(Summary!$D$3,'Incremental Rev Req'!$Q$9:$U$9,0))</f>
        <v>609236.34423596959</v>
      </c>
      <c r="D10" s="16">
        <f>INDEX('Incremental Rev Req'!$Q$114:$U$129,MATCH(B10,'Incremental Rev Req'!$Q$114:$Q$129,0),MATCH(Summary!$D$3,'Incremental Rev Req'!$Q$114:$U$114,0))</f>
        <v>609236.34423596959</v>
      </c>
      <c r="F10" s="18" t="s">
        <v>20</v>
      </c>
      <c r="G10" s="333">
        <f t="shared" ref="G10:Q10" si="0">G6*G11</f>
        <v>1749351.0219697496</v>
      </c>
      <c r="H10" s="333">
        <f t="shared" si="0"/>
        <v>3812641.1559138787</v>
      </c>
      <c r="I10" s="333">
        <f t="shared" si="0"/>
        <v>-71867.947221706127</v>
      </c>
      <c r="J10" s="333">
        <f t="shared" si="0"/>
        <v>198483.12449198248</v>
      </c>
      <c r="K10" s="333">
        <f t="shared" si="0"/>
        <v>210039.91455656412</v>
      </c>
      <c r="L10" s="333">
        <f t="shared" si="0"/>
        <v>1304555.6969809262</v>
      </c>
      <c r="M10" s="333">
        <f t="shared" si="0"/>
        <v>27948.851599552614</v>
      </c>
      <c r="N10" s="333">
        <f t="shared" si="0"/>
        <v>-704.65440163324183</v>
      </c>
      <c r="O10" s="333">
        <f t="shared" si="0"/>
        <v>-44586.352809350894</v>
      </c>
      <c r="P10" s="333">
        <f t="shared" si="0"/>
        <v>-595012.49418661848</v>
      </c>
      <c r="Q10" s="333">
        <f t="shared" si="0"/>
        <v>104674.23417653111</v>
      </c>
      <c r="R10" s="333">
        <f>R6*R11</f>
        <v>96417.776879236015</v>
      </c>
      <c r="S10" s="333">
        <f>S6*S11</f>
        <v>234819.50057008935</v>
      </c>
      <c r="T10" s="333">
        <f>T6*T11</f>
        <v>800991.37370739295</v>
      </c>
      <c r="U10" s="334">
        <f>SUM(G10:T10)</f>
        <v>7827751.202226596</v>
      </c>
      <c r="W10" s="120"/>
      <c r="X10" s="120"/>
    </row>
    <row r="11" spans="2:29" ht="15.75">
      <c r="B11" s="78" t="s">
        <v>18</v>
      </c>
      <c r="C11" s="16">
        <f>INDEX('Incremental Rev Req'!$Q$9:$U$25,MATCH(B11,'Incremental Rev Req'!$Q$9:$Q$25,0),MATCH(Summary!$D$3,'Incremental Rev Req'!$Q$9:$U$9,0))</f>
        <v>393053.02899999998</v>
      </c>
      <c r="D11" s="16">
        <f>INDEX('Incremental Rev Req'!$Q$114:$U$129,MATCH(B11,'Incremental Rev Req'!$Q$114:$Q$129,0),MATCH(Summary!$D$3,'Incremental Rev Req'!$Q$114:$U$114,0))</f>
        <v>393053.02899999998</v>
      </c>
      <c r="F11" s="18" t="s">
        <v>24</v>
      </c>
      <c r="G11" s="107">
        <f t="shared" ref="G11:M11" si="1">VLOOKUP(G9,$B$4:$D$17,2,FALSE)</f>
        <v>4168925.3443182372</v>
      </c>
      <c r="H11" s="107">
        <f t="shared" si="1"/>
        <v>9292315.5973220039</v>
      </c>
      <c r="I11" s="107">
        <f t="shared" si="1"/>
        <v>-209072.92178726735</v>
      </c>
      <c r="J11" s="107">
        <f t="shared" si="1"/>
        <v>609236.34423596959</v>
      </c>
      <c r="K11" s="107">
        <f t="shared" si="1"/>
        <v>444350.2979319889</v>
      </c>
      <c r="L11" s="107">
        <f t="shared" si="1"/>
        <v>2788799.6412609736</v>
      </c>
      <c r="M11" s="107">
        <f t="shared" si="1"/>
        <v>75596.533707629613</v>
      </c>
      <c r="N11" s="107">
        <f>VLOOKUP(N9,$B$4:$D$16,2,FALSE)</f>
        <v>-2005.9644950460411</v>
      </c>
      <c r="O11" s="107">
        <f>VLOOKUP(O9,$B$4:$D$16,2,FALSE)</f>
        <v>-125555.80927334364</v>
      </c>
      <c r="P11" s="107">
        <f>VLOOKUP(P9,$B$4:$D$17,2,FALSE)</f>
        <v>-689321.08387833403</v>
      </c>
      <c r="Q11" s="107">
        <f>VLOOKUP(Q9,$B$4:$D$17,2,FALSE)</f>
        <v>393053.02899999998</v>
      </c>
      <c r="R11" s="107">
        <f>VLOOKUP(R9,$B$4:$D$17,2,FALSE)</f>
        <v>296337.78893673094</v>
      </c>
      <c r="S11" s="110">
        <f>VLOOKUP(S9,$B$4:$D$17,2,FALSE)</f>
        <v>614827.7588768712</v>
      </c>
      <c r="T11" s="107">
        <f>VLOOKUP(T9,$B$4:$D$17,2,FALSE)</f>
        <v>1927115.3561525713</v>
      </c>
      <c r="U11" s="151">
        <f>SUM(G11:T11)</f>
        <v>19584601.912308987</v>
      </c>
      <c r="X11" s="109"/>
    </row>
    <row r="12" spans="2:29" ht="15.75">
      <c r="B12" s="78" t="s">
        <v>138</v>
      </c>
      <c r="C12" s="16">
        <f>INDEX('Incremental Rev Req'!$Q$9:$U$25,MATCH(B12,'Incremental Rev Req'!$Q$9:$Q$25,0),MATCH(Summary!$D$3,'Incremental Rev Req'!$Q$9:$U$9,0))</f>
        <v>-2005.9644950460411</v>
      </c>
      <c r="D12" s="16">
        <f>INDEX('Incremental Rev Req'!$Q$114:$U$129,MATCH(B12,'Incremental Rev Req'!$Q$114:$Q$129,0),MATCH(Summary!$D$3,'Incremental Rev Req'!$Q$114:$U$114,0))</f>
        <v>-2005.9644950460411</v>
      </c>
      <c r="F12" s="106" t="s">
        <v>182</v>
      </c>
      <c r="U12" s="217"/>
    </row>
    <row r="13" spans="2:29" ht="15.6" customHeight="1">
      <c r="B13" s="78" t="s">
        <v>11</v>
      </c>
      <c r="C13" s="16">
        <f>INDEX('Incremental Rev Req'!$Q$9:$U$25,MATCH(B13,'Incremental Rev Req'!$Q$9:$Q$25,0),MATCH(Summary!$D$3,'Incremental Rev Req'!$Q$9:$U$9,0))</f>
        <v>2788799.6412609736</v>
      </c>
      <c r="D13" s="16">
        <f>INDEX('Incremental Rev Req'!$Q$114:$U$129,MATCH(B13,'Incremental Rev Req'!$Q$114:$Q$129,0),MATCH(Summary!$D$3,'Incremental Rev Req'!$Q$114:$U$114,0))</f>
        <v>2788799.6412609736</v>
      </c>
      <c r="F13" s="18" t="s">
        <v>20</v>
      </c>
      <c r="G13" s="333">
        <f>G6*G14</f>
        <v>1749351.0219697496</v>
      </c>
      <c r="H13" s="333">
        <f t="shared" ref="H13:Q13" si="2">H6*H14</f>
        <v>3812641.1559138787</v>
      </c>
      <c r="I13" s="333">
        <f t="shared" si="2"/>
        <v>-71867.947221706127</v>
      </c>
      <c r="J13" s="333">
        <f t="shared" si="2"/>
        <v>198483.12449198248</v>
      </c>
      <c r="K13" s="333">
        <f t="shared" si="2"/>
        <v>210039.91455656412</v>
      </c>
      <c r="L13" s="333">
        <f t="shared" si="2"/>
        <v>1304555.6969809262</v>
      </c>
      <c r="M13" s="333">
        <f>M6*M14</f>
        <v>27948.851599552614</v>
      </c>
      <c r="N13" s="333">
        <f>N6*N14</f>
        <v>-704.65440163324183</v>
      </c>
      <c r="O13" s="333">
        <f t="shared" si="2"/>
        <v>-44586.352809350894</v>
      </c>
      <c r="P13" s="333">
        <f t="shared" si="2"/>
        <v>-595012.49418661848</v>
      </c>
      <c r="Q13" s="333">
        <f t="shared" si="2"/>
        <v>104674.23417653111</v>
      </c>
      <c r="R13" s="333">
        <f>R6*R14</f>
        <v>96417.776879236015</v>
      </c>
      <c r="S13" s="333">
        <f>S6*S14</f>
        <v>234819.50057008935</v>
      </c>
      <c r="T13" s="333">
        <f>T6*T14</f>
        <v>1096389.3611832268</v>
      </c>
      <c r="U13" s="334">
        <f>SUM(G13:T13)</f>
        <v>8123149.1897024298</v>
      </c>
    </row>
    <row r="14" spans="2:29" ht="15.6" customHeight="1">
      <c r="B14" s="78" t="s">
        <v>145</v>
      </c>
      <c r="C14" s="16">
        <f>INDEX('Incremental Rev Req'!$Q$9:$U$25,MATCH(B14,'Incremental Rev Req'!$Q$9:$Q$25,0),MATCH(Summary!$D$3,'Incremental Rev Req'!$Q$9:$U$9,0))</f>
        <v>-125555.80927334364</v>
      </c>
      <c r="D14" s="16">
        <f>INDEX('Incremental Rev Req'!$Q$114:$U$129,MATCH(B14,'Incremental Rev Req'!$Q$114:$Q$129,0),MATCH(Summary!$D$3,'Incremental Rev Req'!$Q$114:$U$114,0))</f>
        <v>-125555.80927334364</v>
      </c>
      <c r="F14" s="18" t="s">
        <v>24</v>
      </c>
      <c r="G14" s="107">
        <f>VLOOKUP(G9,$B$4:$D$16,3,FALSE)</f>
        <v>4168925.3443182372</v>
      </c>
      <c r="H14" s="107">
        <f t="shared" ref="H14:S14" si="3">VLOOKUP(H9,$B$4:$D$16,3,FALSE)</f>
        <v>9292315.5973220039</v>
      </c>
      <c r="I14" s="107">
        <f t="shared" si="3"/>
        <v>-209072.92178726735</v>
      </c>
      <c r="J14" s="107">
        <f t="shared" si="3"/>
        <v>609236.34423596959</v>
      </c>
      <c r="K14" s="107">
        <f t="shared" si="3"/>
        <v>444350.2979319889</v>
      </c>
      <c r="L14" s="107">
        <f t="shared" si="3"/>
        <v>2788799.6412609736</v>
      </c>
      <c r="M14" s="107">
        <f t="shared" si="3"/>
        <v>75596.533707629613</v>
      </c>
      <c r="N14" s="107">
        <f t="shared" si="3"/>
        <v>-2005.9644950460411</v>
      </c>
      <c r="O14" s="107">
        <f t="shared" si="3"/>
        <v>-125555.80927334364</v>
      </c>
      <c r="P14" s="107">
        <f t="shared" si="3"/>
        <v>-689321.08387833403</v>
      </c>
      <c r="Q14" s="107">
        <f t="shared" si="3"/>
        <v>393053.02899999998</v>
      </c>
      <c r="R14" s="107">
        <f t="shared" si="3"/>
        <v>296337.78893673094</v>
      </c>
      <c r="S14" s="107">
        <f t="shared" si="3"/>
        <v>614827.7588768712</v>
      </c>
      <c r="T14" s="107">
        <f>VLOOKUP(T9,$B$4:$D$17,3,FALSE)</f>
        <v>2637817.1396267097</v>
      </c>
      <c r="U14" s="151">
        <f>SUM(G14:T14)</f>
        <v>20295303.695783123</v>
      </c>
    </row>
    <row r="15" spans="2:29" ht="15.75">
      <c r="B15" s="78" t="s">
        <v>219</v>
      </c>
      <c r="C15" s="135">
        <f>INDEX('Incremental Rev Req'!$Q$9:$U$25,MATCH(B15,'Incremental Rev Req'!$Q$9:$Q$25,0),MATCH(Summary!$D$3,'Incremental Rev Req'!$Q$9:$U$9,0))</f>
        <v>614827.7588768712</v>
      </c>
      <c r="D15" s="16">
        <f>INDEX('Incremental Rev Req'!$Q$114:$U$129,MATCH(B15,'Incremental Rev Req'!$Q$114:$Q$129,0),MATCH(Summary!$D$3,'Incremental Rev Req'!$Q$114:$U$114,0))</f>
        <v>614827.7588768712</v>
      </c>
      <c r="F15" s="268"/>
      <c r="G15" s="404"/>
      <c r="H15" s="404"/>
      <c r="I15" s="404"/>
      <c r="J15" s="40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AA15" s="18"/>
      <c r="AB15" s="335" t="s">
        <v>181</v>
      </c>
      <c r="AC15" s="335" t="s">
        <v>182</v>
      </c>
    </row>
    <row r="16" spans="2:29" ht="15.75">
      <c r="B16" s="78" t="s">
        <v>297</v>
      </c>
      <c r="C16" s="135">
        <f>INDEX('Incremental Rev Req'!$Q$9:$U$25,MATCH(B16,'Incremental Rev Req'!$Q$9:$Q$25,0),MATCH(Summary!$D$3,'Incremental Rev Req'!$Q$9:$U$9,0))</f>
        <v>296337.78893673094</v>
      </c>
      <c r="D16" s="16">
        <f>INDEX('Incremental Rev Req'!$Q$114:$U$129,MATCH(B16,'Incremental Rev Req'!$Q$114:$Q$129,0),MATCH(Summary!$D$3,'Incremental Rev Req'!$Q$114:$U$114,0))</f>
        <v>296337.78893673094</v>
      </c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434" t="s">
        <v>181</v>
      </c>
      <c r="V16" s="435"/>
      <c r="W16" s="336" t="s">
        <v>182</v>
      </c>
      <c r="X16" s="337"/>
      <c r="AA16" s="149" t="s">
        <v>244</v>
      </c>
      <c r="AB16" s="150">
        <f>((VLOOKUP(Summary!$D$3,N51:O54,2,FALSE))-(VLOOKUP(Summary!$D$3,F51:G54,2,FALSE)))/(VLOOKUP(Summary!$D$3,N51:O54,2,FALSE))</f>
        <v>0.29453565265106457</v>
      </c>
      <c r="AC16" s="150">
        <f>AB16</f>
        <v>0.29453565265106457</v>
      </c>
    </row>
    <row r="17" spans="2:40" ht="15.75">
      <c r="B17" s="61" t="s">
        <v>328</v>
      </c>
      <c r="C17" s="135">
        <f>INDEX('Incremental Rev Req'!$Q$9:$U$25,MATCH(B17,'Incremental Rev Req'!$Q$9:$Q$25,0),MATCH(Summary!$D$3,'Incremental Rev Req'!$Q$9:$U$9,0))</f>
        <v>1927115.3561525713</v>
      </c>
      <c r="D17" s="16">
        <f>INDEX('Incremental Rev Req'!$Q$114:$U$129,MATCH(B17,'Incremental Rev Req'!$Q$114:$Q$129,0),MATCH(Summary!$D$3,'Incremental Rev Req'!$Q$114:$U$114,0))</f>
        <v>2637817.1396267097</v>
      </c>
      <c r="F17" s="36"/>
      <c r="G17" s="439" t="s">
        <v>188</v>
      </c>
      <c r="H17" s="439"/>
      <c r="I17" s="439"/>
      <c r="J17" s="439"/>
      <c r="K17" s="439"/>
      <c r="L17" s="439"/>
      <c r="M17" s="439"/>
      <c r="N17" s="439"/>
      <c r="O17" s="439"/>
      <c r="P17" s="439"/>
      <c r="Q17" s="440"/>
      <c r="R17" s="43"/>
      <c r="U17" s="432" t="s">
        <v>189</v>
      </c>
      <c r="V17" s="433"/>
      <c r="W17" s="338" t="s">
        <v>189</v>
      </c>
      <c r="X17" s="339"/>
      <c r="AA17" s="149" t="s">
        <v>245</v>
      </c>
      <c r="AB17" s="150">
        <v>0.29330342694883099</v>
      </c>
      <c r="AC17" s="150">
        <f>AB17</f>
        <v>0.29330342694883099</v>
      </c>
    </row>
    <row r="18" spans="2:40" ht="31.5" customHeight="1">
      <c r="B18" s="78" t="s">
        <v>143</v>
      </c>
      <c r="C18" s="127">
        <f>SUM(C4:C17)</f>
        <v>19584601.912308984</v>
      </c>
      <c r="D18" s="127">
        <f>SUM(D4:D17)</f>
        <v>20295303.695783123</v>
      </c>
      <c r="E18" s="36"/>
      <c r="G18" s="331" t="s">
        <v>4</v>
      </c>
      <c r="H18" s="19" t="s">
        <v>6</v>
      </c>
      <c r="I18" s="19" t="s">
        <v>17</v>
      </c>
      <c r="J18" s="19" t="s">
        <v>185</v>
      </c>
      <c r="K18" s="19" t="s">
        <v>15</v>
      </c>
      <c r="L18" s="19" t="s">
        <v>11</v>
      </c>
      <c r="M18" s="19" t="s">
        <v>69</v>
      </c>
      <c r="N18" s="19" t="s">
        <v>138</v>
      </c>
      <c r="O18" s="19" t="s">
        <v>145</v>
      </c>
      <c r="P18" s="19" t="s">
        <v>186</v>
      </c>
      <c r="Q18" s="331" t="s">
        <v>25</v>
      </c>
      <c r="R18" s="19" t="s">
        <v>297</v>
      </c>
      <c r="S18" s="331" t="s">
        <v>219</v>
      </c>
      <c r="T18" s="340" t="s">
        <v>328</v>
      </c>
      <c r="U18" s="83" t="s">
        <v>143</v>
      </c>
      <c r="V18" s="83" t="s">
        <v>190</v>
      </c>
      <c r="W18" s="341" t="s">
        <v>143</v>
      </c>
      <c r="X18" s="342" t="s">
        <v>190</v>
      </c>
      <c r="AA18" s="149" t="s">
        <v>204</v>
      </c>
      <c r="AB18" s="107">
        <f>SUM(H10:O10,S10:T10,G10/H19)*AB16*AB17</f>
        <v>916203.58326743636</v>
      </c>
      <c r="AC18" s="107">
        <f>SUM(H13:O13,S13:T13,G13/H19)*AB16*AB17</f>
        <v>941722.51803831931</v>
      </c>
    </row>
    <row r="19" spans="2:40" ht="15.75">
      <c r="B19" s="20"/>
      <c r="C19" s="16"/>
      <c r="D19" s="18"/>
      <c r="F19" s="18" t="s">
        <v>20</v>
      </c>
      <c r="G19" s="179">
        <f>VLOOKUP(Summary!$D$3,$F$41:$Q$44,G$33,FALSE)</f>
        <v>1</v>
      </c>
      <c r="H19" s="179">
        <f>VLOOKUP(Summary!$D$3,$F$41:$T$44,H$33,FALSE)</f>
        <v>0.42323128140194266</v>
      </c>
      <c r="I19" s="179">
        <f>VLOOKUP(Summary!$D$3,$F$41:$T$44,I$33,FALSE)</f>
        <v>0.42323128140194266</v>
      </c>
      <c r="J19" s="179">
        <f>VLOOKUP(Summary!$D$3,$F$41:$T$44,J$33,FALSE)</f>
        <v>0.42323128140194266</v>
      </c>
      <c r="K19" s="179">
        <f>VLOOKUP(Summary!$D$3,$F$41:$T$44,K$33,FALSE)</f>
        <v>0.42323128140194266</v>
      </c>
      <c r="L19" s="179">
        <f>VLOOKUP(Summary!$D$3,$F$41:$T$44,L$33,FALSE)</f>
        <v>0.42323128140194266</v>
      </c>
      <c r="M19" s="179">
        <f>VLOOKUP(Summary!$D$3,$F$41:$T$44,M$33,FALSE)</f>
        <v>0.42323128140194266</v>
      </c>
      <c r="N19" s="179">
        <f>VLOOKUP(Summary!$D$3,$F$41:$T$44,N$33,FALSE)</f>
        <v>0.42323128140194266</v>
      </c>
      <c r="O19" s="179">
        <f>VLOOKUP(Summary!$D$3,$F$41:$T$44,O$33,FALSE)</f>
        <v>0.42323128140194266</v>
      </c>
      <c r="P19" s="179">
        <f>VLOOKUP(Summary!$D$3,$F$41:$T$44,P$33,FALSE)</f>
        <v>0.42323128140194266</v>
      </c>
      <c r="Q19" s="179">
        <f>VLOOKUP(Summary!$D$3,$F$41:$T$44,Q$33,FALSE)</f>
        <v>0.42323128140194266</v>
      </c>
      <c r="R19" s="179">
        <f>VLOOKUP(Summary!$D$3,$F$41:$T$44,R$33,FALSE)</f>
        <v>0.42323128140194266</v>
      </c>
      <c r="S19" s="179">
        <f>VLOOKUP(Summary!$D$3,$F$41:$T$44,S$33,FALSE)</f>
        <v>0.42323128140194266</v>
      </c>
      <c r="T19" s="148">
        <f>VLOOKUP(Summary!$D$3,$F$41:$T$44,T$33,FALSE)</f>
        <v>0.42323128140194266</v>
      </c>
      <c r="U19" s="110">
        <f>SUMPRODUCT(G10:T10,G19:T19)</f>
        <v>4321920.1191336531</v>
      </c>
      <c r="V19" s="110">
        <f>U19-(($AB$18-$AB$21)*H19)</f>
        <v>4042404.9251196426</v>
      </c>
      <c r="W19" s="151">
        <f>SUMPRODUCT(G13:T13,G19:T19)</f>
        <v>4446941.7878966052</v>
      </c>
      <c r="X19" s="152">
        <f>W19-(($AC$18-$AC$21)*H19)</f>
        <v>4159641.2826987244</v>
      </c>
      <c r="AA19" s="149" t="s">
        <v>246</v>
      </c>
      <c r="AB19" s="333">
        <f>VLOOKUP(Summary!$D$3,$F$51:$G$54,2,FALSE)</f>
        <v>19517886.531035617</v>
      </c>
      <c r="AC19" s="153">
        <f>AB19</f>
        <v>19517886.531035617</v>
      </c>
    </row>
    <row r="20" spans="2:40" ht="15.75">
      <c r="B20" s="20"/>
      <c r="C20" s="20"/>
      <c r="D20" s="18"/>
      <c r="F20" s="18" t="s">
        <v>24</v>
      </c>
      <c r="G20" s="179">
        <f>VLOOKUP(Summary!$D$3,$F$45:$T$48,G$33,FALSE)</f>
        <v>1</v>
      </c>
      <c r="H20" s="179">
        <f>VLOOKUP(Summary!$D$3,$F$45:$T$48,H$33,FALSE)</f>
        <v>0.37463527299719035</v>
      </c>
      <c r="I20" s="179">
        <f>VLOOKUP(Summary!$D$3,$F$45:$T$48,I$33,FALSE)</f>
        <v>0.37463527299719035</v>
      </c>
      <c r="J20" s="179">
        <f>VLOOKUP(Summary!$D$3,$F$45:$T$48,J$33,FALSE)</f>
        <v>0.37463527299719035</v>
      </c>
      <c r="K20" s="179">
        <f>VLOOKUP(Summary!$D$3,$F$45:$T$48,K$33,FALSE)</f>
        <v>0.37463527299719035</v>
      </c>
      <c r="L20" s="179">
        <f>VLOOKUP(Summary!$D$3,$F$45:$T$48,L$33,FALSE)</f>
        <v>0.37463527299719035</v>
      </c>
      <c r="M20" s="179">
        <f>VLOOKUP(Summary!$D$3,$F$45:$T$48,M$33,FALSE)</f>
        <v>0.37463527299719035</v>
      </c>
      <c r="N20" s="179">
        <f>VLOOKUP(Summary!$D$3,$F$45:$T$48,N$33,FALSE)</f>
        <v>0.37463527299719035</v>
      </c>
      <c r="O20" s="179">
        <f>VLOOKUP(Summary!$D$3,$F$45:$T$48,O$33,FALSE)</f>
        <v>0.37463527299719035</v>
      </c>
      <c r="P20" s="179">
        <f>VLOOKUP(Summary!$D$3,$F$45:$T$48,P$33,FALSE)</f>
        <v>0.37463527299719035</v>
      </c>
      <c r="Q20" s="179">
        <f>VLOOKUP(Summary!$D$3,$F$45:$T$48,Q$33,FALSE)</f>
        <v>0.37463527299719035</v>
      </c>
      <c r="R20" s="179">
        <f>VLOOKUP(Summary!$D$3,$F$45:$T$48,R$33,FALSE)</f>
        <v>0.37463527299719035</v>
      </c>
      <c r="S20" s="179">
        <f>VLOOKUP(Summary!$D$3,$F$45:$T$48,S$33,FALSE)</f>
        <v>0.37463527299719035</v>
      </c>
      <c r="T20" s="148">
        <f>VLOOKUP(Summary!$D$3,$F$45:$T$48,T$33,FALSE)</f>
        <v>0.37463527299719035</v>
      </c>
      <c r="U20" s="110">
        <f>SUMPRODUCT(G11:T11,G20:T20)</f>
        <v>9944181.5438038409</v>
      </c>
      <c r="V20" s="110">
        <f>U20</f>
        <v>9944181.5438038409</v>
      </c>
      <c r="W20" s="151">
        <f>SUMPRODUCT(G14:T14,G20:T20)</f>
        <v>10210435.500475265</v>
      </c>
      <c r="X20" s="152">
        <f>W20</f>
        <v>10210435.500475265</v>
      </c>
      <c r="AA20" s="149" t="s">
        <v>243</v>
      </c>
      <c r="AB20" s="333">
        <f>VLOOKUP(Summary!$D$3,$F$55:$G$58,2,FALSE)</f>
        <v>69915155.684137806</v>
      </c>
      <c r="AC20" s="153">
        <f>AB20</f>
        <v>69915155.684137806</v>
      </c>
    </row>
    <row r="21" spans="2:40" ht="15.75">
      <c r="B21" s="20"/>
      <c r="C21" s="20"/>
      <c r="D21" s="18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S21" s="109"/>
      <c r="U21" s="18"/>
      <c r="V21" s="110"/>
      <c r="AA21" s="149" t="s">
        <v>191</v>
      </c>
      <c r="AB21" s="107">
        <f>AB18*AB19/AB20</f>
        <v>255772.26286001355</v>
      </c>
      <c r="AC21" s="107">
        <f>AC18*AC19/AC20</f>
        <v>262896.26434977917</v>
      </c>
    </row>
    <row r="22" spans="2:40" ht="15.75">
      <c r="B22" s="20"/>
      <c r="C22" s="20"/>
      <c r="D22" s="18"/>
      <c r="F22" s="57" t="str">
        <f>"Notes: Allocation and bundled/unbundled split based on "&amp;Summary!L4&amp;" sales forecast"</f>
        <v>Notes: Allocation and bundled/unbundled split based on 2024 sales forecast</v>
      </c>
      <c r="R22" s="109"/>
      <c r="S22" s="19"/>
      <c r="T22" s="18"/>
      <c r="V22" s="61" t="s">
        <v>601</v>
      </c>
      <c r="W22" s="120">
        <f>P10*P19</f>
        <v>-251827.90036476849</v>
      </c>
      <c r="X22" s="120">
        <f>P13*P19</f>
        <v>-251827.90036476849</v>
      </c>
      <c r="Y22" s="343"/>
    </row>
    <row r="23" spans="2:40" ht="15.75">
      <c r="B23" s="20"/>
      <c r="C23" s="20"/>
      <c r="E23" s="18"/>
      <c r="F23" s="18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34"/>
      <c r="T23" s="34"/>
      <c r="U23" s="18"/>
      <c r="V23" s="61" t="s">
        <v>602</v>
      </c>
      <c r="W23" s="120">
        <f>P11*P20</f>
        <v>-258243.99244147883</v>
      </c>
      <c r="X23" s="344">
        <f>P14*P20</f>
        <v>-258243.99244147883</v>
      </c>
      <c r="Y23" s="18"/>
    </row>
    <row r="24" spans="2:40" ht="16.5" thickBot="1">
      <c r="B24" s="20"/>
      <c r="C24" s="20"/>
      <c r="E24" s="83"/>
      <c r="F24" s="83"/>
      <c r="G24" s="345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34"/>
      <c r="T24" s="34"/>
      <c r="U24" s="111"/>
      <c r="V24" s="111"/>
      <c r="X24" s="18"/>
      <c r="Y24" s="255"/>
    </row>
    <row r="25" spans="2:40" ht="16.5" thickBot="1">
      <c r="B25" s="20"/>
      <c r="C25" s="20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112"/>
      <c r="T25" s="113"/>
      <c r="U25" s="113"/>
      <c r="V25" s="113"/>
      <c r="X25" s="18"/>
      <c r="Y25" s="346"/>
      <c r="AA25" s="436">
        <v>2024</v>
      </c>
      <c r="AB25" s="437"/>
      <c r="AC25" s="437"/>
      <c r="AD25" s="437"/>
      <c r="AE25" s="437"/>
      <c r="AF25" s="438"/>
      <c r="AI25" s="436">
        <v>2025</v>
      </c>
      <c r="AJ25" s="437"/>
      <c r="AK25" s="437"/>
      <c r="AL25" s="437"/>
      <c r="AM25" s="437"/>
      <c r="AN25" s="438"/>
    </row>
    <row r="26" spans="2:40" ht="15.75">
      <c r="B26" s="20"/>
      <c r="C26" s="20"/>
      <c r="D26" s="18"/>
      <c r="E26" s="18"/>
      <c r="F26" s="441" t="s">
        <v>26</v>
      </c>
      <c r="G26" s="442"/>
      <c r="H26" s="442"/>
      <c r="I26" s="442"/>
      <c r="J26" s="442"/>
      <c r="K26" s="443"/>
      <c r="O26" s="18"/>
      <c r="P26" s="441" t="s">
        <v>28</v>
      </c>
      <c r="Q26" s="442"/>
      <c r="R26" s="442"/>
      <c r="S26" s="442"/>
      <c r="T26" s="442"/>
      <c r="U26" s="443"/>
      <c r="V26" s="114"/>
      <c r="Z26" s="18"/>
      <c r="AA26" s="347"/>
      <c r="AB26" s="180">
        <v>500000000</v>
      </c>
      <c r="AC26" s="348"/>
      <c r="AF26" s="348"/>
      <c r="AI26" s="347"/>
      <c r="AJ26" s="180">
        <v>500000000</v>
      </c>
      <c r="AK26" s="348"/>
      <c r="AN26" s="348"/>
    </row>
    <row r="27" spans="2:40" ht="47.25">
      <c r="B27" s="20"/>
      <c r="C27" s="20"/>
      <c r="D27" s="18"/>
      <c r="E27" s="18"/>
      <c r="F27" s="19" t="str">
        <f>Summary!D3&amp;" Sales"</f>
        <v>2024 Sales</v>
      </c>
      <c r="G27" s="19" t="str">
        <f>TEXT(Summary!L3,"mm/d/yyyy")&amp;" Avg Rates"</f>
        <v>09/1/2024 Avg Rates</v>
      </c>
      <c r="H27" s="19" t="s">
        <v>192</v>
      </c>
      <c r="I27" s="19" t="s">
        <v>193</v>
      </c>
      <c r="J27" s="19" t="s">
        <v>194</v>
      </c>
      <c r="K27" s="19" t="s">
        <v>195</v>
      </c>
      <c r="O27" s="18"/>
      <c r="P27" s="19" t="str">
        <f>F27</f>
        <v>2024 Sales</v>
      </c>
      <c r="Q27" s="19" t="str">
        <f>G27</f>
        <v>09/1/2024 Avg Rates</v>
      </c>
      <c r="R27" s="19" t="s">
        <v>192</v>
      </c>
      <c r="S27" s="19" t="s">
        <v>193</v>
      </c>
      <c r="T27" s="19" t="s">
        <v>194</v>
      </c>
      <c r="U27" s="19" t="s">
        <v>195</v>
      </c>
      <c r="V27" s="114"/>
      <c r="Z27" s="18"/>
      <c r="AA27" s="349" t="s">
        <v>331</v>
      </c>
      <c r="AB27" s="180">
        <f>(SUMIF('Authorized Rev Req'!V:V,"Distribution (Wildfire)",'Authorized Rev Req'!L:L)+SUMIF('Authorized Rev Req'!V:V,"WHC",'Authorized Rev Req'!L:L))*1000</f>
        <v>1056700231.9338249</v>
      </c>
      <c r="AC27" s="348"/>
      <c r="AF27" s="348"/>
      <c r="AI27" s="349" t="s">
        <v>331</v>
      </c>
      <c r="AJ27" s="180">
        <f>('Incremental Rev Req'!S128+'Incremental Rev Req'!S127)*1000</f>
        <v>402724031.29068017</v>
      </c>
      <c r="AK27" s="348"/>
      <c r="AN27" s="348"/>
    </row>
    <row r="28" spans="2:40" ht="16.5" thickBot="1">
      <c r="B28" s="20"/>
      <c r="C28" s="20"/>
      <c r="D28" s="18"/>
      <c r="E28" s="21" t="s">
        <v>20</v>
      </c>
      <c r="F28" s="214">
        <f>VLOOKUP(Summary!$D$3,$J$51:$K$54,2,FALSE)</f>
        <v>11709422.535426995</v>
      </c>
      <c r="G28" s="345">
        <f>IF(Summary!$I$3="Y",AB50,AC50)</f>
        <v>35.006396929788679</v>
      </c>
      <c r="H28" s="34">
        <f>IF(Summary!$I$3="Y",V19/$F$28*100,SUM(V19-W22)/$F$28*100)</f>
        <v>34.522666791545866</v>
      </c>
      <c r="I28" s="34">
        <f>IF(Summary!$I$3="Y",X19/$F$28*100,SUM(X19-X22)/$F$28*100)</f>
        <v>35.523880619336104</v>
      </c>
      <c r="J28" s="250">
        <f>H28/G28-1</f>
        <v>-1.38183355234478E-2</v>
      </c>
      <c r="K28" s="250">
        <f>I28/G28-1</f>
        <v>1.478254647530064E-2</v>
      </c>
      <c r="O28" s="21" t="s">
        <v>20</v>
      </c>
      <c r="P28" s="214">
        <f>VLOOKUP(Summary!$D$3,$N$51:$O$54,2,FALSE)</f>
        <v>27666722.782493383</v>
      </c>
      <c r="Q28" s="345">
        <f>IF(Summary!$I$3="Y",AE50,AF50)</f>
        <v>27.909444716636877</v>
      </c>
      <c r="R28" s="34">
        <f>IF(Summary!$I$3="Y",U10/P28*100,(U10-P10)/P28)</f>
        <v>28.293019248307015</v>
      </c>
      <c r="S28" s="34">
        <f>IF(Summary!$I$3="Y",U13/P28*100,(U13-P13)/P28)</f>
        <v>29.360720651896287</v>
      </c>
      <c r="T28" s="250">
        <f>R28/Q28-1</f>
        <v>1.3743538632335683E-2</v>
      </c>
      <c r="U28" s="250">
        <f>S28/Q28-1</f>
        <v>5.1999455739594191E-2</v>
      </c>
      <c r="V28" s="114"/>
      <c r="W28" s="109"/>
      <c r="X28" s="107"/>
      <c r="AA28" s="350"/>
      <c r="AB28" s="351"/>
      <c r="AC28" s="352"/>
      <c r="AF28" s="348"/>
      <c r="AI28" s="350"/>
      <c r="AJ28" s="351"/>
      <c r="AK28" s="352"/>
      <c r="AN28" s="348"/>
    </row>
    <row r="29" spans="2:40" ht="15.75">
      <c r="E29" s="21" t="s">
        <v>24</v>
      </c>
      <c r="F29" s="214">
        <f>VLOOKUP(Summary!$D$3,$J$55:$K$58,2,FALSE)</f>
        <v>29392636.884899609</v>
      </c>
      <c r="G29" s="345">
        <f>IF(Summary!$I$3="Y",AB51,AC51)</f>
        <v>33.950754071574565</v>
      </c>
      <c r="H29" s="34">
        <f>IF(Summary!$I$3="Y",V20/$F$29*100,SUM(V20-W23)/$F$29*100)</f>
        <v>33.832219894883394</v>
      </c>
      <c r="I29" s="34">
        <f>IF(Summary!$I$3="Y",W20/$F$29*100,SUM(W20-X23)/$F$29*100)</f>
        <v>34.738072465083427</v>
      </c>
      <c r="J29" s="250">
        <f>H29/G29-1</f>
        <v>-3.4913562285325828E-3</v>
      </c>
      <c r="K29" s="250">
        <f>I29/G29-1</f>
        <v>2.3190011975847247E-2</v>
      </c>
      <c r="O29" s="21" t="s">
        <v>24</v>
      </c>
      <c r="P29" s="214">
        <f>VLOOKUP(Summary!$D$3,$N$55:$O$58,2,FALSE)</f>
        <v>78456672.405003473</v>
      </c>
      <c r="Q29" s="345">
        <f>IF(Summary!$I$3="Y",AE51,AF51)</f>
        <v>24.967536977696753</v>
      </c>
      <c r="R29" s="34">
        <f>IF(Summary!$I$3="Y",U11/P29*100,(U11-P11)/P29)</f>
        <v>24.962315265183239</v>
      </c>
      <c r="S29" s="34">
        <f>IF(Summary!$I$3="Y",U14/P29*100,(U14-P14)/P29)</f>
        <v>25.868167835383261</v>
      </c>
      <c r="T29" s="250">
        <f>R29/Q29-1</f>
        <v>-2.0914007329508877E-4</v>
      </c>
      <c r="U29" s="250">
        <f>S29/Q29-1</f>
        <v>3.6072074650015828E-2</v>
      </c>
      <c r="V29" s="115"/>
      <c r="AA29" s="353"/>
      <c r="AB29" s="354" t="s">
        <v>6</v>
      </c>
      <c r="AC29" s="355" t="s">
        <v>318</v>
      </c>
      <c r="AE29" s="356" t="s">
        <v>329</v>
      </c>
      <c r="AF29" s="357" t="s">
        <v>330</v>
      </c>
      <c r="AI29" s="353"/>
      <c r="AJ29" s="354" t="s">
        <v>6</v>
      </c>
      <c r="AK29" s="355" t="s">
        <v>318</v>
      </c>
      <c r="AM29" s="356" t="s">
        <v>329</v>
      </c>
      <c r="AN29" s="357" t="s">
        <v>330</v>
      </c>
    </row>
    <row r="30" spans="2:40" ht="15.75">
      <c r="Q30" s="18"/>
      <c r="R30" s="18"/>
      <c r="S30" s="112"/>
      <c r="T30" s="113"/>
      <c r="U30" s="112"/>
      <c r="V30" s="114"/>
      <c r="AA30" s="358" t="s">
        <v>319</v>
      </c>
      <c r="AB30" s="243">
        <v>0.4951436067942106</v>
      </c>
      <c r="AC30" s="244">
        <v>0.38117371169687914</v>
      </c>
      <c r="AE30" s="114">
        <f>AVERAGE(AB30:AC30)</f>
        <v>0.43815865924554487</v>
      </c>
      <c r="AF30" s="348">
        <f>(0.125*AB30)+(0.875*AC30)</f>
        <v>0.39541994858404556</v>
      </c>
      <c r="AI30" s="358" t="s">
        <v>319</v>
      </c>
      <c r="AJ30" s="243">
        <v>0.49278505709389125</v>
      </c>
      <c r="AK30" s="244">
        <v>0.38117371169687914</v>
      </c>
      <c r="AM30" s="114">
        <f>AVERAGE(AJ30:AK30)</f>
        <v>0.4369793843953852</v>
      </c>
      <c r="AN30" s="348">
        <f>(0.125*AJ30)+(0.875*AK30)</f>
        <v>0.39512512987150566</v>
      </c>
    </row>
    <row r="31" spans="2:40" ht="15.75">
      <c r="Q31" s="18"/>
      <c r="R31" s="18"/>
      <c r="S31" s="112"/>
      <c r="T31" s="113"/>
      <c r="U31" s="112"/>
      <c r="V31" s="115"/>
      <c r="AA31" s="358" t="s">
        <v>454</v>
      </c>
      <c r="AB31" s="243">
        <v>0.11703557207964155</v>
      </c>
      <c r="AC31" s="244">
        <v>9.6169422268035681E-2</v>
      </c>
      <c r="AF31" s="348"/>
      <c r="AI31" s="358" t="s">
        <v>454</v>
      </c>
      <c r="AJ31" s="243">
        <v>0.10763000495833834</v>
      </c>
      <c r="AK31" s="244">
        <v>9.6169422268035681E-2</v>
      </c>
      <c r="AN31" s="348"/>
    </row>
    <row r="32" spans="2:40" ht="15.75">
      <c r="B32" s="20"/>
      <c r="C32" s="20"/>
      <c r="D32" s="18"/>
      <c r="E32" s="18"/>
      <c r="F32" s="359"/>
      <c r="G32" s="359"/>
      <c r="H32" s="359"/>
      <c r="I32" s="83"/>
      <c r="J32" s="83"/>
      <c r="K32" s="83"/>
      <c r="L32" s="18"/>
      <c r="M32" s="18"/>
      <c r="N32" s="18"/>
      <c r="O32" s="18"/>
      <c r="P32" s="18"/>
      <c r="Q32" s="18"/>
      <c r="R32" s="18"/>
      <c r="S32" s="112"/>
      <c r="T32" s="113"/>
      <c r="U32" s="112"/>
      <c r="V32" s="115"/>
      <c r="W32" s="115"/>
      <c r="X32" s="114"/>
      <c r="AA32" s="358" t="s">
        <v>477</v>
      </c>
      <c r="AB32" s="243">
        <v>2.9467861193157904E-2</v>
      </c>
      <c r="AC32" s="244">
        <v>2.4344754704963795E-2</v>
      </c>
      <c r="AF32" s="348"/>
      <c r="AI32" s="358" t="s">
        <v>477</v>
      </c>
      <c r="AJ32" s="243">
        <v>2.9762458308976971E-2</v>
      </c>
      <c r="AK32" s="244">
        <v>2.4344754704963795E-2</v>
      </c>
      <c r="AN32" s="348"/>
    </row>
    <row r="33" spans="2:40" ht="15.75">
      <c r="B33" s="20"/>
      <c r="C33" s="20"/>
      <c r="D33" s="18"/>
      <c r="E33" s="83"/>
      <c r="F33" s="344"/>
      <c r="G33" s="19">
        <v>2</v>
      </c>
      <c r="H33" s="19">
        <v>3</v>
      </c>
      <c r="I33" s="83">
        <v>4</v>
      </c>
      <c r="J33" s="83">
        <v>5</v>
      </c>
      <c r="K33" s="83">
        <v>6</v>
      </c>
      <c r="L33" s="19">
        <v>7</v>
      </c>
      <c r="M33" s="19">
        <v>8</v>
      </c>
      <c r="N33" s="19">
        <v>9</v>
      </c>
      <c r="O33" s="19">
        <v>10</v>
      </c>
      <c r="P33" s="19">
        <v>11</v>
      </c>
      <c r="Q33" s="19">
        <v>12</v>
      </c>
      <c r="R33" s="19">
        <v>13</v>
      </c>
      <c r="S33" s="19">
        <v>14</v>
      </c>
      <c r="T33" s="19">
        <v>15</v>
      </c>
      <c r="U33" s="112"/>
      <c r="V33" s="114"/>
      <c r="W33" s="115"/>
      <c r="X33" s="114"/>
      <c r="AA33" s="358" t="s">
        <v>320</v>
      </c>
      <c r="AB33" s="243">
        <v>9.3806193744374322E-2</v>
      </c>
      <c r="AC33" s="244">
        <v>0.1098897623867716</v>
      </c>
      <c r="AF33" s="348"/>
      <c r="AI33" s="358" t="s">
        <v>320</v>
      </c>
      <c r="AJ33" s="243">
        <v>8.7535161462001604E-2</v>
      </c>
      <c r="AK33" s="244">
        <v>0.1098897623867716</v>
      </c>
      <c r="AN33" s="348"/>
    </row>
    <row r="34" spans="2:40" ht="31.5">
      <c r="B34" s="20"/>
      <c r="C34" s="20"/>
      <c r="D34" s="57"/>
      <c r="E34" s="106"/>
      <c r="F34" s="106" t="s">
        <v>217</v>
      </c>
      <c r="G34" s="19" t="s">
        <v>4</v>
      </c>
      <c r="H34" s="19" t="s">
        <v>6</v>
      </c>
      <c r="I34" s="19" t="s">
        <v>17</v>
      </c>
      <c r="J34" s="19" t="s">
        <v>185</v>
      </c>
      <c r="K34" s="19" t="s">
        <v>15</v>
      </c>
      <c r="L34" s="19" t="s">
        <v>11</v>
      </c>
      <c r="M34" s="19" t="s">
        <v>69</v>
      </c>
      <c r="N34" s="19" t="s">
        <v>138</v>
      </c>
      <c r="O34" s="19" t="s">
        <v>145</v>
      </c>
      <c r="P34" s="19" t="s">
        <v>186</v>
      </c>
      <c r="Q34" s="19" t="s">
        <v>25</v>
      </c>
      <c r="R34" s="19" t="s">
        <v>297</v>
      </c>
      <c r="S34" s="19" t="s">
        <v>219</v>
      </c>
      <c r="T34" s="19" t="s">
        <v>328</v>
      </c>
      <c r="U34" s="113"/>
      <c r="V34" s="111"/>
      <c r="W34" s="115"/>
      <c r="AA34" s="358" t="s">
        <v>321</v>
      </c>
      <c r="AB34" s="243">
        <v>0.12877778742693738</v>
      </c>
      <c r="AC34" s="244">
        <v>0.1694539717864656</v>
      </c>
      <c r="AF34" s="348"/>
      <c r="AI34" s="358" t="s">
        <v>321</v>
      </c>
      <c r="AJ34" s="243">
        <v>0.13655473049026323</v>
      </c>
      <c r="AK34" s="244">
        <v>0.1694539717864656</v>
      </c>
      <c r="AN34" s="348"/>
    </row>
    <row r="35" spans="2:40" ht="15.75">
      <c r="E35" s="18"/>
      <c r="F35" s="154">
        <v>2024</v>
      </c>
      <c r="G35" s="126">
        <v>0.41961677830328925</v>
      </c>
      <c r="H35" s="247">
        <v>0.41030043760165247</v>
      </c>
      <c r="I35" s="126">
        <v>0.34374584048159085</v>
      </c>
      <c r="J35" s="126">
        <v>0.32579002610373808</v>
      </c>
      <c r="K35" s="126">
        <v>0.47268993749771782</v>
      </c>
      <c r="L35" s="126">
        <v>0.46778394463327705</v>
      </c>
      <c r="M35" s="126">
        <v>0.36971075562333439</v>
      </c>
      <c r="N35" s="126">
        <v>0.35127959810528381</v>
      </c>
      <c r="O35" s="126">
        <v>0.3551118269030733</v>
      </c>
      <c r="P35" s="126">
        <v>0.86318626849318725</v>
      </c>
      <c r="Q35" s="126">
        <v>0.26631071752033519</v>
      </c>
      <c r="R35" s="126">
        <v>0.32536443369300266</v>
      </c>
      <c r="S35" s="126">
        <v>0.3819272913100783</v>
      </c>
      <c r="T35" s="126">
        <f>((AJ26*AE30)+((AB27-AB26)*(AF30)))/AB27</f>
        <v>0.4156426708708027</v>
      </c>
      <c r="U35" s="113"/>
      <c r="V35" s="113"/>
      <c r="W35" s="360"/>
      <c r="AA35" s="358" t="s">
        <v>322</v>
      </c>
      <c r="AB35" s="243">
        <v>3.4575704232670751E-3</v>
      </c>
      <c r="AC35" s="244">
        <v>4.3868264256838726E-3</v>
      </c>
      <c r="AF35" s="348"/>
      <c r="AI35" s="358" t="s">
        <v>322</v>
      </c>
      <c r="AJ35" s="243">
        <v>3.3243732073613298E-3</v>
      </c>
      <c r="AK35" s="244">
        <v>4.3868264256838726E-3</v>
      </c>
      <c r="AN35" s="348"/>
    </row>
    <row r="36" spans="2:40" ht="15.75">
      <c r="E36" s="18"/>
      <c r="F36" s="154">
        <f>F35+1</f>
        <v>2025</v>
      </c>
      <c r="G36" s="126">
        <v>0.40175413877679789</v>
      </c>
      <c r="H36" s="247">
        <v>0.4125616773868635</v>
      </c>
      <c r="I36" s="126">
        <v>0.33697101963427373</v>
      </c>
      <c r="J36" s="126">
        <v>0.33309590964515068</v>
      </c>
      <c r="K36" s="126">
        <v>0.46612688302132721</v>
      </c>
      <c r="L36" s="126">
        <v>0.45868170931603375</v>
      </c>
      <c r="M36" s="126">
        <v>0.36542361084569119</v>
      </c>
      <c r="N36" s="126">
        <v>0.3443959961655283</v>
      </c>
      <c r="O36" s="126">
        <v>0.34103951215881723</v>
      </c>
      <c r="P36" s="126">
        <v>0.91555524108575559</v>
      </c>
      <c r="Q36" s="126">
        <v>0.27056435126707212</v>
      </c>
      <c r="R36" s="126">
        <v>0.33921930914038712</v>
      </c>
      <c r="S36" s="126">
        <v>0.38579741157705816</v>
      </c>
      <c r="T36" s="126">
        <f>((AJ26*AM30)+((AJ27-AJ26)*(AN30)))/AJ27</f>
        <v>0.44708906953229754</v>
      </c>
      <c r="U36" s="112"/>
      <c r="V36" s="113"/>
      <c r="X36" s="113"/>
      <c r="AA36" s="358" t="s">
        <v>323</v>
      </c>
      <c r="AB36" s="243">
        <v>2.5641310972084005E-3</v>
      </c>
      <c r="AC36" s="244">
        <v>4.4033953107560624E-3</v>
      </c>
      <c r="AF36" s="348"/>
      <c r="AI36" s="358" t="s">
        <v>323</v>
      </c>
      <c r="AJ36" s="243">
        <v>2.1338683741357412E-3</v>
      </c>
      <c r="AK36" s="244">
        <v>4.4033953107560624E-3</v>
      </c>
      <c r="AN36" s="348"/>
    </row>
    <row r="37" spans="2:40" ht="15.75">
      <c r="B37" s="20"/>
      <c r="C37" s="20"/>
      <c r="E37" s="18"/>
      <c r="F37" s="154">
        <f>F36+1</f>
        <v>2026</v>
      </c>
      <c r="G37" s="126">
        <f>G36</f>
        <v>0.40175413877679789</v>
      </c>
      <c r="H37" s="126">
        <f>H36</f>
        <v>0.4125616773868635</v>
      </c>
      <c r="I37" s="126">
        <f t="shared" ref="I37:Q37" si="4">I36</f>
        <v>0.33697101963427373</v>
      </c>
      <c r="J37" s="126">
        <f t="shared" si="4"/>
        <v>0.33309590964515068</v>
      </c>
      <c r="K37" s="126">
        <f t="shared" si="4"/>
        <v>0.46612688302132721</v>
      </c>
      <c r="L37" s="126">
        <f t="shared" si="4"/>
        <v>0.45868170931603375</v>
      </c>
      <c r="M37" s="126">
        <f t="shared" si="4"/>
        <v>0.36542361084569119</v>
      </c>
      <c r="N37" s="126">
        <f t="shared" si="4"/>
        <v>0.3443959961655283</v>
      </c>
      <c r="O37" s="126">
        <f t="shared" si="4"/>
        <v>0.34103951215881723</v>
      </c>
      <c r="P37" s="126">
        <f t="shared" si="4"/>
        <v>0.91555524108575559</v>
      </c>
      <c r="Q37" s="126">
        <f t="shared" si="4"/>
        <v>0.27056435126707212</v>
      </c>
      <c r="R37" s="126">
        <f>R36</f>
        <v>0.33921930914038712</v>
      </c>
      <c r="S37" s="126">
        <f>S36</f>
        <v>0.38579741157705816</v>
      </c>
      <c r="T37" s="126">
        <f>T36</f>
        <v>0.44708906953229754</v>
      </c>
      <c r="U37" s="112"/>
      <c r="V37" s="115"/>
      <c r="W37" s="361"/>
      <c r="X37" s="114"/>
      <c r="AA37" s="358" t="s">
        <v>324</v>
      </c>
      <c r="AB37" s="243">
        <v>7.8458099877259616E-2</v>
      </c>
      <c r="AC37" s="244">
        <v>7.3652717886081881E-2</v>
      </c>
      <c r="AF37" s="348"/>
      <c r="AI37" s="358" t="s">
        <v>324</v>
      </c>
      <c r="AJ37" s="243">
        <v>8.9613904005595588E-2</v>
      </c>
      <c r="AK37" s="244">
        <v>7.3652717886081881E-2</v>
      </c>
      <c r="AN37" s="348"/>
    </row>
    <row r="38" spans="2:40" ht="15.75">
      <c r="B38" s="20"/>
      <c r="C38" s="20"/>
      <c r="E38" s="18"/>
      <c r="F38" s="154">
        <f>F37+1</f>
        <v>2027</v>
      </c>
      <c r="G38" s="126">
        <f>G36</f>
        <v>0.40175413877679789</v>
      </c>
      <c r="H38" s="126">
        <f>H37</f>
        <v>0.4125616773868635</v>
      </c>
      <c r="I38" s="126">
        <f t="shared" ref="I38:Q38" si="5">I36</f>
        <v>0.33697101963427373</v>
      </c>
      <c r="J38" s="126">
        <f t="shared" si="5"/>
        <v>0.33309590964515068</v>
      </c>
      <c r="K38" s="126">
        <f t="shared" si="5"/>
        <v>0.46612688302132721</v>
      </c>
      <c r="L38" s="126">
        <f t="shared" si="5"/>
        <v>0.45868170931603375</v>
      </c>
      <c r="M38" s="126">
        <f t="shared" si="5"/>
        <v>0.36542361084569119</v>
      </c>
      <c r="N38" s="126">
        <f t="shared" si="5"/>
        <v>0.3443959961655283</v>
      </c>
      <c r="O38" s="126">
        <f t="shared" si="5"/>
        <v>0.34103951215881723</v>
      </c>
      <c r="P38" s="126">
        <f t="shared" si="5"/>
        <v>0.91555524108575559</v>
      </c>
      <c r="Q38" s="126">
        <f t="shared" si="5"/>
        <v>0.27056435126707212</v>
      </c>
      <c r="R38" s="126">
        <f>R36</f>
        <v>0.33921930914038712</v>
      </c>
      <c r="S38" s="126">
        <f>S36</f>
        <v>0.38579741157705816</v>
      </c>
      <c r="T38" s="126">
        <f>T37</f>
        <v>0.44708906953229754</v>
      </c>
      <c r="U38" s="112"/>
      <c r="V38" s="115"/>
      <c r="W38" s="114"/>
      <c r="X38" s="114"/>
      <c r="AA38" s="358" t="s">
        <v>325</v>
      </c>
      <c r="AB38" s="243">
        <v>3.6767182066440973E-2</v>
      </c>
      <c r="AC38" s="244">
        <v>6.6397803266429384E-2</v>
      </c>
      <c r="AF38" s="348"/>
      <c r="AI38" s="358" t="s">
        <v>325</v>
      </c>
      <c r="AJ38" s="243">
        <v>3.5976979122765727E-2</v>
      </c>
      <c r="AK38" s="244">
        <v>6.6397803266429384E-2</v>
      </c>
      <c r="AN38" s="348"/>
    </row>
    <row r="39" spans="2:40" ht="15.75">
      <c r="B39" s="20"/>
      <c r="C39" s="20"/>
      <c r="E39" s="18"/>
      <c r="F39" s="22"/>
      <c r="G39" s="23"/>
      <c r="H39" s="251"/>
      <c r="I39" s="83"/>
      <c r="J39" s="83"/>
      <c r="K39" s="83"/>
      <c r="L39" s="18"/>
      <c r="M39" s="18"/>
      <c r="N39" s="18"/>
      <c r="O39" s="18"/>
      <c r="P39" s="18"/>
      <c r="Q39" s="18"/>
      <c r="S39" s="18"/>
      <c r="T39" s="113"/>
      <c r="U39" s="112"/>
      <c r="V39" s="115"/>
      <c r="W39" s="361"/>
      <c r="X39" s="115"/>
      <c r="AA39" s="358" t="s">
        <v>326</v>
      </c>
      <c r="AB39" s="243">
        <v>1.3741468876645182E-2</v>
      </c>
      <c r="AC39" s="244">
        <v>2.0919814075685422E-2</v>
      </c>
      <c r="AF39" s="348"/>
      <c r="AI39" s="358" t="s">
        <v>326</v>
      </c>
      <c r="AJ39" s="243">
        <v>1.3741468876645182E-2</v>
      </c>
      <c r="AK39" s="244">
        <v>2.0919814075685422E-2</v>
      </c>
      <c r="AN39" s="348"/>
    </row>
    <row r="40" spans="2:40" ht="18.75" customHeight="1" thickBot="1">
      <c r="B40" s="20"/>
      <c r="C40" s="20"/>
      <c r="D40" s="18"/>
      <c r="E40" s="18"/>
      <c r="F40" s="106" t="s">
        <v>188</v>
      </c>
      <c r="G40" s="83"/>
      <c r="H40" s="83"/>
      <c r="I40" s="83"/>
      <c r="J40" s="83"/>
      <c r="K40" s="83"/>
      <c r="L40" s="18"/>
      <c r="M40" s="18"/>
      <c r="N40" s="18"/>
      <c r="O40" s="18"/>
      <c r="P40" s="18"/>
      <c r="Q40" s="18"/>
      <c r="S40" s="18"/>
      <c r="T40" s="113"/>
      <c r="U40" s="112"/>
      <c r="V40" s="115"/>
      <c r="W40" s="115"/>
      <c r="X40" s="114"/>
      <c r="AA40" s="350" t="s">
        <v>327</v>
      </c>
      <c r="AB40" s="245">
        <v>7.8052642085709497E-4</v>
      </c>
      <c r="AC40" s="246">
        <v>4.920782019224753E-2</v>
      </c>
      <c r="AD40" s="351"/>
      <c r="AE40" s="351"/>
      <c r="AF40" s="352"/>
      <c r="AI40" s="350" t="s">
        <v>327</v>
      </c>
      <c r="AJ40" s="245">
        <v>1.0731010666749903E-3</v>
      </c>
      <c r="AK40" s="246">
        <v>4.920782019224753E-2</v>
      </c>
      <c r="AL40" s="351"/>
      <c r="AM40" s="351"/>
      <c r="AN40" s="352"/>
    </row>
    <row r="41" spans="2:40" ht="15.75">
      <c r="B41" s="20"/>
      <c r="C41" s="20"/>
      <c r="D41" s="18"/>
      <c r="E41" s="21" t="s">
        <v>20</v>
      </c>
      <c r="F41" s="154">
        <f>F35</f>
        <v>2024</v>
      </c>
      <c r="G41" s="126">
        <v>1</v>
      </c>
      <c r="H41" s="126">
        <f t="shared" ref="H41:Q41" si="6">$K51/$O51</f>
        <v>0.42323128140194266</v>
      </c>
      <c r="I41" s="126">
        <f t="shared" si="6"/>
        <v>0.42323128140194266</v>
      </c>
      <c r="J41" s="126">
        <f t="shared" si="6"/>
        <v>0.42323128140194266</v>
      </c>
      <c r="K41" s="126">
        <f t="shared" si="6"/>
        <v>0.42323128140194266</v>
      </c>
      <c r="L41" s="126">
        <f t="shared" si="6"/>
        <v>0.42323128140194266</v>
      </c>
      <c r="M41" s="126">
        <f t="shared" si="6"/>
        <v>0.42323128140194266</v>
      </c>
      <c r="N41" s="126">
        <f t="shared" si="6"/>
        <v>0.42323128140194266</v>
      </c>
      <c r="O41" s="126">
        <f t="shared" si="6"/>
        <v>0.42323128140194266</v>
      </c>
      <c r="P41" s="126">
        <f t="shared" si="6"/>
        <v>0.42323128140194266</v>
      </c>
      <c r="Q41" s="126">
        <f t="shared" si="6"/>
        <v>0.42323128140194266</v>
      </c>
      <c r="R41" s="126">
        <f>$K51/$O51</f>
        <v>0.42323128140194266</v>
      </c>
      <c r="S41" s="126">
        <f>$K51/$O51</f>
        <v>0.42323128140194266</v>
      </c>
      <c r="T41" s="126">
        <f>$K51/$O51</f>
        <v>0.42323128140194266</v>
      </c>
      <c r="U41" s="112"/>
      <c r="V41" s="115"/>
      <c r="W41" s="111"/>
      <c r="X41" s="111"/>
      <c r="AJ41" s="362"/>
      <c r="AK41" s="362"/>
    </row>
    <row r="42" spans="2:40" ht="15.75">
      <c r="B42" s="20"/>
      <c r="C42" s="20"/>
      <c r="D42" s="18"/>
      <c r="E42" s="21" t="s">
        <v>20</v>
      </c>
      <c r="F42" s="154">
        <f>F36</f>
        <v>2025</v>
      </c>
      <c r="G42" s="126">
        <v>1</v>
      </c>
      <c r="H42" s="126">
        <f t="shared" ref="H42:T42" si="7">$K52/$O52</f>
        <v>0.3735202363554655</v>
      </c>
      <c r="I42" s="126">
        <f t="shared" si="7"/>
        <v>0.3735202363554655</v>
      </c>
      <c r="J42" s="126">
        <f t="shared" si="7"/>
        <v>0.3735202363554655</v>
      </c>
      <c r="K42" s="126">
        <f t="shared" si="7"/>
        <v>0.3735202363554655</v>
      </c>
      <c r="L42" s="126">
        <f t="shared" si="7"/>
        <v>0.3735202363554655</v>
      </c>
      <c r="M42" s="126">
        <f t="shared" si="7"/>
        <v>0.3735202363554655</v>
      </c>
      <c r="N42" s="126">
        <f t="shared" si="7"/>
        <v>0.3735202363554655</v>
      </c>
      <c r="O42" s="126">
        <f t="shared" si="7"/>
        <v>0.3735202363554655</v>
      </c>
      <c r="P42" s="126">
        <f t="shared" si="7"/>
        <v>0.3735202363554655</v>
      </c>
      <c r="Q42" s="126">
        <f t="shared" si="7"/>
        <v>0.3735202363554655</v>
      </c>
      <c r="R42" s="126">
        <f t="shared" si="7"/>
        <v>0.3735202363554655</v>
      </c>
      <c r="S42" s="126">
        <f t="shared" si="7"/>
        <v>0.3735202363554655</v>
      </c>
      <c r="T42" s="126">
        <f t="shared" si="7"/>
        <v>0.3735202363554655</v>
      </c>
      <c r="U42" s="113"/>
      <c r="V42" s="111"/>
      <c r="X42" s="114"/>
      <c r="AB42" s="363"/>
      <c r="AC42" s="363"/>
    </row>
    <row r="43" spans="2:40" ht="47.25">
      <c r="B43" s="20"/>
      <c r="C43" s="20"/>
      <c r="D43" s="18"/>
      <c r="E43" s="21" t="s">
        <v>20</v>
      </c>
      <c r="F43" s="154">
        <f>F37</f>
        <v>2026</v>
      </c>
      <c r="G43" s="126">
        <f t="shared" ref="G43:R43" si="8">G42</f>
        <v>1</v>
      </c>
      <c r="H43" s="126">
        <f t="shared" si="8"/>
        <v>0.3735202363554655</v>
      </c>
      <c r="I43" s="126">
        <f t="shared" si="8"/>
        <v>0.3735202363554655</v>
      </c>
      <c r="J43" s="126">
        <f t="shared" si="8"/>
        <v>0.3735202363554655</v>
      </c>
      <c r="K43" s="126">
        <f t="shared" si="8"/>
        <v>0.3735202363554655</v>
      </c>
      <c r="L43" s="126">
        <f t="shared" si="8"/>
        <v>0.3735202363554655</v>
      </c>
      <c r="M43" s="126">
        <f t="shared" si="8"/>
        <v>0.3735202363554655</v>
      </c>
      <c r="N43" s="126">
        <f t="shared" si="8"/>
        <v>0.3735202363554655</v>
      </c>
      <c r="O43" s="126">
        <f t="shared" si="8"/>
        <v>0.3735202363554655</v>
      </c>
      <c r="P43" s="126">
        <f t="shared" si="8"/>
        <v>0.3735202363554655</v>
      </c>
      <c r="Q43" s="126">
        <f t="shared" si="8"/>
        <v>0.3735202363554655</v>
      </c>
      <c r="R43" s="126">
        <f t="shared" si="8"/>
        <v>0.3735202363554655</v>
      </c>
      <c r="S43" s="126">
        <f t="shared" ref="S43:T45" si="9">$K53/$O53</f>
        <v>0.3735202363554655</v>
      </c>
      <c r="T43" s="126">
        <f t="shared" si="9"/>
        <v>0.3735202363554655</v>
      </c>
      <c r="U43" s="112"/>
      <c r="V43" s="115"/>
      <c r="W43" s="364"/>
      <c r="X43" s="113"/>
      <c r="AA43" s="365"/>
      <c r="AB43" s="366" t="s">
        <v>595</v>
      </c>
      <c r="AC43" s="366" t="s">
        <v>596</v>
      </c>
      <c r="AD43" s="365"/>
      <c r="AE43" s="366" t="s">
        <v>597</v>
      </c>
      <c r="AF43" s="366" t="s">
        <v>598</v>
      </c>
    </row>
    <row r="44" spans="2:40" ht="15.75">
      <c r="B44" s="20"/>
      <c r="C44" s="20"/>
      <c r="D44" s="18"/>
      <c r="E44" s="21" t="s">
        <v>20</v>
      </c>
      <c r="F44" s="154">
        <f>F38</f>
        <v>2027</v>
      </c>
      <c r="G44" s="126">
        <f>G42</f>
        <v>1</v>
      </c>
      <c r="H44" s="126">
        <f t="shared" ref="H44:Q44" si="10">H42</f>
        <v>0.3735202363554655</v>
      </c>
      <c r="I44" s="126">
        <f t="shared" si="10"/>
        <v>0.3735202363554655</v>
      </c>
      <c r="J44" s="126">
        <f t="shared" si="10"/>
        <v>0.3735202363554655</v>
      </c>
      <c r="K44" s="126">
        <f t="shared" si="10"/>
        <v>0.3735202363554655</v>
      </c>
      <c r="L44" s="126">
        <f t="shared" si="10"/>
        <v>0.3735202363554655</v>
      </c>
      <c r="M44" s="126">
        <f t="shared" si="10"/>
        <v>0.3735202363554655</v>
      </c>
      <c r="N44" s="126">
        <f t="shared" si="10"/>
        <v>0.3735202363554655</v>
      </c>
      <c r="O44" s="126">
        <f t="shared" si="10"/>
        <v>0.3735202363554655</v>
      </c>
      <c r="P44" s="126">
        <f t="shared" si="10"/>
        <v>0.3735202363554655</v>
      </c>
      <c r="Q44" s="126">
        <f t="shared" si="10"/>
        <v>0.3735202363554655</v>
      </c>
      <c r="R44" s="126">
        <f>R42</f>
        <v>0.3735202363554655</v>
      </c>
      <c r="S44" s="126">
        <f t="shared" si="9"/>
        <v>0.3735202363554655</v>
      </c>
      <c r="T44" s="126">
        <f t="shared" si="9"/>
        <v>0.3735202363554655</v>
      </c>
      <c r="U44" s="113"/>
      <c r="V44" s="113"/>
      <c r="W44" s="113"/>
      <c r="X44" s="113"/>
      <c r="AA44" s="367"/>
      <c r="AB44" s="368" t="s">
        <v>599</v>
      </c>
      <c r="AC44" s="368" t="s">
        <v>600</v>
      </c>
      <c r="AD44" s="369"/>
      <c r="AE44" s="368" t="s">
        <v>599</v>
      </c>
      <c r="AF44" s="368" t="s">
        <v>600</v>
      </c>
    </row>
    <row r="45" spans="2:40" ht="15.75">
      <c r="B45" s="20"/>
      <c r="C45" s="20"/>
      <c r="D45" s="18"/>
      <c r="E45" s="21" t="s">
        <v>24</v>
      </c>
      <c r="F45" s="154">
        <f>F41</f>
        <v>2024</v>
      </c>
      <c r="G45" s="126">
        <v>1</v>
      </c>
      <c r="H45" s="126">
        <f t="shared" ref="H45:Q45" si="11">$K55/$O55</f>
        <v>0.37463527299719035</v>
      </c>
      <c r="I45" s="126">
        <f t="shared" si="11"/>
        <v>0.37463527299719035</v>
      </c>
      <c r="J45" s="126">
        <f t="shared" si="11"/>
        <v>0.37463527299719035</v>
      </c>
      <c r="K45" s="126">
        <f t="shared" si="11"/>
        <v>0.37463527299719035</v>
      </c>
      <c r="L45" s="126">
        <f t="shared" si="11"/>
        <v>0.37463527299719035</v>
      </c>
      <c r="M45" s="126">
        <f t="shared" si="11"/>
        <v>0.37463527299719035</v>
      </c>
      <c r="N45" s="126">
        <f t="shared" si="11"/>
        <v>0.37463527299719035</v>
      </c>
      <c r="O45" s="126">
        <f t="shared" si="11"/>
        <v>0.37463527299719035</v>
      </c>
      <c r="P45" s="126">
        <f t="shared" si="11"/>
        <v>0.37463527299719035</v>
      </c>
      <c r="Q45" s="126">
        <f t="shared" si="11"/>
        <v>0.37463527299719035</v>
      </c>
      <c r="R45" s="126">
        <f>$K55/$O55</f>
        <v>0.37463527299719035</v>
      </c>
      <c r="S45" s="126">
        <f t="shared" si="9"/>
        <v>0.37463527299719035</v>
      </c>
      <c r="T45" s="126">
        <f t="shared" si="9"/>
        <v>0.37463527299719035</v>
      </c>
      <c r="U45" s="112"/>
      <c r="V45" s="115"/>
      <c r="W45" s="114"/>
      <c r="X45" s="114"/>
      <c r="AA45" s="367" t="s">
        <v>20</v>
      </c>
      <c r="AB45" s="370">
        <v>37.783684706270357</v>
      </c>
      <c r="AC45" s="370">
        <v>39.643169038631463</v>
      </c>
      <c r="AD45" s="369" t="s">
        <v>20</v>
      </c>
      <c r="AE45" s="370">
        <v>29.649295153825406</v>
      </c>
      <c r="AF45" s="370">
        <v>31.799938361061802</v>
      </c>
    </row>
    <row r="46" spans="2:40" ht="15.75">
      <c r="B46" s="20"/>
      <c r="C46" s="20"/>
      <c r="D46" s="18"/>
      <c r="E46" s="21" t="s">
        <v>24</v>
      </c>
      <c r="F46" s="154">
        <f>F42</f>
        <v>2025</v>
      </c>
      <c r="G46" s="126">
        <v>1</v>
      </c>
      <c r="H46" s="126">
        <f t="shared" ref="H46:T46" si="12">$K56/$O56</f>
        <v>0.34186951257205705</v>
      </c>
      <c r="I46" s="126">
        <f t="shared" si="12"/>
        <v>0.34186951257205705</v>
      </c>
      <c r="J46" s="126">
        <f t="shared" si="12"/>
        <v>0.34186951257205705</v>
      </c>
      <c r="K46" s="126">
        <f t="shared" si="12"/>
        <v>0.34186951257205705</v>
      </c>
      <c r="L46" s="126">
        <f t="shared" si="12"/>
        <v>0.34186951257205705</v>
      </c>
      <c r="M46" s="126">
        <f t="shared" si="12"/>
        <v>0.34186951257205705</v>
      </c>
      <c r="N46" s="126">
        <f t="shared" si="12"/>
        <v>0.34186951257205705</v>
      </c>
      <c r="O46" s="126">
        <f t="shared" si="12"/>
        <v>0.34186951257205705</v>
      </c>
      <c r="P46" s="126">
        <f t="shared" si="12"/>
        <v>0.34186951257205705</v>
      </c>
      <c r="Q46" s="126">
        <f t="shared" si="12"/>
        <v>0.34186951257205705</v>
      </c>
      <c r="R46" s="126">
        <f t="shared" si="12"/>
        <v>0.34186951257205705</v>
      </c>
      <c r="S46" s="126">
        <f t="shared" si="12"/>
        <v>0.34186951257205705</v>
      </c>
      <c r="T46" s="126">
        <f t="shared" si="12"/>
        <v>0.34186951257205705</v>
      </c>
      <c r="U46" s="112"/>
      <c r="V46" s="115"/>
      <c r="W46" s="114"/>
      <c r="X46" s="114"/>
      <c r="AA46" s="367" t="s">
        <v>31</v>
      </c>
      <c r="AB46" s="370">
        <v>36.56790438719397</v>
      </c>
      <c r="AC46" s="370">
        <v>37.377312162623006</v>
      </c>
      <c r="AD46" s="369" t="s">
        <v>24</v>
      </c>
      <c r="AE46" s="370">
        <v>26.395764586261034</v>
      </c>
      <c r="AF46" s="370">
        <v>27.208494659255685</v>
      </c>
    </row>
    <row r="47" spans="2:40" ht="15.75">
      <c r="B47" s="20"/>
      <c r="C47" s="20"/>
      <c r="D47" s="18"/>
      <c r="E47" s="21" t="s">
        <v>24</v>
      </c>
      <c r="F47" s="154">
        <f>F43</f>
        <v>2026</v>
      </c>
      <c r="G47" s="126">
        <f t="shared" ref="G47:R47" si="13">G46</f>
        <v>1</v>
      </c>
      <c r="H47" s="126">
        <f t="shared" si="13"/>
        <v>0.34186951257205705</v>
      </c>
      <c r="I47" s="126">
        <f t="shared" si="13"/>
        <v>0.34186951257205705</v>
      </c>
      <c r="J47" s="126">
        <f t="shared" si="13"/>
        <v>0.34186951257205705</v>
      </c>
      <c r="K47" s="126">
        <f t="shared" si="13"/>
        <v>0.34186951257205705</v>
      </c>
      <c r="L47" s="126">
        <f t="shared" si="13"/>
        <v>0.34186951257205705</v>
      </c>
      <c r="M47" s="126">
        <f t="shared" si="13"/>
        <v>0.34186951257205705</v>
      </c>
      <c r="N47" s="126">
        <f t="shared" si="13"/>
        <v>0.34186951257205705</v>
      </c>
      <c r="O47" s="126">
        <f t="shared" si="13"/>
        <v>0.34186951257205705</v>
      </c>
      <c r="P47" s="126">
        <f t="shared" si="13"/>
        <v>0.34186951257205705</v>
      </c>
      <c r="Q47" s="126">
        <f t="shared" si="13"/>
        <v>0.34186951257205705</v>
      </c>
      <c r="R47" s="126">
        <f t="shared" si="13"/>
        <v>0.34186951257205705</v>
      </c>
      <c r="S47" s="126">
        <f>$K57/$O57</f>
        <v>0.34186951257205705</v>
      </c>
      <c r="T47" s="126">
        <f>$K57/$O57</f>
        <v>0.34186951257205705</v>
      </c>
      <c r="U47" s="113"/>
      <c r="V47" s="111"/>
      <c r="W47" s="115"/>
      <c r="X47" s="114"/>
      <c r="AA47" s="371"/>
      <c r="AB47" s="372"/>
      <c r="AC47" s="372"/>
      <c r="AD47" s="372"/>
      <c r="AE47" s="372"/>
      <c r="AF47" s="373"/>
    </row>
    <row r="48" spans="2:40" ht="47.25">
      <c r="B48" s="20"/>
      <c r="C48" s="20"/>
      <c r="D48" s="18"/>
      <c r="E48" s="21" t="s">
        <v>24</v>
      </c>
      <c r="F48" s="154">
        <f>F44</f>
        <v>2027</v>
      </c>
      <c r="G48" s="126">
        <f>G46</f>
        <v>1</v>
      </c>
      <c r="H48" s="126">
        <f t="shared" ref="H48:Q48" si="14">H46</f>
        <v>0.34186951257205705</v>
      </c>
      <c r="I48" s="126">
        <f t="shared" si="14"/>
        <v>0.34186951257205705</v>
      </c>
      <c r="J48" s="126">
        <f t="shared" si="14"/>
        <v>0.34186951257205705</v>
      </c>
      <c r="K48" s="126">
        <f t="shared" si="14"/>
        <v>0.34186951257205705</v>
      </c>
      <c r="L48" s="126">
        <f t="shared" si="14"/>
        <v>0.34186951257205705</v>
      </c>
      <c r="M48" s="126">
        <f t="shared" si="14"/>
        <v>0.34186951257205705</v>
      </c>
      <c r="N48" s="126">
        <f t="shared" si="14"/>
        <v>0.34186951257205705</v>
      </c>
      <c r="O48" s="126">
        <f t="shared" si="14"/>
        <v>0.34186951257205705</v>
      </c>
      <c r="P48" s="126">
        <f t="shared" si="14"/>
        <v>0.34186951257205705</v>
      </c>
      <c r="Q48" s="126">
        <f t="shared" si="14"/>
        <v>0.34186951257205705</v>
      </c>
      <c r="R48" s="126">
        <f>R46</f>
        <v>0.34186951257205705</v>
      </c>
      <c r="S48" s="126">
        <f>S47</f>
        <v>0.34186951257205705</v>
      </c>
      <c r="T48" s="126">
        <f>$K58/$O58</f>
        <v>0.34186951257205705</v>
      </c>
      <c r="U48" s="112"/>
      <c r="V48" s="115"/>
      <c r="W48" s="115"/>
      <c r="X48" s="114"/>
      <c r="AA48" s="365"/>
      <c r="AB48" s="374" t="s">
        <v>617</v>
      </c>
      <c r="AC48" s="374" t="s">
        <v>618</v>
      </c>
      <c r="AD48" s="368"/>
      <c r="AE48" s="374" t="s">
        <v>619</v>
      </c>
      <c r="AF48" s="374" t="s">
        <v>620</v>
      </c>
    </row>
    <row r="49" spans="2:32" ht="15.75">
      <c r="B49" s="20"/>
      <c r="C49" s="20"/>
      <c r="D49" s="18"/>
      <c r="E49" s="18"/>
      <c r="F49" s="83"/>
      <c r="G49" s="83"/>
      <c r="H49" s="83"/>
      <c r="I49" s="83"/>
      <c r="J49" s="83"/>
      <c r="K49" s="83"/>
      <c r="L49" s="18"/>
      <c r="M49" s="18"/>
      <c r="N49" s="18"/>
      <c r="O49" s="18"/>
      <c r="P49" s="18"/>
      <c r="Q49" s="18"/>
      <c r="R49" s="18"/>
      <c r="S49" s="112"/>
      <c r="T49" s="113"/>
      <c r="U49" s="113"/>
      <c r="V49" s="113"/>
      <c r="W49" s="114"/>
      <c r="X49" s="114"/>
      <c r="AA49" s="367"/>
      <c r="AB49" s="368"/>
      <c r="AC49" s="368"/>
      <c r="AD49" s="369"/>
      <c r="AE49" s="368"/>
      <c r="AF49" s="368"/>
    </row>
    <row r="50" spans="2:32" ht="15.75">
      <c r="B50" s="20"/>
      <c r="C50" s="20"/>
      <c r="D50" s="18"/>
      <c r="E50" s="18"/>
      <c r="F50" s="106" t="s">
        <v>298</v>
      </c>
      <c r="G50" s="83"/>
      <c r="H50" s="83"/>
      <c r="I50" s="83"/>
      <c r="J50" s="106" t="s">
        <v>142</v>
      </c>
      <c r="K50" s="83"/>
      <c r="L50" s="252"/>
      <c r="M50"/>
      <c r="N50" s="106" t="s">
        <v>141</v>
      </c>
      <c r="O50" s="18"/>
      <c r="P50" s="18"/>
      <c r="Q50" s="18"/>
      <c r="R50" s="18"/>
      <c r="S50" s="112"/>
      <c r="T50" s="431"/>
      <c r="U50" s="431"/>
      <c r="V50" s="113"/>
      <c r="W50" s="111"/>
      <c r="X50" s="111"/>
      <c r="AA50" s="367" t="s">
        <v>20</v>
      </c>
      <c r="AB50" s="370">
        <v>35.006396929788679</v>
      </c>
      <c r="AC50" s="370">
        <v>36.865881262149792</v>
      </c>
      <c r="AD50" s="369" t="s">
        <v>20</v>
      </c>
      <c r="AE50" s="370">
        <v>27.909444716636877</v>
      </c>
      <c r="AF50" s="370">
        <v>30.060087923873276</v>
      </c>
    </row>
    <row r="51" spans="2:32" ht="15.75">
      <c r="B51" s="18"/>
      <c r="C51" s="18"/>
      <c r="D51" s="18"/>
      <c r="E51" s="21" t="s">
        <v>20</v>
      </c>
      <c r="F51" s="154">
        <f t="shared" ref="F51:F58" si="15">F41</f>
        <v>2024</v>
      </c>
      <c r="G51" s="214">
        <v>19517886.531035617</v>
      </c>
      <c r="H51" s="83"/>
      <c r="I51" s="21" t="s">
        <v>20</v>
      </c>
      <c r="J51" s="154">
        <f t="shared" ref="J51:J58" si="16">F51</f>
        <v>2024</v>
      </c>
      <c r="K51" s="214">
        <v>11709422.535426995</v>
      </c>
      <c r="L51" s="344"/>
      <c r="M51" s="21" t="s">
        <v>20</v>
      </c>
      <c r="N51" s="154">
        <f t="shared" ref="N51:N58" si="17">F51</f>
        <v>2024</v>
      </c>
      <c r="O51" s="333">
        <v>27666722.782493383</v>
      </c>
      <c r="P51" s="253"/>
      <c r="Q51" s="18"/>
      <c r="R51" s="18"/>
      <c r="S51" s="112"/>
      <c r="T51" s="113"/>
      <c r="U51" s="112"/>
      <c r="V51" s="115"/>
      <c r="W51" s="113"/>
      <c r="X51" s="113"/>
      <c r="AA51" s="367" t="s">
        <v>31</v>
      </c>
      <c r="AB51" s="370">
        <v>33.950754071574565</v>
      </c>
      <c r="AC51" s="370">
        <v>34.760161847003594</v>
      </c>
      <c r="AD51" s="369" t="s">
        <v>24</v>
      </c>
      <c r="AE51" s="375">
        <v>24.967536977696753</v>
      </c>
      <c r="AF51" s="375">
        <v>25.780267050691403</v>
      </c>
    </row>
    <row r="52" spans="2:32" ht="15.75">
      <c r="B52" s="18"/>
      <c r="C52" s="18"/>
      <c r="D52" s="18"/>
      <c r="E52" s="21" t="s">
        <v>20</v>
      </c>
      <c r="F52" s="154">
        <f t="shared" si="15"/>
        <v>2025</v>
      </c>
      <c r="G52" s="214">
        <v>19682427.314727828</v>
      </c>
      <c r="H52" s="248"/>
      <c r="I52" s="21" t="s">
        <v>20</v>
      </c>
      <c r="J52" s="154">
        <f t="shared" si="16"/>
        <v>2025</v>
      </c>
      <c r="K52" s="214">
        <v>9884492.5515748337</v>
      </c>
      <c r="L52" s="249"/>
      <c r="M52" s="21" t="s">
        <v>20</v>
      </c>
      <c r="N52" s="154">
        <f t="shared" si="17"/>
        <v>2025</v>
      </c>
      <c r="O52" s="333">
        <v>26463071.045414858</v>
      </c>
      <c r="P52" s="248"/>
      <c r="Q52" s="20"/>
      <c r="R52" s="18"/>
      <c r="S52" s="112"/>
      <c r="T52" s="113"/>
      <c r="U52" s="112"/>
      <c r="V52" s="114"/>
      <c r="W52" s="113"/>
      <c r="X52" s="113"/>
    </row>
    <row r="53" spans="2:32" ht="15.75">
      <c r="B53" s="18"/>
      <c r="C53" s="18"/>
      <c r="D53" s="18"/>
      <c r="E53" s="21" t="s">
        <v>20</v>
      </c>
      <c r="F53" s="154">
        <f t="shared" si="15"/>
        <v>2026</v>
      </c>
      <c r="G53" s="214">
        <f>G52</f>
        <v>19682427.314727828</v>
      </c>
      <c r="H53" s="83"/>
      <c r="I53" s="21" t="s">
        <v>20</v>
      </c>
      <c r="J53" s="154">
        <f t="shared" si="16"/>
        <v>2026</v>
      </c>
      <c r="K53" s="214">
        <f>K52</f>
        <v>9884492.5515748337</v>
      </c>
      <c r="L53" s="18"/>
      <c r="M53" s="21" t="s">
        <v>20</v>
      </c>
      <c r="N53" s="154">
        <f t="shared" si="17"/>
        <v>2026</v>
      </c>
      <c r="O53" s="214">
        <f>O52</f>
        <v>26463071.045414858</v>
      </c>
      <c r="P53" s="18"/>
      <c r="Q53" s="18"/>
      <c r="R53" s="18"/>
      <c r="S53" s="112"/>
      <c r="T53" s="113"/>
      <c r="U53" s="112"/>
      <c r="V53" s="115"/>
      <c r="W53" s="115"/>
      <c r="X53" s="114"/>
    </row>
    <row r="54" spans="2:32" ht="15.75">
      <c r="B54" s="18"/>
      <c r="C54" s="18"/>
      <c r="D54" s="18"/>
      <c r="E54" s="21" t="s">
        <v>20</v>
      </c>
      <c r="F54" s="154">
        <f t="shared" si="15"/>
        <v>2027</v>
      </c>
      <c r="G54" s="214">
        <f>G53</f>
        <v>19682427.314727828</v>
      </c>
      <c r="H54" s="83"/>
      <c r="I54" s="21" t="s">
        <v>20</v>
      </c>
      <c r="J54" s="154">
        <f t="shared" si="16"/>
        <v>2027</v>
      </c>
      <c r="K54" s="214">
        <f>K53</f>
        <v>9884492.5515748337</v>
      </c>
      <c r="L54" s="18"/>
      <c r="M54" s="21" t="s">
        <v>20</v>
      </c>
      <c r="N54" s="154">
        <f t="shared" si="17"/>
        <v>2027</v>
      </c>
      <c r="O54" s="214">
        <f>$O$53</f>
        <v>26463071.045414858</v>
      </c>
      <c r="P54" s="18"/>
      <c r="Q54" s="18"/>
      <c r="R54" s="18"/>
      <c r="S54" s="112"/>
      <c r="T54" s="113"/>
      <c r="U54" s="112"/>
      <c r="V54" s="115"/>
      <c r="W54" s="115"/>
      <c r="X54" s="114"/>
    </row>
    <row r="55" spans="2:32" ht="15.75">
      <c r="B55" s="18"/>
      <c r="C55" s="18"/>
      <c r="D55" s="18"/>
      <c r="E55" s="21" t="s">
        <v>24</v>
      </c>
      <c r="F55" s="154">
        <f t="shared" si="15"/>
        <v>2024</v>
      </c>
      <c r="G55" s="214">
        <v>69915155.684137806</v>
      </c>
      <c r="H55" s="83"/>
      <c r="I55" s="21" t="s">
        <v>24</v>
      </c>
      <c r="J55" s="154">
        <f t="shared" si="16"/>
        <v>2024</v>
      </c>
      <c r="K55" s="214">
        <v>29392636.884899609</v>
      </c>
      <c r="L55" s="18"/>
      <c r="M55" s="21" t="s">
        <v>24</v>
      </c>
      <c r="N55" s="154">
        <f t="shared" si="17"/>
        <v>2024</v>
      </c>
      <c r="O55" s="333">
        <v>78456672.405003473</v>
      </c>
      <c r="P55" s="253"/>
      <c r="Q55" s="18"/>
      <c r="R55" s="18"/>
      <c r="S55" s="112"/>
      <c r="T55" s="113"/>
      <c r="U55" s="112"/>
      <c r="V55" s="114"/>
      <c r="W55" s="115"/>
      <c r="X55" s="114"/>
      <c r="AB55" s="376"/>
    </row>
    <row r="56" spans="2:32" ht="15.75">
      <c r="B56" s="18"/>
      <c r="C56" s="18"/>
      <c r="D56" s="18"/>
      <c r="E56" s="21" t="s">
        <v>24</v>
      </c>
      <c r="F56" s="154">
        <f t="shared" si="15"/>
        <v>2025</v>
      </c>
      <c r="G56" s="214">
        <v>69342560.808027744</v>
      </c>
      <c r="H56" s="248"/>
      <c r="I56" s="21" t="s">
        <v>24</v>
      </c>
      <c r="J56" s="154">
        <f t="shared" si="16"/>
        <v>2025</v>
      </c>
      <c r="K56" s="214">
        <v>26156095.341571424</v>
      </c>
      <c r="L56" s="248"/>
      <c r="M56" s="21" t="s">
        <v>24</v>
      </c>
      <c r="N56" s="154">
        <f t="shared" si="17"/>
        <v>2025</v>
      </c>
      <c r="O56" s="333">
        <v>76509002.352347553</v>
      </c>
      <c r="P56" s="248"/>
      <c r="Q56" s="18"/>
      <c r="R56" s="18"/>
      <c r="S56" s="112"/>
      <c r="T56" s="113"/>
      <c r="U56" s="113"/>
      <c r="V56" s="113"/>
      <c r="W56" s="113"/>
      <c r="X56" s="113"/>
    </row>
    <row r="57" spans="2:32" ht="15.75">
      <c r="B57" s="18"/>
      <c r="C57" s="18"/>
      <c r="D57" s="18"/>
      <c r="E57" s="21" t="s">
        <v>24</v>
      </c>
      <c r="F57" s="154">
        <f t="shared" si="15"/>
        <v>2026</v>
      </c>
      <c r="G57" s="214">
        <f>G56</f>
        <v>69342560.808027744</v>
      </c>
      <c r="H57" s="83"/>
      <c r="I57" s="21" t="s">
        <v>24</v>
      </c>
      <c r="J57" s="154">
        <f t="shared" si="16"/>
        <v>2026</v>
      </c>
      <c r="K57" s="214">
        <f>K56</f>
        <v>26156095.341571424</v>
      </c>
      <c r="L57" s="18"/>
      <c r="M57" s="21" t="s">
        <v>24</v>
      </c>
      <c r="N57" s="154">
        <f t="shared" si="17"/>
        <v>2026</v>
      </c>
      <c r="O57" s="214">
        <f>O56</f>
        <v>76509002.352347553</v>
      </c>
      <c r="P57" s="18"/>
      <c r="Q57" s="18"/>
      <c r="R57" s="18"/>
      <c r="S57" s="112"/>
      <c r="T57" s="113"/>
      <c r="U57" s="113"/>
      <c r="V57" s="113"/>
      <c r="W57" s="113"/>
      <c r="X57" s="113"/>
    </row>
    <row r="58" spans="2:32" ht="15.75">
      <c r="B58" s="18"/>
      <c r="C58" s="18"/>
      <c r="D58" s="18"/>
      <c r="E58" s="21" t="s">
        <v>24</v>
      </c>
      <c r="F58" s="154">
        <f t="shared" si="15"/>
        <v>2027</v>
      </c>
      <c r="G58" s="214">
        <f>G57</f>
        <v>69342560.808027744</v>
      </c>
      <c r="H58" s="83"/>
      <c r="I58" s="21" t="s">
        <v>24</v>
      </c>
      <c r="J58" s="154">
        <f t="shared" si="16"/>
        <v>2027</v>
      </c>
      <c r="K58" s="214">
        <f>K57</f>
        <v>26156095.341571424</v>
      </c>
      <c r="L58" s="18"/>
      <c r="M58" s="21" t="s">
        <v>24</v>
      </c>
      <c r="N58" s="154">
        <f t="shared" si="17"/>
        <v>2027</v>
      </c>
      <c r="O58" s="214">
        <f>O57</f>
        <v>76509002.352347553</v>
      </c>
      <c r="P58" s="18"/>
      <c r="Q58" s="18"/>
      <c r="R58" s="18"/>
      <c r="S58" s="112"/>
      <c r="T58" s="113"/>
      <c r="U58" s="112"/>
      <c r="V58" s="114"/>
      <c r="W58" s="115"/>
      <c r="X58" s="114"/>
    </row>
    <row r="59" spans="2:32" ht="15.75">
      <c r="B59" s="18"/>
      <c r="C59" s="18"/>
      <c r="D59" s="18"/>
      <c r="E59" s="18"/>
      <c r="F59" s="83"/>
      <c r="G59" s="83"/>
      <c r="H59" s="83"/>
      <c r="I59" s="83"/>
      <c r="J59" s="83"/>
      <c r="K59" s="83"/>
      <c r="L59" s="18"/>
      <c r="M59" s="18"/>
      <c r="N59" s="18"/>
      <c r="O59" s="18"/>
      <c r="P59" s="18"/>
      <c r="Q59" s="18"/>
      <c r="R59" s="18"/>
      <c r="S59" s="112"/>
      <c r="T59" s="113"/>
      <c r="U59" s="113"/>
      <c r="V59" s="111"/>
      <c r="W59" s="115"/>
      <c r="X59" s="114"/>
    </row>
    <row r="60" spans="2:32" ht="15.75">
      <c r="B60" s="18"/>
      <c r="C60" s="18"/>
      <c r="D60" s="18"/>
      <c r="E60" s="125" t="s">
        <v>64</v>
      </c>
      <c r="F60" s="83"/>
      <c r="G60" s="83"/>
      <c r="H60" s="83"/>
      <c r="I60" s="83"/>
      <c r="J60" s="83"/>
      <c r="K60" s="83"/>
      <c r="L60" s="18"/>
      <c r="M60" s="18"/>
      <c r="N60" s="18"/>
      <c r="O60" s="18"/>
      <c r="P60" s="18"/>
      <c r="Q60" s="18"/>
      <c r="R60" s="18"/>
      <c r="S60" s="112"/>
      <c r="T60" s="431"/>
      <c r="U60" s="431"/>
      <c r="V60" s="113"/>
      <c r="W60" s="115"/>
      <c r="X60" s="114"/>
    </row>
    <row r="61" spans="2:32" ht="15.75">
      <c r="B61" s="18"/>
      <c r="C61" s="18"/>
      <c r="D61" s="18"/>
      <c r="E61" s="18"/>
      <c r="F61" s="83"/>
      <c r="G61" s="83"/>
      <c r="H61" s="83"/>
      <c r="I61" s="83"/>
      <c r="J61" s="83"/>
      <c r="K61" s="83"/>
      <c r="L61" s="18"/>
      <c r="M61" s="18"/>
      <c r="N61" s="18"/>
      <c r="O61" s="18"/>
      <c r="P61" s="18"/>
      <c r="Q61" s="18"/>
      <c r="R61" s="18"/>
      <c r="S61" s="112"/>
      <c r="T61" s="113"/>
      <c r="U61" s="112"/>
      <c r="V61" s="113"/>
      <c r="W61" s="115"/>
      <c r="X61" s="115"/>
    </row>
    <row r="62" spans="2:32" ht="15.75">
      <c r="B62" s="18"/>
      <c r="C62" s="18"/>
      <c r="D62" s="18"/>
      <c r="E62" s="18" t="s">
        <v>535</v>
      </c>
      <c r="F62" s="83"/>
      <c r="G62" s="83"/>
      <c r="H62" s="83"/>
      <c r="I62" s="83"/>
      <c r="J62" s="83"/>
      <c r="K62" s="83"/>
      <c r="L62" s="18"/>
      <c r="M62" s="18"/>
      <c r="N62" s="18"/>
      <c r="O62" s="18"/>
      <c r="P62" s="18"/>
      <c r="Q62" s="18"/>
      <c r="R62" s="18"/>
      <c r="S62" s="112"/>
      <c r="T62" s="113"/>
      <c r="U62" s="113"/>
      <c r="V62" s="111"/>
      <c r="W62" s="111"/>
      <c r="X62" s="111"/>
    </row>
    <row r="63" spans="2:32" ht="15.75">
      <c r="B63" s="18"/>
      <c r="C63" s="18"/>
      <c r="D63" s="18"/>
      <c r="E63" s="18" t="s">
        <v>585</v>
      </c>
      <c r="F63" s="83"/>
      <c r="G63" s="83"/>
      <c r="H63" s="83"/>
      <c r="I63" s="83"/>
      <c r="J63" s="83"/>
      <c r="K63" s="83"/>
      <c r="L63" s="18"/>
      <c r="M63" s="18"/>
      <c r="N63" s="18"/>
      <c r="O63" s="18"/>
      <c r="P63" s="18"/>
      <c r="Q63" s="18"/>
      <c r="R63" s="18"/>
      <c r="S63" s="112"/>
      <c r="T63" s="113"/>
      <c r="U63" s="112"/>
      <c r="V63" s="113"/>
      <c r="W63" s="115"/>
      <c r="X63" s="114"/>
    </row>
    <row r="64" spans="2:32" ht="15.75">
      <c r="B64" s="18"/>
      <c r="C64" s="18"/>
      <c r="D64" s="18"/>
      <c r="E64" s="18" t="s">
        <v>582</v>
      </c>
      <c r="F64" s="83"/>
      <c r="G64" s="83"/>
      <c r="H64" s="83"/>
      <c r="I64" s="83"/>
      <c r="J64" s="83"/>
      <c r="K64" s="83"/>
      <c r="L64" s="18"/>
      <c r="M64" s="18"/>
      <c r="N64" s="18"/>
      <c r="O64" s="18"/>
      <c r="P64" s="18"/>
      <c r="Q64" s="18"/>
      <c r="R64" s="18"/>
      <c r="S64" s="112"/>
      <c r="T64" s="113"/>
      <c r="U64" s="113"/>
      <c r="V64" s="113"/>
      <c r="W64" s="113"/>
      <c r="X64" s="113"/>
    </row>
    <row r="65" spans="2:24" ht="15.75">
      <c r="B65" s="18"/>
      <c r="C65" s="18"/>
      <c r="D65" s="18"/>
      <c r="E65" s="18" t="s">
        <v>583</v>
      </c>
      <c r="F65" s="83"/>
      <c r="G65" s="83"/>
      <c r="H65" s="83"/>
      <c r="I65" s="83"/>
      <c r="J65" s="83"/>
      <c r="K65" s="83"/>
      <c r="L65" s="18"/>
      <c r="M65" s="18"/>
      <c r="N65" s="18"/>
      <c r="O65" s="18"/>
      <c r="P65" s="18"/>
      <c r="Q65" s="18"/>
      <c r="R65" s="18"/>
      <c r="S65" s="112"/>
      <c r="T65" s="113"/>
      <c r="U65" s="113"/>
      <c r="V65" s="111"/>
      <c r="W65" s="113"/>
      <c r="X65" s="113"/>
    </row>
    <row r="66" spans="2:24" ht="15.75">
      <c r="B66" s="18"/>
      <c r="C66" s="18"/>
      <c r="D66" s="18"/>
      <c r="E66"/>
      <c r="F66" s="83"/>
      <c r="G66" s="83"/>
      <c r="H66" s="83"/>
      <c r="I66" s="83"/>
      <c r="J66" s="83"/>
      <c r="K66" s="83"/>
      <c r="L66" s="18"/>
      <c r="M66" s="18"/>
      <c r="N66" s="18"/>
      <c r="O66" s="18"/>
      <c r="P66" s="18"/>
      <c r="Q66" s="18"/>
      <c r="R66" s="18"/>
      <c r="S66" s="112"/>
      <c r="T66" s="431"/>
      <c r="U66" s="431"/>
      <c r="V66" s="114"/>
      <c r="W66" s="114"/>
      <c r="X66" s="114"/>
    </row>
    <row r="67" spans="2:24" ht="15.75">
      <c r="B67" s="18"/>
      <c r="C67" s="18"/>
      <c r="D67" s="18"/>
      <c r="E67" s="18"/>
      <c r="F67" s="83"/>
      <c r="G67" s="83"/>
      <c r="H67" s="83"/>
      <c r="I67" s="83"/>
      <c r="J67" s="83"/>
      <c r="K67" s="83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11"/>
      <c r="X67" s="111"/>
    </row>
    <row r="68" spans="2:24" ht="15.75">
      <c r="B68" s="18"/>
      <c r="C68" s="18"/>
      <c r="D68" s="18"/>
      <c r="W68" s="113"/>
      <c r="X68" s="113"/>
    </row>
    <row r="69" spans="2:24" ht="15.75">
      <c r="B69" s="18"/>
      <c r="C69" s="18"/>
      <c r="D69" s="18"/>
      <c r="W69" s="113"/>
      <c r="X69" s="113"/>
    </row>
    <row r="70" spans="2:24" ht="15.75">
      <c r="B70" s="18"/>
      <c r="C70" s="18"/>
      <c r="D70" s="18"/>
      <c r="W70" s="113"/>
      <c r="X70" s="113"/>
    </row>
    <row r="71" spans="2:24" ht="15.75">
      <c r="B71" s="18"/>
      <c r="C71" s="18"/>
      <c r="D71" s="18"/>
      <c r="W71" s="111"/>
      <c r="X71" s="111"/>
    </row>
    <row r="72" spans="2:24" ht="15.75">
      <c r="B72" s="18"/>
      <c r="C72" s="18"/>
      <c r="D72" s="18"/>
      <c r="W72" s="113"/>
      <c r="X72" s="113"/>
    </row>
    <row r="73" spans="2:24" ht="15.75">
      <c r="B73" s="18"/>
      <c r="C73" s="18"/>
      <c r="D73" s="18"/>
      <c r="W73" s="113"/>
      <c r="X73" s="113"/>
    </row>
    <row r="74" spans="2:24" ht="15.75">
      <c r="B74" s="18"/>
      <c r="C74" s="18"/>
      <c r="D74" s="18"/>
      <c r="W74" s="111"/>
      <c r="X74" s="111"/>
    </row>
    <row r="75" spans="2:24" ht="15.75">
      <c r="B75" s="18"/>
      <c r="C75" s="18"/>
      <c r="D75" s="18"/>
      <c r="W75" s="114"/>
      <c r="X75" s="114"/>
    </row>
    <row r="76" spans="2:24" ht="15.75">
      <c r="B76" s="18"/>
      <c r="C76" s="18"/>
      <c r="D76" s="18"/>
      <c r="W76" s="18"/>
      <c r="X76" s="18"/>
    </row>
  </sheetData>
  <mergeCells count="13">
    <mergeCell ref="AI25:AN25"/>
    <mergeCell ref="AA25:AF25"/>
    <mergeCell ref="T66:U66"/>
    <mergeCell ref="G17:Q17"/>
    <mergeCell ref="F26:K26"/>
    <mergeCell ref="P26:U26"/>
    <mergeCell ref="C2:D2"/>
    <mergeCell ref="G4:P4"/>
    <mergeCell ref="G8:R8"/>
    <mergeCell ref="T50:U50"/>
    <mergeCell ref="T60:U60"/>
    <mergeCell ref="U17:V17"/>
    <mergeCell ref="U16:V16"/>
  </mergeCells>
  <pageMargins left="0.7" right="0.7" top="0.75" bottom="0.75" header="0.3" footer="0.3"/>
  <pageSetup orientation="portrait" r:id="rId1"/>
  <headerFooter>
    <oddFooter xml:space="preserve">&amp;C_x000D_&amp;1#&amp;"Calibri"&amp;12&amp;K000000 Public </oddFooter>
  </headerFooter>
  <ignoredErrors>
    <ignoredError sqref="H3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2CCD3-06FE-487F-A366-08EE8C65937B}">
  <sheetPr codeName="Sheet4"/>
  <dimension ref="A1:AJ127"/>
  <sheetViews>
    <sheetView workbookViewId="0">
      <selection activeCell="B70" sqref="B70:J80"/>
    </sheetView>
  </sheetViews>
  <sheetFormatPr defaultColWidth="8.85546875" defaultRowHeight="15"/>
  <cols>
    <col min="1" max="1" width="7.42578125" style="61" customWidth="1"/>
    <col min="2" max="2" width="14.42578125" style="61" customWidth="1"/>
    <col min="3" max="4" width="13" style="61" customWidth="1"/>
    <col min="5" max="5" width="23.42578125" style="61" customWidth="1"/>
    <col min="6" max="6" width="13.5703125" style="61" customWidth="1"/>
    <col min="7" max="7" width="19" style="61" bestFit="1" customWidth="1"/>
    <col min="8" max="8" width="14.140625" style="61" customWidth="1"/>
    <col min="9" max="9" width="19" style="61" bestFit="1" customWidth="1"/>
    <col min="10" max="10" width="14" style="61" customWidth="1"/>
    <col min="11" max="11" width="19" style="61" bestFit="1" customWidth="1"/>
    <col min="12" max="12" width="13" style="61" customWidth="1"/>
    <col min="13" max="14" width="14.140625" style="61" customWidth="1"/>
    <col min="15" max="15" width="14.5703125" style="61" customWidth="1"/>
    <col min="16" max="16" width="19.7109375" style="61" customWidth="1"/>
    <col min="17" max="17" width="15.7109375" style="61" bestFit="1" customWidth="1"/>
    <col min="18" max="18" width="19.5703125" style="61" customWidth="1"/>
    <col min="19" max="19" width="15.7109375" style="61" bestFit="1" customWidth="1"/>
    <col min="20" max="20" width="19" style="61" bestFit="1" customWidth="1"/>
    <col min="21" max="21" width="16.5703125" style="61" customWidth="1"/>
    <col min="22" max="22" width="19" style="61" bestFit="1" customWidth="1"/>
    <col min="23" max="23" width="14" style="61" customWidth="1"/>
    <col min="24" max="24" width="23.140625" style="61" customWidth="1"/>
    <col min="25" max="28" width="19.140625" style="61" bestFit="1" customWidth="1"/>
    <col min="29" max="29" width="12.28515625" style="61" customWidth="1"/>
    <col min="30" max="30" width="18.28515625" style="61" customWidth="1"/>
    <col min="31" max="32" width="15.7109375" style="61" bestFit="1" customWidth="1"/>
    <col min="33" max="33" width="28.5703125" style="61" customWidth="1"/>
    <col min="34" max="35" width="8.85546875" style="61"/>
    <col min="36" max="36" width="9.85546875" style="61" bestFit="1" customWidth="1"/>
    <col min="37" max="16384" width="8.85546875" style="61"/>
  </cols>
  <sheetData>
    <row r="1" spans="1:26">
      <c r="A1" s="50"/>
      <c r="B1" s="50"/>
      <c r="C1" s="50"/>
      <c r="D1" s="50"/>
      <c r="E1" s="50"/>
      <c r="F1" s="50"/>
      <c r="G1" s="50"/>
      <c r="H1" s="50"/>
      <c r="I1" s="50"/>
    </row>
    <row r="2" spans="1:26">
      <c r="A2" s="36"/>
      <c r="B2" s="453"/>
      <c r="C2" s="453"/>
      <c r="D2" s="453"/>
      <c r="F2" s="36"/>
    </row>
    <row r="3" spans="1:26">
      <c r="E3" s="454" t="s">
        <v>65</v>
      </c>
      <c r="F3" s="454"/>
      <c r="G3" s="454"/>
      <c r="H3" s="454"/>
      <c r="I3" s="454"/>
      <c r="J3" s="454"/>
      <c r="K3" s="454"/>
      <c r="M3" s="85"/>
      <c r="N3" s="85"/>
      <c r="O3" s="85"/>
      <c r="P3" s="454" t="s">
        <v>66</v>
      </c>
      <c r="Q3" s="454"/>
      <c r="R3" s="454"/>
      <c r="S3" s="454"/>
      <c r="T3" s="454"/>
      <c r="U3" s="454"/>
      <c r="V3" s="454"/>
    </row>
    <row r="4" spans="1:26" ht="15.75" customHeight="1">
      <c r="D4" s="18"/>
      <c r="E4" s="128">
        <f>Summary!D3</f>
        <v>2024</v>
      </c>
      <c r="F4" s="123">
        <f>Summary!L3</f>
        <v>45536</v>
      </c>
      <c r="G4" s="124">
        <f>Summary!L3</f>
        <v>45536</v>
      </c>
      <c r="H4" s="32" t="s">
        <v>22</v>
      </c>
      <c r="I4" s="32" t="s">
        <v>22</v>
      </c>
      <c r="J4" s="32" t="s">
        <v>22</v>
      </c>
      <c r="K4" s="32" t="s">
        <v>22</v>
      </c>
      <c r="L4" s="83"/>
      <c r="O4" s="18"/>
      <c r="P4" s="128">
        <f>E4</f>
        <v>2024</v>
      </c>
      <c r="Q4" s="123">
        <f>Summary!L3</f>
        <v>45536</v>
      </c>
      <c r="R4" s="124">
        <f>Summary!L3</f>
        <v>45536</v>
      </c>
      <c r="S4" s="32" t="s">
        <v>22</v>
      </c>
      <c r="T4" s="32" t="s">
        <v>22</v>
      </c>
      <c r="U4" s="32" t="s">
        <v>22</v>
      </c>
      <c r="V4" s="32" t="s">
        <v>22</v>
      </c>
    </row>
    <row r="5" spans="1:26" ht="30.6" customHeight="1">
      <c r="D5" s="18"/>
      <c r="E5" s="32" t="s">
        <v>42</v>
      </c>
      <c r="F5" s="32" t="s">
        <v>27</v>
      </c>
      <c r="G5" s="32" t="s">
        <v>43</v>
      </c>
      <c r="H5" s="32" t="s">
        <v>174</v>
      </c>
      <c r="I5" s="32" t="s">
        <v>175</v>
      </c>
      <c r="J5" s="32" t="s">
        <v>176</v>
      </c>
      <c r="K5" s="32" t="s">
        <v>177</v>
      </c>
      <c r="L5" s="19"/>
      <c r="M5" s="94"/>
      <c r="N5" s="94"/>
      <c r="O5" s="19"/>
      <c r="P5" s="32" t="s">
        <v>42</v>
      </c>
      <c r="Q5" s="32" t="s">
        <v>27</v>
      </c>
      <c r="R5" s="32" t="s">
        <v>43</v>
      </c>
      <c r="S5" s="32" t="s">
        <v>174</v>
      </c>
      <c r="T5" s="32" t="s">
        <v>175</v>
      </c>
      <c r="U5" s="32" t="s">
        <v>176</v>
      </c>
      <c r="V5" s="32" t="s">
        <v>177</v>
      </c>
    </row>
    <row r="6" spans="1:26" ht="42" customHeight="1">
      <c r="B6" s="25"/>
      <c r="D6" s="25"/>
      <c r="E6" s="18"/>
      <c r="F6" s="18"/>
      <c r="G6" s="18"/>
      <c r="J6" s="83"/>
      <c r="K6" s="83"/>
      <c r="L6" s="83"/>
      <c r="O6" s="25"/>
      <c r="P6" s="18"/>
      <c r="Q6" s="18"/>
      <c r="R6" s="18"/>
      <c r="U6" s="83"/>
      <c r="V6" s="83"/>
    </row>
    <row r="7" spans="1:26" ht="15.75">
      <c r="D7" s="26" t="s">
        <v>44</v>
      </c>
      <c r="E7" s="133">
        <f>HLOOKUP($E$4,$Y$38:$AB$42,2,FALSE)</f>
        <v>1534680927.2168498</v>
      </c>
      <c r="F7" s="27">
        <v>0.39032988059834578</v>
      </c>
      <c r="G7" s="51">
        <f t="shared" ref="G7:G12" si="0">F7*E7</f>
        <v>599031823.0771116</v>
      </c>
      <c r="H7" s="33">
        <f>(Y9/SUM(SUM(E7:E8),F9/F7*SUM(E9:E10),F11/F7*SUM(E11:E12),SUM(P7:P8)*(1+(Q7/F7-1)),SUM(P9:P10)*(1+(Q9/F9-1))*F9/F7,SUM(P11:P12)*(1+(Q11/F11-1))*F11/F7))</f>
        <v>0.38746044984213546</v>
      </c>
      <c r="I7" s="51">
        <f t="shared" ref="I7:I12" si="1">E7*H7</f>
        <v>594628162.42358613</v>
      </c>
      <c r="J7" s="33">
        <f>(Y10/SUM(SUM(E7:E8),F9/F7*SUM(E9:E10),F11/F7*SUM(E11:E12),SUM(P7:P8)*(1+(Q7/F7-1)),SUM(P9:P10)*(1+(Q9/F9-1))*F9/F7,SUM(P11:P12)*(1+(Q11/F11-1))*F11/F7))</f>
        <v>0.39803846311982038</v>
      </c>
      <c r="K7" s="51">
        <f t="shared" ref="K7:K12" si="2">E7*J7</f>
        <v>610862037.64869583</v>
      </c>
      <c r="L7" s="33"/>
      <c r="O7" s="26" t="s">
        <v>44</v>
      </c>
      <c r="P7" s="133">
        <f>HLOOKUP($E$4,$Y$49:$AB$53,2,FALSE)</f>
        <v>1302723574.1165709</v>
      </c>
      <c r="Q7" s="27">
        <v>0.25377425063865128</v>
      </c>
      <c r="R7" s="51">
        <f t="shared" ref="R7:R12" si="3">Q7*P7</f>
        <v>330597698.81073827</v>
      </c>
      <c r="S7" s="33">
        <f t="shared" ref="S7:S12" si="4">H7*(1+(Q7/F7-1))</f>
        <v>0.25190868083190082</v>
      </c>
      <c r="T7" s="51">
        <f t="shared" ref="T7:T12" si="5">P7*S7</f>
        <v>328167377.04432434</v>
      </c>
      <c r="U7" s="33">
        <f t="shared" ref="U7:U12" si="6">J7*(1+(Q7/F7-1))</f>
        <v>0.25878601081923147</v>
      </c>
      <c r="V7" s="51">
        <f t="shared" ref="V7:V12" si="7">P7*U7</f>
        <v>337126636.94579881</v>
      </c>
      <c r="W7" s="29"/>
      <c r="X7" s="61" t="s">
        <v>49</v>
      </c>
    </row>
    <row r="8" spans="1:26" ht="15.75">
      <c r="D8" s="30" t="s">
        <v>45</v>
      </c>
      <c r="E8" s="133">
        <f>HLOOKUP($E$4,$Y$38:$AB$42,3,FALSE)</f>
        <v>2163342894.5695081</v>
      </c>
      <c r="F8" s="27">
        <v>0.39032988059834578</v>
      </c>
      <c r="G8" s="51">
        <f t="shared" si="0"/>
        <v>844417373.73059583</v>
      </c>
      <c r="H8" s="33">
        <f>H7</f>
        <v>0.38746044984213546</v>
      </c>
      <c r="I8" s="51">
        <f t="shared" si="1"/>
        <v>838209811.09268904</v>
      </c>
      <c r="J8" s="33">
        <f>J7</f>
        <v>0.39803846311982038</v>
      </c>
      <c r="K8" s="51">
        <f t="shared" si="2"/>
        <v>861093680.95563066</v>
      </c>
      <c r="L8" s="33"/>
      <c r="O8" s="30" t="s">
        <v>45</v>
      </c>
      <c r="P8" s="133">
        <f>HLOOKUP($E$4,$Y$49:$AB$53,3,FALSE)</f>
        <v>1671858631.647109</v>
      </c>
      <c r="Q8" s="27">
        <v>0.25377425063865128</v>
      </c>
      <c r="R8" s="51">
        <f t="shared" si="3"/>
        <v>424274671.42000604</v>
      </c>
      <c r="S8" s="33">
        <f t="shared" si="4"/>
        <v>0.25190868083190082</v>
      </c>
      <c r="T8" s="51">
        <f t="shared" si="5"/>
        <v>421155702.43565005</v>
      </c>
      <c r="U8" s="33">
        <f t="shared" si="6"/>
        <v>0.25878601081923147</v>
      </c>
      <c r="V8" s="51">
        <f t="shared" si="7"/>
        <v>432653625.93765426</v>
      </c>
      <c r="W8" s="29"/>
      <c r="X8" s="61" t="s">
        <v>21</v>
      </c>
      <c r="Y8" s="38">
        <f>SUM(G7:G12)+SUM(R7:R12)</f>
        <v>4326034790.6883259</v>
      </c>
    </row>
    <row r="9" spans="1:26" ht="15.75">
      <c r="D9" s="26" t="s">
        <v>46</v>
      </c>
      <c r="E9" s="133">
        <f>HLOOKUP($E$4,$Y$38:$AB$42,4,FALSE)</f>
        <v>1444163839.0009103</v>
      </c>
      <c r="F9" s="27">
        <v>0.48870337537721481</v>
      </c>
      <c r="G9" s="51">
        <f t="shared" si="0"/>
        <v>705767742.71746147</v>
      </c>
      <c r="H9" s="33">
        <f>F9/F$7*H$7</f>
        <v>0.48511077187521912</v>
      </c>
      <c r="I9" s="51">
        <f t="shared" si="1"/>
        <v>700579434.65201128</v>
      </c>
      <c r="J9" s="33">
        <f>F9/F$7*J$7</f>
        <v>0.49835472538875786</v>
      </c>
      <c r="K9" s="51">
        <f t="shared" si="2"/>
        <v>719705873.40167296</v>
      </c>
      <c r="L9" s="33"/>
      <c r="O9" s="26" t="s">
        <v>46</v>
      </c>
      <c r="P9" s="133">
        <f>HLOOKUP($E$4,$Y$49:$AB$53,4,FALSE)</f>
        <v>1052520221.993717</v>
      </c>
      <c r="Q9" s="27">
        <v>0.31773230388269358</v>
      </c>
      <c r="R9" s="51">
        <f t="shared" si="3"/>
        <v>334419675.01718777</v>
      </c>
      <c r="S9" s="33">
        <f t="shared" si="4"/>
        <v>0.31539655945132955</v>
      </c>
      <c r="T9" s="51">
        <f t="shared" si="5"/>
        <v>331961256.76976794</v>
      </c>
      <c r="U9" s="33">
        <f t="shared" si="6"/>
        <v>0.32400716472722707</v>
      </c>
      <c r="V9" s="51">
        <f t="shared" si="7"/>
        <v>341024092.94625586</v>
      </c>
      <c r="W9" s="29"/>
      <c r="X9" s="61" t="s">
        <v>178</v>
      </c>
      <c r="Y9" s="38">
        <f>('SAR and RAR'!V19-('SAR and RAR'!P10*'SAR and RAR'!P19))*1000</f>
        <v>4294232825.4844108</v>
      </c>
      <c r="Z9" s="61">
        <f>Y9/Y8-1</f>
        <v>-7.351296682210684E-3</v>
      </c>
    </row>
    <row r="10" spans="1:26" ht="15.75">
      <c r="D10" s="30" t="s">
        <v>45</v>
      </c>
      <c r="E10" s="133">
        <f>HLOOKUP($E$4,$Y$38:$AB$42,5,FALSE)</f>
        <v>1640323344.0529723</v>
      </c>
      <c r="F10" s="27">
        <v>0.48870337537721481</v>
      </c>
      <c r="G10" s="51">
        <f t="shared" si="0"/>
        <v>801631554.94872797</v>
      </c>
      <c r="H10" s="33">
        <f>H9</f>
        <v>0.48511077187521912</v>
      </c>
      <c r="I10" s="51">
        <f t="shared" si="1"/>
        <v>795738523.558478</v>
      </c>
      <c r="J10" s="33">
        <f>J9</f>
        <v>0.49835472538875786</v>
      </c>
      <c r="K10" s="51">
        <f t="shared" si="2"/>
        <v>817462889.67428803</v>
      </c>
      <c r="L10" s="33"/>
      <c r="O10" s="30" t="s">
        <v>45</v>
      </c>
      <c r="P10" s="133">
        <f>HLOOKUP($E$4,$Y$49:$AB$53,5,FALSE)</f>
        <v>899795983.8293581</v>
      </c>
      <c r="Q10" s="27">
        <v>0.31773230388269358</v>
      </c>
      <c r="R10" s="51">
        <f t="shared" si="3"/>
        <v>285894250.96649683</v>
      </c>
      <c r="S10" s="33">
        <f t="shared" si="4"/>
        <v>0.31539655945132955</v>
      </c>
      <c r="T10" s="51">
        <f t="shared" si="5"/>
        <v>283792557.5079037</v>
      </c>
      <c r="U10" s="33">
        <f t="shared" si="6"/>
        <v>0.32400716472722707</v>
      </c>
      <c r="V10" s="51">
        <f t="shared" si="7"/>
        <v>291540345.55349618</v>
      </c>
      <c r="W10" s="29"/>
      <c r="X10" s="61" t="s">
        <v>179</v>
      </c>
      <c r="Y10" s="38">
        <f>('SAR and RAR'!X19-('SAR and RAR'!P13*'SAR and RAR'!P19))*1000</f>
        <v>4411469183.0634928</v>
      </c>
      <c r="Z10" s="235">
        <f>Y10/Y8-1</f>
        <v>1.9748891654561396E-2</v>
      </c>
    </row>
    <row r="11" spans="1:26" ht="15.75" hidden="1">
      <c r="D11" s="26" t="s">
        <v>47</v>
      </c>
      <c r="E11" s="133">
        <f>HLOOKUP($E$4,$Y$38:$AB$44,6,FALSE)</f>
        <v>0</v>
      </c>
      <c r="F11" s="35">
        <v>0.48870337537721481</v>
      </c>
      <c r="G11" s="51">
        <f t="shared" si="0"/>
        <v>0</v>
      </c>
      <c r="H11" s="33">
        <f>F11/F$7*H$7</f>
        <v>0.48511077187521912</v>
      </c>
      <c r="I11" s="51">
        <f t="shared" si="1"/>
        <v>0</v>
      </c>
      <c r="J11" s="33">
        <f>F11/F$7*J$7</f>
        <v>0.49835472538875786</v>
      </c>
      <c r="K11" s="51">
        <f t="shared" si="2"/>
        <v>0</v>
      </c>
      <c r="L11" s="33"/>
      <c r="O11" s="26" t="s">
        <v>47</v>
      </c>
      <c r="P11" s="133">
        <f>HLOOKUP($E$4,$Y$49:$AB$55,6,FALSE)</f>
        <v>0</v>
      </c>
      <c r="Q11" s="35">
        <v>0.31773230388269358</v>
      </c>
      <c r="R11" s="51">
        <f t="shared" si="3"/>
        <v>0</v>
      </c>
      <c r="S11" s="33">
        <f t="shared" si="4"/>
        <v>0.31539655945132955</v>
      </c>
      <c r="T11" s="51">
        <f t="shared" si="5"/>
        <v>0</v>
      </c>
      <c r="U11" s="33">
        <f t="shared" si="6"/>
        <v>0.32400716472722707</v>
      </c>
      <c r="V11" s="51">
        <f t="shared" si="7"/>
        <v>0</v>
      </c>
      <c r="W11" s="29"/>
      <c r="Y11" s="38"/>
    </row>
    <row r="12" spans="1:26" ht="15.75" hidden="1">
      <c r="D12" s="30" t="s">
        <v>45</v>
      </c>
      <c r="E12" s="133">
        <f>HLOOKUP($E$4,$Y$38:$AB$44,7,FALSE)</f>
        <v>0</v>
      </c>
      <c r="F12" s="35">
        <v>0.48870337537721481</v>
      </c>
      <c r="G12" s="51">
        <f t="shared" si="0"/>
        <v>0</v>
      </c>
      <c r="H12" s="33">
        <f>H11</f>
        <v>0.48511077187521912</v>
      </c>
      <c r="I12" s="51">
        <f t="shared" si="1"/>
        <v>0</v>
      </c>
      <c r="J12" s="33">
        <f>J11</f>
        <v>0.49835472538875786</v>
      </c>
      <c r="K12" s="51">
        <f t="shared" si="2"/>
        <v>0</v>
      </c>
      <c r="L12" s="33"/>
      <c r="O12" s="30" t="s">
        <v>45</v>
      </c>
      <c r="P12" s="133">
        <f>HLOOKUP($E$4,$Y$49:$AB$55,7,FALSE)</f>
        <v>0</v>
      </c>
      <c r="Q12" s="35">
        <v>0.31773230388269358</v>
      </c>
      <c r="R12" s="51">
        <f t="shared" si="3"/>
        <v>0</v>
      </c>
      <c r="S12" s="33">
        <f t="shared" si="4"/>
        <v>0.31539655945132955</v>
      </c>
      <c r="T12" s="51">
        <f t="shared" si="5"/>
        <v>0</v>
      </c>
      <c r="U12" s="33">
        <f t="shared" si="6"/>
        <v>0.32400716472722707</v>
      </c>
      <c r="V12" s="51">
        <f t="shared" si="7"/>
        <v>0</v>
      </c>
      <c r="W12" s="29"/>
      <c r="Y12" s="38"/>
    </row>
    <row r="13" spans="1:26" ht="15.75">
      <c r="D13" s="30"/>
      <c r="E13" s="95"/>
      <c r="F13" s="27"/>
      <c r="G13" s="225"/>
      <c r="H13" s="227"/>
      <c r="I13" s="225"/>
      <c r="J13" s="18"/>
      <c r="K13" s="31"/>
      <c r="L13" s="29"/>
      <c r="O13" s="30"/>
      <c r="P13" s="28"/>
      <c r="Q13" s="27"/>
      <c r="R13" s="225"/>
      <c r="S13" s="225"/>
      <c r="T13" s="225"/>
      <c r="U13" s="18"/>
      <c r="V13" s="31"/>
      <c r="X13" s="38"/>
      <c r="Y13" s="38"/>
    </row>
    <row r="14" spans="1:26" ht="15.75">
      <c r="D14" s="30"/>
      <c r="E14" s="95"/>
      <c r="F14" s="27"/>
      <c r="G14" s="237"/>
      <c r="H14" s="28"/>
      <c r="I14" s="237"/>
      <c r="J14" s="227"/>
      <c r="K14" s="237"/>
      <c r="L14" s="227"/>
      <c r="O14" s="30"/>
      <c r="P14" s="28"/>
      <c r="Q14" s="27"/>
      <c r="R14" s="28"/>
      <c r="S14" s="227"/>
      <c r="T14" s="28"/>
      <c r="U14" s="227"/>
      <c r="V14" s="28"/>
      <c r="Y14" s="38"/>
    </row>
    <row r="15" spans="1:26" ht="15.75">
      <c r="D15" s="30"/>
      <c r="E15" s="95"/>
      <c r="F15" s="27"/>
      <c r="G15" s="237"/>
      <c r="H15" s="159"/>
      <c r="I15" s="237"/>
      <c r="J15" s="227"/>
      <c r="K15" s="238"/>
      <c r="L15" s="227"/>
      <c r="O15" s="96"/>
      <c r="P15" s="28"/>
      <c r="Q15" s="27"/>
      <c r="R15" s="28"/>
      <c r="S15" s="227"/>
      <c r="T15" s="28"/>
      <c r="U15" s="227"/>
      <c r="V15" s="28"/>
    </row>
    <row r="16" spans="1:26" ht="15.75">
      <c r="H16" s="159"/>
      <c r="I16" s="109"/>
      <c r="J16" s="159"/>
      <c r="K16" s="109"/>
      <c r="P16" s="28"/>
      <c r="Q16" s="27"/>
      <c r="S16" s="227"/>
      <c r="U16" s="227"/>
    </row>
    <row r="17" spans="2:33" ht="15.75">
      <c r="H17" s="159"/>
      <c r="J17" s="159"/>
      <c r="O17" s="37"/>
      <c r="S17" s="142"/>
    </row>
    <row r="18" spans="2:33" ht="15.75">
      <c r="S18" s="142"/>
    </row>
    <row r="19" spans="2:33">
      <c r="B19" s="39"/>
      <c r="E19" s="177"/>
      <c r="P19" s="61" t="s">
        <v>541</v>
      </c>
      <c r="X19" s="61" t="s">
        <v>542</v>
      </c>
    </row>
    <row r="20" spans="2:33">
      <c r="B20" s="40" t="s">
        <v>156</v>
      </c>
      <c r="C20" s="40"/>
      <c r="E20" s="41" t="s">
        <v>22</v>
      </c>
      <c r="F20" s="41" t="s">
        <v>22</v>
      </c>
      <c r="H20" s="40" t="s">
        <v>39</v>
      </c>
      <c r="I20" s="40"/>
      <c r="J20" s="40"/>
      <c r="K20" s="40"/>
      <c r="L20" s="40" t="s">
        <v>231</v>
      </c>
      <c r="M20" s="40"/>
      <c r="N20" s="40"/>
      <c r="P20" s="49" t="s">
        <v>33</v>
      </c>
      <c r="Q20" s="97" t="s">
        <v>154</v>
      </c>
      <c r="R20" s="97" t="s">
        <v>155</v>
      </c>
      <c r="S20" s="97" t="s">
        <v>154</v>
      </c>
      <c r="T20" s="97" t="s">
        <v>155</v>
      </c>
      <c r="U20" s="455" t="s">
        <v>180</v>
      </c>
      <c r="V20" s="456"/>
      <c r="X20" s="49" t="s">
        <v>33</v>
      </c>
      <c r="Y20" s="97" t="s">
        <v>154</v>
      </c>
      <c r="Z20" s="97" t="s">
        <v>155</v>
      </c>
      <c r="AA20" s="97" t="s">
        <v>154</v>
      </c>
      <c r="AB20" s="97" t="s">
        <v>155</v>
      </c>
      <c r="AC20" s="455" t="s">
        <v>180</v>
      </c>
      <c r="AD20" s="456"/>
    </row>
    <row r="21" spans="2:33">
      <c r="B21" s="42" t="s">
        <v>27</v>
      </c>
      <c r="C21" s="98">
        <v>45292</v>
      </c>
      <c r="D21" s="98">
        <f>Summary!L3</f>
        <v>45536</v>
      </c>
      <c r="E21" s="99" t="s">
        <v>181</v>
      </c>
      <c r="F21" s="99" t="s">
        <v>182</v>
      </c>
      <c r="H21" s="43" t="s">
        <v>33</v>
      </c>
      <c r="I21" s="43" t="s">
        <v>352</v>
      </c>
      <c r="J21" s="43" t="s">
        <v>353</v>
      </c>
      <c r="L21" s="43" t="s">
        <v>33</v>
      </c>
      <c r="M21" s="43" t="s">
        <v>352</v>
      </c>
      <c r="N21" s="43" t="s">
        <v>353</v>
      </c>
      <c r="P21" s="62"/>
      <c r="Q21" s="457" t="s">
        <v>50</v>
      </c>
      <c r="R21" s="458"/>
      <c r="S21" s="457" t="s">
        <v>51</v>
      </c>
      <c r="T21" s="458"/>
      <c r="U21" s="80" t="s">
        <v>50</v>
      </c>
      <c r="V21" s="80" t="s">
        <v>51</v>
      </c>
      <c r="X21" s="62"/>
      <c r="Y21" s="457" t="s">
        <v>50</v>
      </c>
      <c r="Z21" s="458"/>
      <c r="AA21" s="457" t="s">
        <v>51</v>
      </c>
      <c r="AB21" s="458"/>
      <c r="AC21" s="80" t="s">
        <v>50</v>
      </c>
      <c r="AD21" s="80" t="s">
        <v>51</v>
      </c>
    </row>
    <row r="22" spans="2:33">
      <c r="B22" s="44" t="s">
        <v>29</v>
      </c>
      <c r="C22" s="100">
        <v>0.42009000000000002</v>
      </c>
      <c r="D22" s="100">
        <f>F7</f>
        <v>0.39032988059834578</v>
      </c>
      <c r="E22" s="45">
        <f>H7</f>
        <v>0.38746044984213546</v>
      </c>
      <c r="F22" s="45">
        <f>J7</f>
        <v>0.39803846311982038</v>
      </c>
      <c r="H22" s="61" t="s">
        <v>207</v>
      </c>
      <c r="I22" s="38">
        <f>13.5*$R$33</f>
        <v>410.90625</v>
      </c>
      <c r="J22" s="38">
        <f>11*$R$33</f>
        <v>334.8125</v>
      </c>
      <c r="L22" s="61" t="s">
        <v>207</v>
      </c>
      <c r="M22" s="38">
        <f>15.2*$R$33</f>
        <v>462.65</v>
      </c>
      <c r="N22" s="38">
        <f>26*$R$33</f>
        <v>791.375</v>
      </c>
      <c r="P22" s="118" t="s">
        <v>207</v>
      </c>
      <c r="Q22" s="144">
        <v>515.75</v>
      </c>
      <c r="R22" s="144">
        <v>438</v>
      </c>
      <c r="S22" s="144">
        <v>555.75</v>
      </c>
      <c r="T22" s="144">
        <v>522</v>
      </c>
      <c r="U22" s="119">
        <v>4.9623493485253585E-2</v>
      </c>
      <c r="V22" s="119">
        <v>2.6968336469549364E-2</v>
      </c>
      <c r="X22" s="118" t="s">
        <v>207</v>
      </c>
      <c r="Y22" s="144">
        <v>603.25</v>
      </c>
      <c r="Z22" s="144">
        <v>622.25</v>
      </c>
      <c r="AA22" s="144">
        <v>662.25</v>
      </c>
      <c r="AB22" s="144">
        <v>778.625</v>
      </c>
      <c r="AC22" s="119">
        <v>0.21765600938622864</v>
      </c>
      <c r="AD22" s="119">
        <v>0.20820565676145356</v>
      </c>
    </row>
    <row r="23" spans="2:33">
      <c r="B23" s="44" t="s">
        <v>30</v>
      </c>
      <c r="C23" s="100">
        <v>0.52566000000000002</v>
      </c>
      <c r="D23" s="100">
        <f>F9</f>
        <v>0.48870337537721481</v>
      </c>
      <c r="E23" s="45">
        <f>H9</f>
        <v>0.48511077187521912</v>
      </c>
      <c r="F23" s="45">
        <f>J9</f>
        <v>0.49835472538875786</v>
      </c>
      <c r="H23" s="61" t="s">
        <v>208</v>
      </c>
      <c r="I23" s="38">
        <f>9.8*$R$33</f>
        <v>298.28750000000002</v>
      </c>
      <c r="J23" s="38">
        <f>11*$R$33</f>
        <v>334.8125</v>
      </c>
      <c r="L23" s="61" t="s">
        <v>208</v>
      </c>
      <c r="M23" s="38">
        <f>8.5*$R$33</f>
        <v>258.71875</v>
      </c>
      <c r="N23" s="38">
        <f>26*$R$33</f>
        <v>791.375</v>
      </c>
      <c r="P23" s="101" t="s">
        <v>208</v>
      </c>
      <c r="Q23" s="144">
        <v>391</v>
      </c>
      <c r="R23" s="144">
        <v>463.25</v>
      </c>
      <c r="S23" s="144">
        <v>378.25</v>
      </c>
      <c r="T23" s="144">
        <v>484.5</v>
      </c>
      <c r="U23" s="119">
        <v>2.9516720711876408E-4</v>
      </c>
      <c r="V23" s="119">
        <v>9.3407578702322928E-5</v>
      </c>
      <c r="X23" s="101" t="s">
        <v>208</v>
      </c>
      <c r="Y23" s="144">
        <v>506.75</v>
      </c>
      <c r="Z23" s="144">
        <v>641.125</v>
      </c>
      <c r="AA23" s="144">
        <v>504.5</v>
      </c>
      <c r="AB23" s="144">
        <v>698.375</v>
      </c>
      <c r="AC23" s="119">
        <v>1.4024345530541907E-3</v>
      </c>
      <c r="AD23" s="119">
        <v>5.8268830128791686E-4</v>
      </c>
    </row>
    <row r="24" spans="2:33">
      <c r="H24" s="61" t="s">
        <v>209</v>
      </c>
      <c r="I24" s="38">
        <f>17.7*$R$33</f>
        <v>538.74374999999998</v>
      </c>
      <c r="J24" s="38">
        <f>10.4*$R$33</f>
        <v>316.55</v>
      </c>
      <c r="L24" s="61" t="s">
        <v>209</v>
      </c>
      <c r="M24" s="38">
        <f>19.9*$R$33</f>
        <v>605.70624999999995</v>
      </c>
      <c r="N24" s="38">
        <f>26.7*$R$33</f>
        <v>812.68124999999998</v>
      </c>
      <c r="P24" s="101" t="s">
        <v>209</v>
      </c>
      <c r="Q24" s="144">
        <v>755.5</v>
      </c>
      <c r="R24" s="144">
        <v>425.875</v>
      </c>
      <c r="S24" s="144">
        <v>813.75</v>
      </c>
      <c r="T24" s="144">
        <v>453</v>
      </c>
      <c r="U24" s="119">
        <v>0.28343045543496437</v>
      </c>
      <c r="V24" s="119">
        <v>0.37610128471706866</v>
      </c>
      <c r="X24" s="101" t="s">
        <v>209</v>
      </c>
      <c r="Y24" s="144">
        <v>758</v>
      </c>
      <c r="Z24" s="144">
        <v>587.25</v>
      </c>
      <c r="AA24" s="144">
        <v>831.5</v>
      </c>
      <c r="AB24" s="144">
        <v>671.125</v>
      </c>
      <c r="AC24" s="119">
        <v>0.24920253721492996</v>
      </c>
      <c r="AD24" s="119">
        <v>0.324604233128026</v>
      </c>
    </row>
    <row r="25" spans="2:33">
      <c r="H25" s="61" t="s">
        <v>210</v>
      </c>
      <c r="I25" s="38">
        <f>15*$R$33</f>
        <v>456.5625</v>
      </c>
      <c r="J25" s="38">
        <f>10.2*$R$33</f>
        <v>310.46249999999998</v>
      </c>
      <c r="L25" s="61" t="s">
        <v>210</v>
      </c>
      <c r="M25" s="38">
        <f>17.8*$R$33</f>
        <v>541.78750000000002</v>
      </c>
      <c r="N25" s="38">
        <f>23.7*$R$33</f>
        <v>721.36874999999998</v>
      </c>
      <c r="P25" s="101" t="s">
        <v>210</v>
      </c>
      <c r="Q25" s="144">
        <v>631</v>
      </c>
      <c r="R25" s="144">
        <v>416.125</v>
      </c>
      <c r="S25" s="144">
        <v>676.5</v>
      </c>
      <c r="T25" s="144">
        <v>444.375</v>
      </c>
      <c r="U25" s="119">
        <v>0.36323137503610858</v>
      </c>
      <c r="V25" s="119">
        <v>0.30877736268500672</v>
      </c>
      <c r="X25" s="101" t="s">
        <v>210</v>
      </c>
      <c r="Y25" s="144">
        <v>657</v>
      </c>
      <c r="Z25" s="144">
        <v>569</v>
      </c>
      <c r="AA25" s="144">
        <v>674.5</v>
      </c>
      <c r="AB25" s="144">
        <v>605.875</v>
      </c>
      <c r="AC25" s="119">
        <v>0.24477891031751853</v>
      </c>
      <c r="AD25" s="119">
        <v>0.24856194576899485</v>
      </c>
    </row>
    <row r="26" spans="2:33">
      <c r="B26" s="40" t="s">
        <v>198</v>
      </c>
      <c r="C26" s="40"/>
      <c r="D26" s="40"/>
      <c r="E26" s="41" t="s">
        <v>22</v>
      </c>
      <c r="F26" s="41" t="s">
        <v>22</v>
      </c>
      <c r="H26" s="61" t="s">
        <v>211</v>
      </c>
      <c r="I26" s="38">
        <f>6.5*$R$33</f>
        <v>197.84375</v>
      </c>
      <c r="J26" s="38">
        <f>7.5*$R$33</f>
        <v>228.28125</v>
      </c>
      <c r="L26" s="61" t="s">
        <v>211</v>
      </c>
      <c r="M26" s="38">
        <f>7.1*$R$33</f>
        <v>216.10624999999999</v>
      </c>
      <c r="N26" s="38">
        <f>12.9*$R$33</f>
        <v>392.64375000000001</v>
      </c>
      <c r="P26" s="101" t="s">
        <v>211</v>
      </c>
      <c r="Q26" s="144">
        <v>244.5</v>
      </c>
      <c r="R26" s="144">
        <v>293.625</v>
      </c>
      <c r="S26" s="144">
        <v>257</v>
      </c>
      <c r="T26" s="144">
        <v>310.875</v>
      </c>
      <c r="U26" s="119">
        <v>4.7950662117167697E-2</v>
      </c>
      <c r="V26" s="119">
        <v>1.9893005013107496E-2</v>
      </c>
      <c r="X26" s="101" t="s">
        <v>211</v>
      </c>
      <c r="Y26" s="144">
        <v>232</v>
      </c>
      <c r="Z26" s="144">
        <v>314.5</v>
      </c>
      <c r="AA26" s="144">
        <v>247</v>
      </c>
      <c r="AB26" s="144">
        <v>337.375</v>
      </c>
      <c r="AC26" s="119">
        <v>3.9561487130600571E-2</v>
      </c>
      <c r="AD26" s="119">
        <v>2.5843250990789719E-2</v>
      </c>
    </row>
    <row r="27" spans="2:33">
      <c r="B27" s="42" t="s">
        <v>27</v>
      </c>
      <c r="C27" s="98">
        <f>C21</f>
        <v>45292</v>
      </c>
      <c r="D27" s="98">
        <f>D21</f>
        <v>45536</v>
      </c>
      <c r="E27" s="99" t="s">
        <v>181</v>
      </c>
      <c r="F27" s="99" t="s">
        <v>182</v>
      </c>
      <c r="H27" s="61" t="s">
        <v>212</v>
      </c>
      <c r="I27" s="38">
        <f>7.1*$R$33</f>
        <v>216.10624999999999</v>
      </c>
      <c r="J27" s="38">
        <f>8.1*$R$33</f>
        <v>246.54374999999999</v>
      </c>
      <c r="L27" s="61" t="s">
        <v>212</v>
      </c>
      <c r="M27" s="38">
        <f>10.4*$R$33</f>
        <v>316.55</v>
      </c>
      <c r="N27" s="38">
        <f>19.1*$R$33</f>
        <v>581.35625000000005</v>
      </c>
      <c r="P27" s="101" t="s">
        <v>212</v>
      </c>
      <c r="Q27" s="144">
        <v>270.75</v>
      </c>
      <c r="R27" s="144">
        <v>333.625</v>
      </c>
      <c r="S27" s="144">
        <v>284</v>
      </c>
      <c r="T27" s="144">
        <v>355.25</v>
      </c>
      <c r="U27" s="119">
        <v>1.5948585738580461E-3</v>
      </c>
      <c r="V27" s="119">
        <v>9.2705266080500949E-4</v>
      </c>
      <c r="X27" s="101" t="s">
        <v>212</v>
      </c>
      <c r="Y27" s="144">
        <v>370.75</v>
      </c>
      <c r="Z27" s="144">
        <v>495.125</v>
      </c>
      <c r="AA27" s="144">
        <v>404.25</v>
      </c>
      <c r="AB27" s="144">
        <v>570</v>
      </c>
      <c r="AC27" s="119">
        <v>1.8002493216983208E-3</v>
      </c>
      <c r="AD27" s="119">
        <v>1.0731420222212136E-3</v>
      </c>
    </row>
    <row r="28" spans="2:33">
      <c r="B28" s="44" t="s">
        <v>29</v>
      </c>
      <c r="C28" s="100">
        <v>0.27311999999999997</v>
      </c>
      <c r="D28" s="100">
        <f>Q7</f>
        <v>0.25377425063865128</v>
      </c>
      <c r="E28" s="45">
        <f>S7</f>
        <v>0.25190868083190082</v>
      </c>
      <c r="F28" s="45">
        <f>U7</f>
        <v>0.25878601081923147</v>
      </c>
      <c r="H28" s="61" t="s">
        <v>213</v>
      </c>
      <c r="I28" s="38">
        <f>19.2*$R$33</f>
        <v>584.4</v>
      </c>
      <c r="J28" s="38">
        <f>9.8*$R$33</f>
        <v>298.28750000000002</v>
      </c>
      <c r="L28" s="61" t="s">
        <v>213</v>
      </c>
      <c r="M28" s="38">
        <f>22.4*$R$33</f>
        <v>681.8</v>
      </c>
      <c r="N28" s="38">
        <f>19*$R$33</f>
        <v>578.3125</v>
      </c>
      <c r="P28" s="101" t="s">
        <v>213</v>
      </c>
      <c r="Q28" s="144">
        <v>808.75</v>
      </c>
      <c r="R28" s="144">
        <v>385.75</v>
      </c>
      <c r="S28" s="144">
        <v>875</v>
      </c>
      <c r="T28" s="144">
        <v>423.25</v>
      </c>
      <c r="U28" s="119">
        <v>0.13006339904912287</v>
      </c>
      <c r="V28" s="119">
        <v>0.23509680911283401</v>
      </c>
      <c r="X28" s="101" t="s">
        <v>213</v>
      </c>
      <c r="Y28" s="144">
        <v>830.25</v>
      </c>
      <c r="Z28" s="144">
        <v>473.75</v>
      </c>
      <c r="AA28" s="144">
        <v>892.5</v>
      </c>
      <c r="AB28" s="144">
        <v>508.5</v>
      </c>
      <c r="AC28" s="119">
        <v>6.4832807802302564E-2</v>
      </c>
      <c r="AD28" s="119">
        <v>0.12409650372378818</v>
      </c>
    </row>
    <row r="29" spans="2:33">
      <c r="B29" s="44" t="s">
        <v>30</v>
      </c>
      <c r="C29" s="100">
        <v>0.34175</v>
      </c>
      <c r="D29" s="100">
        <f>Q9</f>
        <v>0.31773230388269358</v>
      </c>
      <c r="E29" s="45">
        <f>S9</f>
        <v>0.31539655945132955</v>
      </c>
      <c r="F29" s="45">
        <f>U9</f>
        <v>0.32400716472722707</v>
      </c>
      <c r="H29" s="61" t="s">
        <v>214</v>
      </c>
      <c r="I29" s="38">
        <f>9.8*$R$33</f>
        <v>298.28750000000002</v>
      </c>
      <c r="J29" s="38">
        <f>9.7*$R$33</f>
        <v>295.24374999999998</v>
      </c>
      <c r="L29" s="61" t="s">
        <v>214</v>
      </c>
      <c r="M29" s="38">
        <f>8.5*$R$33</f>
        <v>258.71875</v>
      </c>
      <c r="N29" s="38">
        <f>14.6*$R$33</f>
        <v>444.38749999999999</v>
      </c>
      <c r="P29" s="101" t="s">
        <v>214</v>
      </c>
      <c r="Q29" s="144">
        <v>406.5</v>
      </c>
      <c r="R29" s="144">
        <v>388.625</v>
      </c>
      <c r="S29" s="144">
        <v>379.75</v>
      </c>
      <c r="T29" s="144">
        <v>381.375</v>
      </c>
      <c r="U29" s="119">
        <v>0.10412734542816621</v>
      </c>
      <c r="V29" s="119">
        <v>2.8480181440124805E-2</v>
      </c>
      <c r="X29" s="101" t="s">
        <v>214</v>
      </c>
      <c r="Y29" s="144">
        <v>316.25</v>
      </c>
      <c r="Z29" s="144">
        <v>367.625</v>
      </c>
      <c r="AA29" s="144">
        <v>319.75</v>
      </c>
      <c r="AB29" s="144">
        <v>394.5</v>
      </c>
      <c r="AC29" s="119">
        <v>6.2144349930336587E-2</v>
      </c>
      <c r="AD29" s="119">
        <v>3.5832402447290863E-2</v>
      </c>
    </row>
    <row r="30" spans="2:33">
      <c r="H30" s="61" t="s">
        <v>215</v>
      </c>
      <c r="I30" s="38">
        <f>10.5*$R$33</f>
        <v>319.59375</v>
      </c>
      <c r="J30" s="38">
        <f>11.1*$R$33</f>
        <v>337.85624999999999</v>
      </c>
      <c r="L30" s="61" t="s">
        <v>215</v>
      </c>
      <c r="M30" s="38">
        <f>12*$R$33</f>
        <v>365.25</v>
      </c>
      <c r="N30" s="38">
        <f>24*$R$33</f>
        <v>730.5</v>
      </c>
      <c r="P30" s="101" t="s">
        <v>215</v>
      </c>
      <c r="Q30" s="144">
        <v>356.25</v>
      </c>
      <c r="R30" s="144">
        <v>354</v>
      </c>
      <c r="S30" s="144">
        <v>481.5</v>
      </c>
      <c r="T30" s="144">
        <v>538.375</v>
      </c>
      <c r="U30" s="119">
        <v>1.8145941613797928E-2</v>
      </c>
      <c r="V30" s="119">
        <v>3.6253377538450447E-3</v>
      </c>
      <c r="X30" s="101" t="s">
        <v>215</v>
      </c>
      <c r="Y30" s="144">
        <v>377.5</v>
      </c>
      <c r="Z30" s="144">
        <v>416.5</v>
      </c>
      <c r="AA30" s="144">
        <v>564.5</v>
      </c>
      <c r="AB30" s="144">
        <v>725.375</v>
      </c>
      <c r="AC30" s="119">
        <v>0.10630728899318032</v>
      </c>
      <c r="AD30" s="119">
        <v>3.0740467995332636E-2</v>
      </c>
    </row>
    <row r="31" spans="2:33">
      <c r="B31" s="39"/>
      <c r="C31" s="46"/>
      <c r="D31" s="103"/>
      <c r="E31" s="47"/>
      <c r="F31" s="47"/>
      <c r="H31" s="61" t="s">
        <v>216</v>
      </c>
      <c r="I31" s="38">
        <f>5.9*$R$33</f>
        <v>179.58125000000001</v>
      </c>
      <c r="J31" s="38">
        <f>7.8*$R$33</f>
        <v>237.41249999999999</v>
      </c>
      <c r="L31" s="61" t="s">
        <v>216</v>
      </c>
      <c r="M31" s="38">
        <f>6.7*$R$33</f>
        <v>203.93125000000001</v>
      </c>
      <c r="N31" s="38">
        <f>15.7*$R$33</f>
        <v>477.86874999999998</v>
      </c>
      <c r="P31" s="102" t="s">
        <v>216</v>
      </c>
      <c r="Q31" s="136">
        <v>214.25</v>
      </c>
      <c r="R31" s="136">
        <v>225</v>
      </c>
      <c r="S31" s="136">
        <v>293.5</v>
      </c>
      <c r="T31" s="136">
        <v>344.375</v>
      </c>
      <c r="U31" s="119">
        <v>1.5373020544419515E-3</v>
      </c>
      <c r="V31" s="119">
        <v>3.7222568956564774E-5</v>
      </c>
      <c r="X31" s="102" t="s">
        <v>216</v>
      </c>
      <c r="Y31" s="136">
        <v>210</v>
      </c>
      <c r="Z31" s="136">
        <v>203.625</v>
      </c>
      <c r="AA31" s="136">
        <v>375.5</v>
      </c>
      <c r="AB31" s="136">
        <v>441.625</v>
      </c>
      <c r="AC31" s="119">
        <v>1.2313925350150327E-2</v>
      </c>
      <c r="AD31" s="119">
        <v>4.5970886081509019E-4</v>
      </c>
      <c r="AG31" s="120"/>
    </row>
    <row r="32" spans="2:33">
      <c r="B32" s="39"/>
      <c r="C32" s="46"/>
      <c r="D32" s="46"/>
      <c r="E32" s="47"/>
      <c r="F32" s="47"/>
    </row>
    <row r="33" spans="2:36">
      <c r="B33" s="39"/>
      <c r="C33" s="46"/>
      <c r="D33" s="46"/>
      <c r="E33" s="47"/>
      <c r="F33" s="47"/>
      <c r="Q33" s="63" t="s">
        <v>48</v>
      </c>
      <c r="R33" s="61">
        <f>365.25/12</f>
        <v>30.4375</v>
      </c>
    </row>
    <row r="34" spans="2:36">
      <c r="B34" s="39"/>
      <c r="C34" s="46"/>
      <c r="D34" s="46"/>
      <c r="E34" s="47"/>
      <c r="F34" s="47"/>
      <c r="N34" s="63"/>
    </row>
    <row r="35" spans="2:36">
      <c r="B35" s="39"/>
      <c r="C35" s="444" t="s">
        <v>254</v>
      </c>
      <c r="D35" s="444"/>
      <c r="E35" s="444"/>
      <c r="F35" s="444"/>
      <c r="G35" s="444"/>
      <c r="H35" s="444"/>
      <c r="I35" s="444"/>
      <c r="J35" s="444"/>
      <c r="L35" s="39"/>
      <c r="M35" s="444" t="s">
        <v>260</v>
      </c>
      <c r="N35" s="444"/>
      <c r="O35" s="444"/>
      <c r="P35" s="444"/>
      <c r="Q35" s="444"/>
      <c r="R35" s="444"/>
      <c r="S35" s="444"/>
      <c r="T35" s="444"/>
    </row>
    <row r="36" spans="2:36">
      <c r="B36" s="39"/>
      <c r="C36" s="449">
        <f>$C$27</f>
        <v>45292</v>
      </c>
      <c r="D36" s="450"/>
      <c r="E36" s="449">
        <f>$D$27</f>
        <v>45536</v>
      </c>
      <c r="F36" s="450"/>
      <c r="G36" s="451" t="str">
        <f>$E$21</f>
        <v>Authorized</v>
      </c>
      <c r="H36" s="451"/>
      <c r="I36" s="452" t="str">
        <f>$F$21</f>
        <v>w/Pending</v>
      </c>
      <c r="J36" s="451"/>
      <c r="L36" s="39"/>
      <c r="M36" s="445">
        <f>$C$27</f>
        <v>45292</v>
      </c>
      <c r="N36" s="446"/>
      <c r="O36" s="445">
        <f>$D$27</f>
        <v>45536</v>
      </c>
      <c r="P36" s="446"/>
      <c r="Q36" s="447" t="str">
        <f>$E$21</f>
        <v>Authorized</v>
      </c>
      <c r="R36" s="447"/>
      <c r="S36" s="448" t="str">
        <f>$F$21</f>
        <v>w/Pending</v>
      </c>
      <c r="T36" s="447"/>
    </row>
    <row r="37" spans="2:36">
      <c r="B37" s="39"/>
      <c r="C37" s="46" t="s">
        <v>154</v>
      </c>
      <c r="D37" s="46" t="s">
        <v>155</v>
      </c>
      <c r="E37" s="46" t="s">
        <v>154</v>
      </c>
      <c r="F37" s="46" t="s">
        <v>155</v>
      </c>
      <c r="G37" s="46" t="s">
        <v>154</v>
      </c>
      <c r="H37" s="46" t="s">
        <v>155</v>
      </c>
      <c r="I37" s="46" t="s">
        <v>154</v>
      </c>
      <c r="J37" s="46" t="s">
        <v>155</v>
      </c>
      <c r="L37" s="39"/>
      <c r="M37" s="103" t="s">
        <v>154</v>
      </c>
      <c r="N37" s="103" t="s">
        <v>155</v>
      </c>
      <c r="O37" s="103" t="s">
        <v>154</v>
      </c>
      <c r="P37" s="103" t="s">
        <v>155</v>
      </c>
      <c r="Q37" s="103" t="s">
        <v>154</v>
      </c>
      <c r="R37" s="103" t="s">
        <v>155</v>
      </c>
      <c r="S37" s="103" t="s">
        <v>154</v>
      </c>
      <c r="T37" s="103" t="s">
        <v>155</v>
      </c>
      <c r="AD37" s="444" t="s">
        <v>544</v>
      </c>
      <c r="AE37" s="444"/>
      <c r="AF37" s="444"/>
      <c r="AG37" s="444"/>
    </row>
    <row r="38" spans="2:36">
      <c r="B38" s="61" t="s">
        <v>207</v>
      </c>
      <c r="C38" s="46">
        <f>IF(I22&lt;Q22,$C$22*I22+$C$23*(Q22-I22),$C$22*Q22)</f>
        <v>227.72977218750003</v>
      </c>
      <c r="D38" s="46">
        <f>IF(J22&lt;R22,$C$22*J22+$C$23*(R22-J22),$C$22*R22)</f>
        <v>194.89292437500001</v>
      </c>
      <c r="E38" s="46">
        <f t="shared" ref="E38:E47" si="8">IF(I22&lt;Q22,$D$22*I22+$D$23*(Q22-I22),$D$22*Q22)</f>
        <v>211.62648201181889</v>
      </c>
      <c r="F38" s="46">
        <f t="shared" ref="F38:F47" si="9">IF(J22&lt;R22,$D$22*J22+$D$23*(R22-J22),$D$22*R22)</f>
        <v>181.11540269456998</v>
      </c>
      <c r="G38" s="46">
        <f t="shared" ref="G38:G47" si="10">IF(I22&lt;Q22,$E$22*I22+$E$23*(Q22-I22),$E$22*Q22)</f>
        <v>210.07075295673749</v>
      </c>
      <c r="H38" s="46">
        <f t="shared" ref="H38:H47" si="11">IF(J22&lt;R22,$E$22*J22+$E$23*(R22-J22),$E$22*R22)</f>
        <v>179.78396963564416</v>
      </c>
      <c r="I38" s="46">
        <f t="shared" ref="I38:I47" si="12">IF(I22&lt;Q22,$F$22*I22+$F$23*(Q22-I22),$F$22*Q22)</f>
        <v>215.80587047630627</v>
      </c>
      <c r="J38" s="46">
        <f t="shared" ref="J38:J47" si="13">IF(J22&lt;R22,$F$22*J22+$F$23*(R22-J22),$F$22*R22)</f>
        <v>184.69223115935733</v>
      </c>
      <c r="K38" s="236"/>
      <c r="L38" s="61" t="s">
        <v>207</v>
      </c>
      <c r="M38" s="103">
        <f t="shared" ref="M38:M47" si="14">IF(M22&lt;Y22,$C$22*M22+$C$23*(Y22-M22),$C$22*Y22)</f>
        <v>268.26243450000004</v>
      </c>
      <c r="N38" s="103">
        <f t="shared" ref="N38:N47" si="15">IF(N22&lt;Z22,$C$22*N22+$C$23*(Z22-N22),$C$22*Z22)</f>
        <v>261.4010025</v>
      </c>
      <c r="O38" s="103">
        <f t="shared" ref="O38:O47" si="16">IF(M22&lt;Y22,$D$22*M22+$D$23*(Y22-M22),$D$22*Y22)</f>
        <v>249.29781383686105</v>
      </c>
      <c r="P38" s="103">
        <f t="shared" ref="P38:P47" si="17">IF(N22&lt;Z22,$D$22*N22+$D$23*(Z22-N22),$D$22*Z22)</f>
        <v>242.88276820232065</v>
      </c>
      <c r="Q38" s="103">
        <f t="shared" ref="Q38:Q47" si="18">IF(M22&lt;Y22,$E$22*M22+$E$23*(Y22-M22),$E$22*Y22)</f>
        <v>247.46515164511976</v>
      </c>
      <c r="R38" s="103">
        <f t="shared" ref="R38:R47" si="19">IF(N22&lt;Z22,$E$22*N22+$E$23*(Z22-N22),$E$22*Z22)</f>
        <v>241.09726491426878</v>
      </c>
      <c r="S38" s="103">
        <f t="shared" ref="S38:S47" si="20">IF(M22&lt;Y22,$F$22*M22+$F$23*(Y22-M22),$F$22*Y22)</f>
        <v>254.22116935204423</v>
      </c>
      <c r="T38" s="103">
        <f t="shared" ref="T38:T47" si="21">IF(N22&lt;Z22,$F$22*N22+$F$23*(Z22-N22),$F$22*Z22)</f>
        <v>247.67943367630824</v>
      </c>
      <c r="W38" s="61" t="s">
        <v>221</v>
      </c>
      <c r="Y38" s="154">
        <v>2024</v>
      </c>
      <c r="Z38" s="154">
        <f>Y38+1</f>
        <v>2025</v>
      </c>
      <c r="AA38" s="154">
        <f>Z38+1</f>
        <v>2026</v>
      </c>
      <c r="AB38" s="154">
        <f>AA38+1</f>
        <v>2027</v>
      </c>
      <c r="AD38" s="154">
        <v>2024</v>
      </c>
      <c r="AE38" s="154">
        <f>AD38+1</f>
        <v>2025</v>
      </c>
      <c r="AF38" s="154">
        <f>AE38+1</f>
        <v>2026</v>
      </c>
      <c r="AG38" s="154">
        <f>AF38+1</f>
        <v>2027</v>
      </c>
    </row>
    <row r="39" spans="2:36" ht="15.75">
      <c r="B39" s="61" t="s">
        <v>208</v>
      </c>
      <c r="C39" s="46">
        <f>IF(I23&lt;Q23,C$22*I23+C$23*(Q23-I23),C$22*Q23)</f>
        <v>174.042848625</v>
      </c>
      <c r="D39" s="46">
        <f t="shared" ref="D39:D47" si="22">IF(J23&lt;R23,$C$22*J23+$C$23*(R23-J23),$C$22*R23)</f>
        <v>208.16583937500002</v>
      </c>
      <c r="E39" s="46">
        <f t="shared" si="8"/>
        <v>161.73943594863908</v>
      </c>
      <c r="F39" s="46">
        <f t="shared" si="9"/>
        <v>193.45516292284466</v>
      </c>
      <c r="G39" s="46">
        <f t="shared" si="10"/>
        <v>160.55044136976721</v>
      </c>
      <c r="H39" s="46">
        <f t="shared" si="11"/>
        <v>192.03301662549342</v>
      </c>
      <c r="I39" s="46">
        <f t="shared" si="12"/>
        <v>164.93361054545863</v>
      </c>
      <c r="J39" s="46">
        <f t="shared" si="13"/>
        <v>197.27568797542347</v>
      </c>
      <c r="K39" s="236"/>
      <c r="L39" s="61" t="s">
        <v>208</v>
      </c>
      <c r="M39" s="103">
        <f t="shared" si="14"/>
        <v>239.0652665625</v>
      </c>
      <c r="N39" s="103">
        <f t="shared" si="15"/>
        <v>269.33020125000002</v>
      </c>
      <c r="O39" s="103">
        <f t="shared" si="16"/>
        <v>222.19936787008308</v>
      </c>
      <c r="P39" s="103">
        <f t="shared" si="17"/>
        <v>250.25024469861444</v>
      </c>
      <c r="Q39" s="103">
        <f t="shared" si="18"/>
        <v>220.56591439427041</v>
      </c>
      <c r="R39" s="103">
        <f t="shared" si="19"/>
        <v>248.4105809050391</v>
      </c>
      <c r="S39" s="103">
        <f t="shared" si="20"/>
        <v>226.58755911186137</v>
      </c>
      <c r="T39" s="103">
        <f t="shared" si="21"/>
        <v>255.19240966769485</v>
      </c>
      <c r="W39" s="61" t="s">
        <v>29</v>
      </c>
      <c r="X39" s="61" t="s">
        <v>154</v>
      </c>
      <c r="Y39" s="133">
        <f t="shared" ref="Y39:Z42" si="23">SUM(AD39,AD44)</f>
        <v>1534680927.2168498</v>
      </c>
      <c r="Z39" s="133">
        <f t="shared" si="23"/>
        <v>1489017809.5602627</v>
      </c>
      <c r="AA39" s="133">
        <f t="shared" ref="AA39:AB42" si="24">$Z39</f>
        <v>1489017809.5602627</v>
      </c>
      <c r="AB39" s="133">
        <f t="shared" si="24"/>
        <v>1489017809.5602627</v>
      </c>
      <c r="AD39" s="133">
        <v>868043057.71781397</v>
      </c>
      <c r="AE39" s="133">
        <v>853478905.2836709</v>
      </c>
      <c r="AF39" s="133">
        <v>853478905.2836709</v>
      </c>
      <c r="AG39" s="133">
        <v>853478905.2836709</v>
      </c>
    </row>
    <row r="40" spans="2:36" ht="15.75">
      <c r="B40" s="61" t="s">
        <v>209</v>
      </c>
      <c r="C40" s="46">
        <f t="shared" ref="C40:C46" si="25">IF(I24&lt;Q24,C$22*I24+C$23*(Q24-I24),C$22*Q24)</f>
        <v>340.26095231250002</v>
      </c>
      <c r="D40" s="46">
        <f t="shared" si="22"/>
        <v>190.44726900000001</v>
      </c>
      <c r="E40" s="46">
        <f t="shared" si="8"/>
        <v>316.21729461971245</v>
      </c>
      <c r="F40" s="46">
        <f t="shared" si="9"/>
        <v>176.98642021652037</v>
      </c>
      <c r="G40" s="46">
        <f t="shared" si="10"/>
        <v>313.89268747091694</v>
      </c>
      <c r="H40" s="46">
        <f t="shared" si="11"/>
        <v>175.68534053278631</v>
      </c>
      <c r="I40" s="46">
        <f t="shared" si="12"/>
        <v>322.46223571045567</v>
      </c>
      <c r="J40" s="46">
        <f t="shared" si="13"/>
        <v>180.48170585370511</v>
      </c>
      <c r="K40" s="236"/>
      <c r="L40" s="61" t="s">
        <v>209</v>
      </c>
      <c r="M40" s="103">
        <f t="shared" si="14"/>
        <v>334.50587118750002</v>
      </c>
      <c r="N40" s="103">
        <f t="shared" si="15"/>
        <v>246.69785250000001</v>
      </c>
      <c r="O40" s="103">
        <f t="shared" si="16"/>
        <v>310.85171791402547</v>
      </c>
      <c r="P40" s="103">
        <f t="shared" si="17"/>
        <v>229.22122238137857</v>
      </c>
      <c r="Q40" s="103">
        <f t="shared" si="18"/>
        <v>308.56655471146462</v>
      </c>
      <c r="R40" s="103">
        <f t="shared" si="19"/>
        <v>227.53614916979404</v>
      </c>
      <c r="S40" s="103">
        <f t="shared" si="20"/>
        <v>316.99069481174388</v>
      </c>
      <c r="T40" s="103">
        <f t="shared" si="21"/>
        <v>233.74808746711452</v>
      </c>
      <c r="W40" s="61" t="s">
        <v>29</v>
      </c>
      <c r="X40" s="61" t="s">
        <v>155</v>
      </c>
      <c r="Y40" s="133">
        <f t="shared" si="23"/>
        <v>2163342894.5695081</v>
      </c>
      <c r="Z40" s="133">
        <f t="shared" si="23"/>
        <v>2024970081.4382429</v>
      </c>
      <c r="AA40" s="133">
        <f t="shared" si="24"/>
        <v>2024970081.4382429</v>
      </c>
      <c r="AB40" s="133">
        <f t="shared" si="24"/>
        <v>2024970081.4382429</v>
      </c>
      <c r="AD40" s="133">
        <v>1174551801.9445791</v>
      </c>
      <c r="AE40" s="133">
        <v>1076446217.7799308</v>
      </c>
      <c r="AF40" s="133">
        <v>1076446217.7799308</v>
      </c>
      <c r="AG40" s="133">
        <v>1076446217.7799308</v>
      </c>
    </row>
    <row r="41" spans="2:36" ht="15.75">
      <c r="B41" s="61" t="s">
        <v>210</v>
      </c>
      <c r="C41" s="46">
        <f t="shared" si="25"/>
        <v>283.49215687499998</v>
      </c>
      <c r="D41" s="46">
        <f t="shared" si="22"/>
        <v>185.96474137499999</v>
      </c>
      <c r="E41" s="46">
        <f t="shared" si="8"/>
        <v>263.45818115304519</v>
      </c>
      <c r="F41" s="46">
        <f t="shared" si="9"/>
        <v>172.82041095605888</v>
      </c>
      <c r="G41" s="46">
        <f t="shared" si="10"/>
        <v>261.52142190003349</v>
      </c>
      <c r="H41" s="46">
        <f t="shared" si="11"/>
        <v>171.54995684237932</v>
      </c>
      <c r="I41" s="46">
        <f t="shared" si="12"/>
        <v>268.66118822814445</v>
      </c>
      <c r="J41" s="46">
        <f t="shared" si="13"/>
        <v>176.23342252772687</v>
      </c>
      <c r="K41" s="236"/>
      <c r="L41" s="61" t="s">
        <v>210</v>
      </c>
      <c r="M41" s="103">
        <f t="shared" si="14"/>
        <v>288.16211362500002</v>
      </c>
      <c r="N41" s="103">
        <f t="shared" si="15"/>
        <v>239.03121000000002</v>
      </c>
      <c r="O41" s="103">
        <f t="shared" si="16"/>
        <v>267.7805878203236</v>
      </c>
      <c r="P41" s="103">
        <f t="shared" si="17"/>
        <v>222.09770206045874</v>
      </c>
      <c r="Q41" s="103">
        <f t="shared" si="18"/>
        <v>265.81205327351967</v>
      </c>
      <c r="R41" s="103">
        <f t="shared" si="19"/>
        <v>220.46499596017509</v>
      </c>
      <c r="S41" s="103">
        <f t="shared" si="20"/>
        <v>273.06895763638192</v>
      </c>
      <c r="T41" s="103">
        <f t="shared" si="21"/>
        <v>226.4838855151778</v>
      </c>
      <c r="W41" s="61" t="s">
        <v>30</v>
      </c>
      <c r="X41" s="61" t="s">
        <v>154</v>
      </c>
      <c r="Y41" s="133">
        <f t="shared" si="23"/>
        <v>1444163839.0009103</v>
      </c>
      <c r="Z41" s="133">
        <f t="shared" si="23"/>
        <v>1132610942.2693062</v>
      </c>
      <c r="AA41" s="133">
        <f t="shared" si="24"/>
        <v>1132610942.2693062</v>
      </c>
      <c r="AB41" s="133">
        <f t="shared" si="24"/>
        <v>1132610942.2693062</v>
      </c>
      <c r="AD41" s="133">
        <v>718617952.75974309</v>
      </c>
      <c r="AE41" s="133">
        <v>569082682.63411796</v>
      </c>
      <c r="AF41" s="133">
        <v>569082682.63411796</v>
      </c>
      <c r="AG41" s="133">
        <v>569082682.63411796</v>
      </c>
    </row>
    <row r="42" spans="2:36" ht="15.75">
      <c r="B42" s="61" t="s">
        <v>211</v>
      </c>
      <c r="C42" s="46">
        <f t="shared" si="25"/>
        <v>107.6375053125</v>
      </c>
      <c r="D42" s="46">
        <f t="shared" si="22"/>
        <v>130.2472659375</v>
      </c>
      <c r="E42" s="46">
        <f t="shared" si="8"/>
        <v>100.02539417207215</v>
      </c>
      <c r="F42" s="46">
        <f t="shared" si="9"/>
        <v>121.038704240146</v>
      </c>
      <c r="G42" s="46">
        <f t="shared" si="10"/>
        <v>99.290077823758182</v>
      </c>
      <c r="H42" s="46">
        <f t="shared" si="11"/>
        <v>120.14891281524633</v>
      </c>
      <c r="I42" s="46">
        <f t="shared" si="12"/>
        <v>102.0007848442812</v>
      </c>
      <c r="J42" s="46">
        <f t="shared" si="13"/>
        <v>123.42908449619316</v>
      </c>
      <c r="K42" s="236"/>
      <c r="L42" s="61" t="s">
        <v>211</v>
      </c>
      <c r="M42" s="103">
        <f t="shared" si="14"/>
        <v>99.138783187499996</v>
      </c>
      <c r="N42" s="103">
        <f t="shared" si="15"/>
        <v>132.11830499999999</v>
      </c>
      <c r="O42" s="103">
        <f t="shared" si="16"/>
        <v>92.120056031457864</v>
      </c>
      <c r="P42" s="103">
        <f t="shared" si="17"/>
        <v>122.75874744817975</v>
      </c>
      <c r="Q42" s="103">
        <f t="shared" si="18"/>
        <v>91.442854169188749</v>
      </c>
      <c r="R42" s="103">
        <f t="shared" si="19"/>
        <v>121.8563114753516</v>
      </c>
      <c r="S42" s="103">
        <f t="shared" si="20"/>
        <v>93.93932503723525</v>
      </c>
      <c r="T42" s="103">
        <f t="shared" si="21"/>
        <v>125.1830966511835</v>
      </c>
      <c r="W42" s="61" t="s">
        <v>30</v>
      </c>
      <c r="X42" s="61" t="s">
        <v>155</v>
      </c>
      <c r="Y42" s="133">
        <f t="shared" si="23"/>
        <v>1640323344.0529723</v>
      </c>
      <c r="Z42" s="133">
        <f t="shared" si="23"/>
        <v>1479867139.8866038</v>
      </c>
      <c r="AA42" s="133">
        <f t="shared" si="24"/>
        <v>1479867139.8866038</v>
      </c>
      <c r="AB42" s="133">
        <f t="shared" si="24"/>
        <v>1479867139.8866038</v>
      </c>
      <c r="AD42" s="133">
        <v>619528947.40067697</v>
      </c>
      <c r="AE42" s="133">
        <v>514746654.27196497</v>
      </c>
      <c r="AF42" s="133">
        <v>514746654.27196497</v>
      </c>
      <c r="AG42" s="133">
        <v>514746654.27196497</v>
      </c>
    </row>
    <row r="43" spans="2:36" ht="15" customHeight="1">
      <c r="B43" s="61" t="s">
        <v>212</v>
      </c>
      <c r="C43" s="46">
        <f t="shared" si="25"/>
        <v>119.5081081875</v>
      </c>
      <c r="D43" s="46">
        <f t="shared" si="22"/>
        <v>149.3456938125</v>
      </c>
      <c r="E43" s="46">
        <f t="shared" si="8"/>
        <v>111.05731182732494</v>
      </c>
      <c r="F43" s="46">
        <f t="shared" si="9"/>
        <v>138.79029330683551</v>
      </c>
      <c r="G43" s="46">
        <f t="shared" si="10"/>
        <v>110.24089657935349</v>
      </c>
      <c r="H43" s="46">
        <f t="shared" si="11"/>
        <v>137.77000468412589</v>
      </c>
      <c r="I43" s="46">
        <f t="shared" si="12"/>
        <v>113.25057064604962</v>
      </c>
      <c r="J43" s="46">
        <f t="shared" si="13"/>
        <v>141.53124777205699</v>
      </c>
      <c r="K43" s="236"/>
      <c r="L43" s="61" t="s">
        <v>212</v>
      </c>
      <c r="M43" s="103">
        <f t="shared" si="14"/>
        <v>161.47026149999999</v>
      </c>
      <c r="N43" s="103">
        <f t="shared" si="15"/>
        <v>207.99706125</v>
      </c>
      <c r="O43" s="103">
        <f t="shared" si="16"/>
        <v>150.04664664885141</v>
      </c>
      <c r="P43" s="103">
        <f t="shared" si="17"/>
        <v>193.26208213125597</v>
      </c>
      <c r="Q43" s="103">
        <f t="shared" si="18"/>
        <v>148.94360923316486</v>
      </c>
      <c r="R43" s="103">
        <f t="shared" si="19"/>
        <v>191.84135522808731</v>
      </c>
      <c r="S43" s="103">
        <f t="shared" si="20"/>
        <v>153.00990161664981</v>
      </c>
      <c r="T43" s="103">
        <f t="shared" si="21"/>
        <v>197.07879405220106</v>
      </c>
      <c r="AD43" s="444" t="s">
        <v>545</v>
      </c>
      <c r="AE43" s="444"/>
      <c r="AF43" s="444"/>
      <c r="AG43" s="444"/>
    </row>
    <row r="44" spans="2:36" ht="15" customHeight="1">
      <c r="B44" s="61" t="s">
        <v>213</v>
      </c>
      <c r="C44" s="46">
        <f t="shared" si="25"/>
        <v>363.43241699999999</v>
      </c>
      <c r="D44" s="46">
        <f t="shared" si="22"/>
        <v>171.283133625</v>
      </c>
      <c r="E44" s="46">
        <f t="shared" si="8"/>
        <v>337.74938448755142</v>
      </c>
      <c r="F44" s="46">
        <f t="shared" si="9"/>
        <v>159.17374322790872</v>
      </c>
      <c r="G44" s="46">
        <f t="shared" si="10"/>
        <v>335.2664885579494</v>
      </c>
      <c r="H44" s="46">
        <f t="shared" si="11"/>
        <v>158.00360981742233</v>
      </c>
      <c r="I44" s="46">
        <f t="shared" si="12"/>
        <v>344.41956048819088</v>
      </c>
      <c r="J44" s="46">
        <f t="shared" si="13"/>
        <v>162.31724823716763</v>
      </c>
      <c r="K44" s="236"/>
      <c r="L44" s="61" t="s">
        <v>213</v>
      </c>
      <c r="M44" s="103">
        <f t="shared" si="14"/>
        <v>364.45158900000001</v>
      </c>
      <c r="N44" s="103">
        <f t="shared" si="15"/>
        <v>199.01763750000001</v>
      </c>
      <c r="O44" s="103">
        <f t="shared" si="16"/>
        <v>338.67492866669971</v>
      </c>
      <c r="P44" s="103">
        <f t="shared" si="17"/>
        <v>184.91878093346631</v>
      </c>
      <c r="Q44" s="103">
        <f t="shared" si="18"/>
        <v>336.18522878724423</v>
      </c>
      <c r="R44" s="103">
        <f t="shared" si="19"/>
        <v>183.55938811271167</v>
      </c>
      <c r="S44" s="103">
        <f t="shared" si="20"/>
        <v>345.36338313905469</v>
      </c>
      <c r="T44" s="103">
        <f t="shared" si="21"/>
        <v>188.57072190301491</v>
      </c>
      <c r="AD44" s="133">
        <v>666637869.49903595</v>
      </c>
      <c r="AE44" s="133">
        <v>635538904.27659178</v>
      </c>
      <c r="AF44" s="133">
        <v>635538904.27659178</v>
      </c>
      <c r="AG44" s="133">
        <v>635538904.27659178</v>
      </c>
    </row>
    <row r="45" spans="2:36" ht="15" customHeight="1">
      <c r="B45" s="61" t="s">
        <v>214</v>
      </c>
      <c r="C45" s="46">
        <f t="shared" si="25"/>
        <v>182.190578625</v>
      </c>
      <c r="D45" s="46">
        <f t="shared" si="22"/>
        <v>173.11573481250002</v>
      </c>
      <c r="E45" s="46">
        <f t="shared" si="8"/>
        <v>169.31433826698591</v>
      </c>
      <c r="F45" s="46">
        <f t="shared" si="9"/>
        <v>160.87818975685138</v>
      </c>
      <c r="G45" s="46">
        <f t="shared" si="10"/>
        <v>168.0696583338331</v>
      </c>
      <c r="H45" s="46">
        <f t="shared" si="11"/>
        <v>159.69552645425179</v>
      </c>
      <c r="I45" s="46">
        <f t="shared" si="12"/>
        <v>172.65810878898438</v>
      </c>
      <c r="J45" s="46">
        <f t="shared" si="13"/>
        <v>164.05535569594142</v>
      </c>
      <c r="K45" s="236"/>
      <c r="L45" s="61" t="s">
        <v>214</v>
      </c>
      <c r="M45" s="103">
        <f t="shared" si="14"/>
        <v>138.92703656250001</v>
      </c>
      <c r="N45" s="103">
        <f t="shared" si="15"/>
        <v>154.43558625</v>
      </c>
      <c r="O45" s="103">
        <f t="shared" si="16"/>
        <v>129.10137486072367</v>
      </c>
      <c r="P45" s="103">
        <f t="shared" si="17"/>
        <v>143.49502235496686</v>
      </c>
      <c r="Q45" s="103">
        <f t="shared" si="18"/>
        <v>128.15231235204118</v>
      </c>
      <c r="R45" s="103">
        <f t="shared" si="19"/>
        <v>142.44014787321504</v>
      </c>
      <c r="S45" s="103">
        <f t="shared" si="20"/>
        <v>131.65098392530302</v>
      </c>
      <c r="T45" s="103">
        <f t="shared" si="21"/>
        <v>146.32889000442398</v>
      </c>
      <c r="AD45" s="133">
        <v>988791092.62492895</v>
      </c>
      <c r="AE45" s="133">
        <v>948523863.65831208</v>
      </c>
      <c r="AF45" s="133">
        <v>948523863.65831208</v>
      </c>
      <c r="AG45" s="133">
        <v>948523863.65831208</v>
      </c>
    </row>
    <row r="46" spans="2:36" ht="15.75">
      <c r="B46" s="61" t="s">
        <v>215</v>
      </c>
      <c r="C46" s="46">
        <f t="shared" si="25"/>
        <v>153.52686281250001</v>
      </c>
      <c r="D46" s="46">
        <f t="shared" si="22"/>
        <v>150.41615568750001</v>
      </c>
      <c r="E46" s="46">
        <f t="shared" si="8"/>
        <v>142.6610233811486</v>
      </c>
      <c r="F46" s="46">
        <f t="shared" si="9"/>
        <v>139.76489483815078</v>
      </c>
      <c r="G46" s="46">
        <f t="shared" si="10"/>
        <v>141.61227987328598</v>
      </c>
      <c r="H46" s="46">
        <f t="shared" si="11"/>
        <v>138.73744163043756</v>
      </c>
      <c r="I46" s="46">
        <f t="shared" si="12"/>
        <v>145.47842047523176</v>
      </c>
      <c r="J46" s="46">
        <f t="shared" si="13"/>
        <v>142.52509660342059</v>
      </c>
      <c r="K46" s="236"/>
      <c r="L46" s="61" t="s">
        <v>215</v>
      </c>
      <c r="M46" s="103">
        <f t="shared" si="14"/>
        <v>159.8772075</v>
      </c>
      <c r="N46" s="103">
        <f t="shared" si="15"/>
        <v>174.96748500000001</v>
      </c>
      <c r="O46" s="103">
        <f t="shared" si="16"/>
        <v>148.55460523691667</v>
      </c>
      <c r="P46" s="103">
        <f t="shared" si="17"/>
        <v>162.57239526921103</v>
      </c>
      <c r="Q46" s="103">
        <f t="shared" si="18"/>
        <v>147.4625362603114</v>
      </c>
      <c r="R46" s="103">
        <f t="shared" si="19"/>
        <v>161.3772773592494</v>
      </c>
      <c r="S46" s="103">
        <f t="shared" si="20"/>
        <v>151.48839404052666</v>
      </c>
      <c r="T46" s="103">
        <f t="shared" si="21"/>
        <v>165.78301988940518</v>
      </c>
      <c r="AD46" s="133">
        <v>725545886.24116707</v>
      </c>
      <c r="AE46" s="133">
        <v>563528259.63518822</v>
      </c>
      <c r="AF46" s="133">
        <v>563528259.63518822</v>
      </c>
      <c r="AG46" s="133">
        <v>563528259.63518822</v>
      </c>
      <c r="AJ46" s="38"/>
    </row>
    <row r="47" spans="2:36" ht="15.75">
      <c r="B47" s="61" t="s">
        <v>216</v>
      </c>
      <c r="C47" s="46">
        <f>IF(I31&lt;Q31,C$22*I31+C$23*(Q31-I31),C31*Q31)</f>
        <v>93.6642624375</v>
      </c>
      <c r="D47" s="46">
        <f t="shared" si="22"/>
        <v>94.520250000000004</v>
      </c>
      <c r="E47" s="46">
        <f t="shared" si="8"/>
        <v>87.038663015310505</v>
      </c>
      <c r="F47" s="46">
        <f t="shared" si="9"/>
        <v>87.8242231346278</v>
      </c>
      <c r="G47" s="46">
        <f t="shared" si="10"/>
        <v>86.398815980661993</v>
      </c>
      <c r="H47" s="46">
        <f t="shared" si="11"/>
        <v>87.17860121448048</v>
      </c>
      <c r="I47" s="46">
        <f t="shared" si="12"/>
        <v>88.757580140957742</v>
      </c>
      <c r="J47" s="46">
        <f t="shared" si="13"/>
        <v>89.558654201959584</v>
      </c>
      <c r="K47" s="236"/>
      <c r="L47" s="61" t="s">
        <v>216</v>
      </c>
      <c r="M47" s="103">
        <f t="shared" si="14"/>
        <v>88.859577937500006</v>
      </c>
      <c r="N47" s="103">
        <f t="shared" si="15"/>
        <v>85.540826250000009</v>
      </c>
      <c r="O47" s="103">
        <f t="shared" si="16"/>
        <v>82.566279072091874</v>
      </c>
      <c r="P47" s="103">
        <f t="shared" si="17"/>
        <v>79.480921936838158</v>
      </c>
      <c r="Q47" s="103">
        <f t="shared" si="18"/>
        <v>81.959309858686723</v>
      </c>
      <c r="R47" s="103">
        <f t="shared" si="19"/>
        <v>78.89663409910483</v>
      </c>
      <c r="S47" s="103">
        <f t="shared" si="20"/>
        <v>84.196871571806895</v>
      </c>
      <c r="T47" s="103">
        <f t="shared" si="21"/>
        <v>81.050582052773422</v>
      </c>
      <c r="AD47" s="133">
        <v>1020794396.6522952</v>
      </c>
      <c r="AE47" s="133">
        <v>965120485.61463881</v>
      </c>
      <c r="AF47" s="133">
        <v>965120485.61463881</v>
      </c>
      <c r="AG47" s="133">
        <v>965120485.61463881</v>
      </c>
    </row>
    <row r="48" spans="2:36" s="48" customFormat="1">
      <c r="B48" s="61" t="s">
        <v>206</v>
      </c>
      <c r="C48" s="104">
        <f t="shared" ref="C48:J48" si="26">SUMPRODUCT(C38:C47,$U$22:$U$31)</f>
        <v>285.28772596749945</v>
      </c>
      <c r="D48" s="104">
        <f t="shared" si="26"/>
        <v>180.92162173057432</v>
      </c>
      <c r="E48" s="104">
        <f t="shared" si="26"/>
        <v>265.12628822543587</v>
      </c>
      <c r="F48" s="104">
        <f t="shared" si="26"/>
        <v>168.13272961916059</v>
      </c>
      <c r="G48" s="104">
        <f t="shared" si="26"/>
        <v>263.17726622243742</v>
      </c>
      <c r="H48" s="104">
        <f t="shared" si="26"/>
        <v>166.89673604174021</v>
      </c>
      <c r="I48" s="104">
        <f t="shared" si="26"/>
        <v>270.36223856637599</v>
      </c>
      <c r="J48" s="104">
        <f t="shared" si="26"/>
        <v>171.45316467999504</v>
      </c>
      <c r="L48" s="61" t="s">
        <v>206</v>
      </c>
      <c r="M48" s="145">
        <f t="shared" ref="M48:T48" si="27">SUMPRODUCT(M38:M47,$AC$22:$AC$31)</f>
        <v>267.18496166515718</v>
      </c>
      <c r="N48" s="145">
        <f t="shared" si="27"/>
        <v>225.01582380574106</v>
      </c>
      <c r="O48" s="145">
        <f t="shared" si="27"/>
        <v>248.28871237792072</v>
      </c>
      <c r="P48" s="145">
        <f t="shared" si="27"/>
        <v>209.07519731208387</v>
      </c>
      <c r="Q48" s="145">
        <f t="shared" si="27"/>
        <v>246.46346839038657</v>
      </c>
      <c r="R48" s="145">
        <f t="shared" si="27"/>
        <v>207.53822350775101</v>
      </c>
      <c r="S48" s="145">
        <f t="shared" si="27"/>
        <v>253.19213925772286</v>
      </c>
      <c r="T48" s="145">
        <f t="shared" si="27"/>
        <v>213.20420073145627</v>
      </c>
      <c r="AD48" s="444" t="s">
        <v>546</v>
      </c>
      <c r="AE48" s="444"/>
      <c r="AF48" s="444"/>
      <c r="AG48" s="444"/>
    </row>
    <row r="49" spans="2:33">
      <c r="B49" s="39"/>
      <c r="C49" s="46"/>
      <c r="D49" s="46"/>
      <c r="E49" s="47"/>
      <c r="F49" s="182"/>
      <c r="G49" s="183"/>
      <c r="H49" s="184"/>
      <c r="I49" s="184"/>
      <c r="J49" s="184"/>
      <c r="L49" s="39"/>
      <c r="M49" s="103"/>
      <c r="N49" s="103"/>
      <c r="O49" s="146"/>
      <c r="P49" s="182"/>
      <c r="Q49" s="183"/>
      <c r="R49" s="184"/>
      <c r="S49" s="184"/>
      <c r="T49" s="184"/>
      <c r="W49" s="61" t="s">
        <v>222</v>
      </c>
      <c r="Y49" s="61">
        <f>Y38</f>
        <v>2024</v>
      </c>
      <c r="Z49" s="61">
        <f>Z38</f>
        <v>2025</v>
      </c>
      <c r="AA49" s="61">
        <f>AA38</f>
        <v>2026</v>
      </c>
      <c r="AB49" s="61">
        <f>AB38</f>
        <v>2027</v>
      </c>
      <c r="AD49" s="154">
        <v>2024</v>
      </c>
      <c r="AE49" s="154">
        <v>2025</v>
      </c>
      <c r="AF49" s="154">
        <v>2026</v>
      </c>
      <c r="AG49" s="154">
        <v>2027</v>
      </c>
    </row>
    <row r="50" spans="2:33" ht="15.75">
      <c r="B50" s="39"/>
      <c r="C50" s="46"/>
      <c r="D50" s="46"/>
      <c r="E50" s="47"/>
      <c r="F50" s="46"/>
      <c r="G50" s="143"/>
      <c r="H50" s="184"/>
      <c r="I50" s="184"/>
      <c r="J50" s="184"/>
      <c r="L50" s="39"/>
      <c r="M50" s="103"/>
      <c r="N50" s="103"/>
      <c r="O50" s="146"/>
      <c r="P50" s="103"/>
      <c r="Q50" s="167"/>
      <c r="R50" s="184"/>
      <c r="S50" s="184"/>
      <c r="T50" s="184"/>
      <c r="W50" s="61" t="s">
        <v>29</v>
      </c>
      <c r="X50" s="61" t="s">
        <v>154</v>
      </c>
      <c r="Y50" s="133">
        <f t="shared" ref="Y50:Z53" si="28">SUM(AD50,AD55)</f>
        <v>1302723574.1165709</v>
      </c>
      <c r="Z50" s="133">
        <f t="shared" si="28"/>
        <v>923994538.98150408</v>
      </c>
      <c r="AA50" s="133">
        <f t="shared" ref="AA50:AB53" si="29">$Z50</f>
        <v>923994538.98150408</v>
      </c>
      <c r="AB50" s="133">
        <f t="shared" si="29"/>
        <v>923994538.98150408</v>
      </c>
      <c r="AD50" s="133">
        <v>1091022651.9789181</v>
      </c>
      <c r="AE50" s="133">
        <v>706805850.54306102</v>
      </c>
      <c r="AF50" s="133">
        <v>706805850.54306102</v>
      </c>
      <c r="AG50" s="133">
        <v>706805850.54306102</v>
      </c>
    </row>
    <row r="51" spans="2:33" ht="15.75">
      <c r="B51" s="39"/>
      <c r="C51" s="444" t="s">
        <v>255</v>
      </c>
      <c r="D51" s="444"/>
      <c r="E51" s="444"/>
      <c r="F51" s="444"/>
      <c r="G51" s="444"/>
      <c r="H51" s="444"/>
      <c r="I51" s="444"/>
      <c r="J51" s="444"/>
      <c r="L51" s="39"/>
      <c r="M51" s="444" t="s">
        <v>261</v>
      </c>
      <c r="N51" s="444"/>
      <c r="O51" s="444"/>
      <c r="P51" s="444"/>
      <c r="Q51" s="444"/>
      <c r="R51" s="444"/>
      <c r="S51" s="444"/>
      <c r="T51" s="444"/>
      <c r="W51" s="61" t="s">
        <v>29</v>
      </c>
      <c r="X51" s="61" t="s">
        <v>155</v>
      </c>
      <c r="Y51" s="133">
        <f t="shared" si="28"/>
        <v>1671858631.647109</v>
      </c>
      <c r="Z51" s="133">
        <f t="shared" si="28"/>
        <v>1483945759.7257371</v>
      </c>
      <c r="AA51" s="133">
        <f t="shared" si="29"/>
        <v>1483945759.7257371</v>
      </c>
      <c r="AB51" s="133">
        <f t="shared" si="29"/>
        <v>1483945759.7257371</v>
      </c>
      <c r="AD51" s="133">
        <v>1386517282.424624</v>
      </c>
      <c r="AE51" s="133">
        <v>1216578274.9210391</v>
      </c>
      <c r="AF51" s="133">
        <v>1216578274.9210391</v>
      </c>
      <c r="AG51" s="133">
        <v>1216578274.9210391</v>
      </c>
    </row>
    <row r="52" spans="2:33" ht="15.75">
      <c r="B52" s="39"/>
      <c r="C52" s="449">
        <f>$C$27</f>
        <v>45292</v>
      </c>
      <c r="D52" s="450"/>
      <c r="E52" s="449">
        <f>$D$27</f>
        <v>45536</v>
      </c>
      <c r="F52" s="450"/>
      <c r="G52" s="451" t="str">
        <f>$E$21</f>
        <v>Authorized</v>
      </c>
      <c r="H52" s="451"/>
      <c r="I52" s="452" t="str">
        <f>$F$21</f>
        <v>w/Pending</v>
      </c>
      <c r="J52" s="451"/>
      <c r="L52" s="39"/>
      <c r="M52" s="445">
        <f>$C$27</f>
        <v>45292</v>
      </c>
      <c r="N52" s="446"/>
      <c r="O52" s="445">
        <f>$D$27</f>
        <v>45536</v>
      </c>
      <c r="P52" s="446"/>
      <c r="Q52" s="447" t="str">
        <f>$E$21</f>
        <v>Authorized</v>
      </c>
      <c r="R52" s="447"/>
      <c r="S52" s="448" t="str">
        <f>$F$21</f>
        <v>w/Pending</v>
      </c>
      <c r="T52" s="447"/>
      <c r="W52" s="61" t="s">
        <v>30</v>
      </c>
      <c r="X52" s="61" t="s">
        <v>154</v>
      </c>
      <c r="Y52" s="133">
        <f t="shared" si="28"/>
        <v>1052520221.993717</v>
      </c>
      <c r="Z52" s="133">
        <f t="shared" si="28"/>
        <v>555087635.79849398</v>
      </c>
      <c r="AA52" s="133">
        <f t="shared" si="29"/>
        <v>555087635.79849398</v>
      </c>
      <c r="AB52" s="133">
        <f t="shared" si="29"/>
        <v>555087635.79849398</v>
      </c>
      <c r="AD52" s="133">
        <v>852270672.14977789</v>
      </c>
      <c r="AE52" s="133">
        <v>405838659.89050603</v>
      </c>
      <c r="AF52" s="133">
        <v>405838659.89050603</v>
      </c>
      <c r="AG52" s="133">
        <v>405838659.89050603</v>
      </c>
    </row>
    <row r="53" spans="2:33" ht="15.75">
      <c r="B53" s="39"/>
      <c r="C53" s="103" t="s">
        <v>154</v>
      </c>
      <c r="D53" s="103" t="s">
        <v>155</v>
      </c>
      <c r="E53" s="103" t="s">
        <v>154</v>
      </c>
      <c r="F53" s="103" t="s">
        <v>155</v>
      </c>
      <c r="G53" s="103" t="s">
        <v>154</v>
      </c>
      <c r="H53" s="103" t="s">
        <v>155</v>
      </c>
      <c r="I53" s="103" t="s">
        <v>154</v>
      </c>
      <c r="J53" s="103" t="s">
        <v>155</v>
      </c>
      <c r="L53" s="39"/>
      <c r="M53" s="103" t="s">
        <v>154</v>
      </c>
      <c r="N53" s="103" t="s">
        <v>155</v>
      </c>
      <c r="O53" s="103" t="s">
        <v>154</v>
      </c>
      <c r="P53" s="103" t="s">
        <v>155</v>
      </c>
      <c r="Q53" s="103" t="s">
        <v>154</v>
      </c>
      <c r="R53" s="103" t="s">
        <v>155</v>
      </c>
      <c r="S53" s="103" t="s">
        <v>154</v>
      </c>
      <c r="T53" s="103" t="s">
        <v>155</v>
      </c>
      <c r="W53" s="61" t="s">
        <v>30</v>
      </c>
      <c r="X53" s="61" t="s">
        <v>155</v>
      </c>
      <c r="Y53" s="133">
        <f t="shared" si="28"/>
        <v>899795983.8293581</v>
      </c>
      <c r="Z53" s="133">
        <f t="shared" si="28"/>
        <v>794977643.9146831</v>
      </c>
      <c r="AA53" s="133">
        <f t="shared" si="29"/>
        <v>794977643.9146831</v>
      </c>
      <c r="AB53" s="133">
        <f t="shared" si="29"/>
        <v>794977643.9146831</v>
      </c>
      <c r="AD53" s="133">
        <v>669891649.15502203</v>
      </c>
      <c r="AE53" s="133">
        <v>481639105.06351298</v>
      </c>
      <c r="AF53" s="133">
        <v>481639105.06351298</v>
      </c>
      <c r="AG53" s="133">
        <v>481639105.06351298</v>
      </c>
    </row>
    <row r="54" spans="2:33">
      <c r="B54" s="61" t="s">
        <v>207</v>
      </c>
      <c r="C54" s="103">
        <f t="shared" ref="C54:C63" si="30">IF(I22&lt;S22,$C$28*I22+$C$29*(S22-I22),$C$28*S22)</f>
        <v>161.7270665625</v>
      </c>
      <c r="D54" s="103">
        <f t="shared" ref="D54:D63" si="31">IF(J22&lt;T22,$C$28*J22+$C$29*(T22-J22),$C$28*T22)</f>
        <v>155.415318125</v>
      </c>
      <c r="E54" s="103">
        <f t="shared" ref="E54:E63" si="32">IF(I22&lt;S22,$D$28*I22+$D$29*(S22-I22),$D$28*S22)</f>
        <v>150.2989640669972</v>
      </c>
      <c r="F54" s="103">
        <f t="shared" ref="F54:F63" si="33">IF(J22&lt;T22,$D$28*J22+$D$29*(T22-J22),$D$28*T22)</f>
        <v>144.44230692499514</v>
      </c>
      <c r="G54" s="103">
        <f t="shared" ref="G54:G63" si="34">IF(I22&lt;S22,$E$28*I22+$E$29*(S22-I22),$E$28*S22)</f>
        <v>149.19407179111175</v>
      </c>
      <c r="H54" s="103">
        <f t="shared" ref="H54:H63" si="35">IF(J22&lt;T22,$E$28*J22+$E$29*(T22-J22),$E$28*T22)</f>
        <v>143.38046867332656</v>
      </c>
      <c r="I54" s="103">
        <f t="shared" ref="I54:I63" si="36">IF(I22&lt;S22,$F$28*I22+$F$29*(S22-I22),$F$28*S22)</f>
        <v>153.26720202414913</v>
      </c>
      <c r="J54" s="103">
        <f t="shared" ref="J54:J63" si="37">IF(J22&lt;T22,$F$28*J22+$F$29*(T22-J22),$F$28*T22)</f>
        <v>147.29488239479176</v>
      </c>
      <c r="L54" s="61" t="s">
        <v>207</v>
      </c>
      <c r="M54" s="103">
        <f t="shared" ref="M54:M63" si="38">IF(M22&lt;AA22,$C$28*M22+$C$29*(AA22-M22),$C$28*AA22)</f>
        <v>194.57226799999998</v>
      </c>
      <c r="N54" s="103">
        <f t="shared" ref="N54:N63" si="39">IF(N22&lt;AB22,$C$28*N22+$C$29*(AB22-N22),$C$28*AB22)</f>
        <v>212.65805999999998</v>
      </c>
      <c r="O54" s="103">
        <f t="shared" ref="O54:O63" si="40">IF(M22&lt;AA22,$D$28*M22+$D$29*(AA22-M22),$D$28*AA22)</f>
        <v>180.82802491295766</v>
      </c>
      <c r="P54" s="103">
        <f t="shared" ref="P54:P63" si="41">IF(N22&lt;AB22,$D$28*N22+$D$29*(AB22-N22),$D$28*AB22)</f>
        <v>197.59497590351984</v>
      </c>
      <c r="Q54" s="103">
        <f t="shared" ref="Q54:Q63" si="42">IF(M22&lt;AA22,$E$28*M22+$E$29*(AA22-M22),$E$28*AA22)</f>
        <v>179.4987044533643</v>
      </c>
      <c r="R54" s="103">
        <f t="shared" ref="R54:R63" si="43">IF(N22&lt;AB22,$E$28*N22+$E$29*(AB22-N22),$E$28*AB22)</f>
        <v>196.14239661273876</v>
      </c>
      <c r="S54" s="103">
        <f t="shared" ref="S54:S63" si="44">IF(M22&lt;AA22,$F$28*M22+$F$29*(AA22-M22),$F$28*AA22)</f>
        <v>184.39917798507196</v>
      </c>
      <c r="T54" s="103">
        <f t="shared" ref="T54:T63" si="45">IF(N22&lt;AB22,$F$28*N22+$F$29*(AB22-N22),$F$28*AB22)</f>
        <v>201.49725767412411</v>
      </c>
      <c r="AD54" s="444" t="s">
        <v>547</v>
      </c>
      <c r="AE54" s="444"/>
      <c r="AF54" s="444"/>
      <c r="AG54" s="444"/>
    </row>
    <row r="55" spans="2:33" ht="15.75">
      <c r="B55" s="61" t="s">
        <v>208</v>
      </c>
      <c r="C55" s="103">
        <f t="shared" si="30"/>
        <v>108.79546637499999</v>
      </c>
      <c r="D55" s="103">
        <f t="shared" si="31"/>
        <v>142.59969312499999</v>
      </c>
      <c r="E55" s="103">
        <f t="shared" si="32"/>
        <v>101.10435613659658</v>
      </c>
      <c r="F55" s="103">
        <f t="shared" si="33"/>
        <v>132.52734552939413</v>
      </c>
      <c r="G55" s="103">
        <f t="shared" si="34"/>
        <v>100.36110801877255</v>
      </c>
      <c r="H55" s="103">
        <f t="shared" si="35"/>
        <v>131.55309769390169</v>
      </c>
      <c r="I55" s="103">
        <f t="shared" si="36"/>
        <v>103.1010551117424</v>
      </c>
      <c r="J55" s="103">
        <f t="shared" si="37"/>
        <v>135.14461371752074</v>
      </c>
      <c r="L55" s="61" t="s">
        <v>208</v>
      </c>
      <c r="M55" s="103">
        <f t="shared" si="38"/>
        <v>154.6570071875</v>
      </c>
      <c r="N55" s="103">
        <f t="shared" si="39"/>
        <v>190.74017999999998</v>
      </c>
      <c r="O55" s="103">
        <f t="shared" si="40"/>
        <v>143.74879972108684</v>
      </c>
      <c r="P55" s="103">
        <f t="shared" si="41"/>
        <v>177.22959228976808</v>
      </c>
      <c r="Q55" s="103">
        <f t="shared" si="42"/>
        <v>142.69205964662544</v>
      </c>
      <c r="R55" s="103">
        <f t="shared" si="43"/>
        <v>175.92672497597874</v>
      </c>
      <c r="S55" s="103">
        <f t="shared" si="44"/>
        <v>146.58767919225181</v>
      </c>
      <c r="T55" s="103">
        <f t="shared" si="45"/>
        <v>180.72968030588078</v>
      </c>
      <c r="AD55" s="133">
        <v>211700922.13765299</v>
      </c>
      <c r="AE55" s="133">
        <v>217188688.43844306</v>
      </c>
      <c r="AF55" s="133">
        <v>217188688.43844306</v>
      </c>
      <c r="AG55" s="133">
        <v>217188688.43844306</v>
      </c>
    </row>
    <row r="56" spans="2:33" ht="15.75">
      <c r="B56" s="61" t="s">
        <v>209</v>
      </c>
      <c r="C56" s="103">
        <f t="shared" si="30"/>
        <v>241.12507893749998</v>
      </c>
      <c r="D56" s="103">
        <f t="shared" si="31"/>
        <v>133.08792349999999</v>
      </c>
      <c r="E56" s="103">
        <f t="shared" si="32"/>
        <v>224.09766083714689</v>
      </c>
      <c r="F56" s="103">
        <f t="shared" si="33"/>
        <v>123.68681190445861</v>
      </c>
      <c r="G56" s="103">
        <f t="shared" si="34"/>
        <v>222.45025244654357</v>
      </c>
      <c r="H56" s="103">
        <f t="shared" si="35"/>
        <v>122.77755345447213</v>
      </c>
      <c r="I56" s="103">
        <f t="shared" si="36"/>
        <v>228.52334126106035</v>
      </c>
      <c r="J56" s="103">
        <f t="shared" si="37"/>
        <v>126.12948935185787</v>
      </c>
      <c r="L56" s="61" t="s">
        <v>209</v>
      </c>
      <c r="M56" s="103">
        <f t="shared" si="38"/>
        <v>242.59550506249997</v>
      </c>
      <c r="N56" s="103">
        <f t="shared" si="39"/>
        <v>183.29765999999998</v>
      </c>
      <c r="O56" s="103">
        <f t="shared" si="40"/>
        <v>225.45461809071054</v>
      </c>
      <c r="P56" s="103">
        <f t="shared" si="41"/>
        <v>170.31424395986483</v>
      </c>
      <c r="Q56" s="103">
        <f t="shared" si="42"/>
        <v>223.79723430475119</v>
      </c>
      <c r="R56" s="103">
        <f t="shared" si="43"/>
        <v>169.06221342330943</v>
      </c>
      <c r="S56" s="103">
        <f t="shared" si="44"/>
        <v>229.90709691640444</v>
      </c>
      <c r="T56" s="103">
        <f t="shared" si="45"/>
        <v>173.67776151105673</v>
      </c>
      <c r="AD56" s="133">
        <v>285341349.22248495</v>
      </c>
      <c r="AE56" s="133">
        <v>267367484.8046979</v>
      </c>
      <c r="AF56" s="133">
        <v>267367484.8046979</v>
      </c>
      <c r="AG56" s="133">
        <v>267367484.8046979</v>
      </c>
    </row>
    <row r="57" spans="2:33" ht="15.75">
      <c r="B57" s="61" t="s">
        <v>210</v>
      </c>
      <c r="C57" s="103">
        <f t="shared" si="30"/>
        <v>199.85999062499997</v>
      </c>
      <c r="D57" s="103">
        <f t="shared" si="31"/>
        <v>130.558114875</v>
      </c>
      <c r="E57" s="103">
        <f t="shared" si="32"/>
        <v>185.74505489240914</v>
      </c>
      <c r="F57" s="103">
        <f t="shared" si="33"/>
        <v>121.33571543259347</v>
      </c>
      <c r="G57" s="103">
        <f t="shared" si="34"/>
        <v>184.3795878866415</v>
      </c>
      <c r="H57" s="103">
        <f t="shared" si="35"/>
        <v>120.44374059030019</v>
      </c>
      <c r="I57" s="103">
        <f t="shared" si="36"/>
        <v>189.41331385684987</v>
      </c>
      <c r="J57" s="103">
        <f t="shared" si="37"/>
        <v>123.73196133050044</v>
      </c>
      <c r="L57" s="61" t="s">
        <v>210</v>
      </c>
      <c r="M57" s="103">
        <f t="shared" si="38"/>
        <v>193.32749887499997</v>
      </c>
      <c r="N57" s="103">
        <f t="shared" si="39"/>
        <v>165.47657999999998</v>
      </c>
      <c r="O57" s="103">
        <f t="shared" si="40"/>
        <v>179.65876519692026</v>
      </c>
      <c r="P57" s="103">
        <f t="shared" si="41"/>
        <v>153.75547410569285</v>
      </c>
      <c r="Q57" s="103">
        <f t="shared" si="42"/>
        <v>178.33804031239805</v>
      </c>
      <c r="R57" s="103">
        <f t="shared" si="43"/>
        <v>152.62517199902791</v>
      </c>
      <c r="S57" s="103">
        <f t="shared" si="44"/>
        <v>183.20682668558649</v>
      </c>
      <c r="T57" s="103">
        <f t="shared" si="45"/>
        <v>156.79197430510186</v>
      </c>
      <c r="AD57" s="133">
        <v>200249549.84393901</v>
      </c>
      <c r="AE57" s="133">
        <v>149248975.90798795</v>
      </c>
      <c r="AF57" s="133">
        <v>149248975.90798795</v>
      </c>
      <c r="AG57" s="133">
        <v>149248975.90798795</v>
      </c>
    </row>
    <row r="58" spans="2:33" ht="15.75">
      <c r="B58" s="61" t="s">
        <v>211</v>
      </c>
      <c r="C58" s="103">
        <f t="shared" si="30"/>
        <v>74.251733437499993</v>
      </c>
      <c r="D58" s="103">
        <f t="shared" si="31"/>
        <v>90.574589062499996</v>
      </c>
      <c r="E58" s="103">
        <f t="shared" si="32"/>
        <v>69.003501001351253</v>
      </c>
      <c r="F58" s="103">
        <f t="shared" si="33"/>
        <v>84.174605627415843</v>
      </c>
      <c r="G58" s="103">
        <f t="shared" si="34"/>
        <v>68.4962357933791</v>
      </c>
      <c r="H58" s="103">
        <f t="shared" si="35"/>
        <v>83.555813128340617</v>
      </c>
      <c r="I58" s="103">
        <f t="shared" si="36"/>
        <v>70.366243666412345</v>
      </c>
      <c r="J58" s="103">
        <f t="shared" si="37"/>
        <v>85.836960794017102</v>
      </c>
      <c r="L58" s="61" t="s">
        <v>211</v>
      </c>
      <c r="M58" s="103">
        <f t="shared" si="38"/>
        <v>69.580878062500005</v>
      </c>
      <c r="N58" s="103">
        <f t="shared" si="39"/>
        <v>92.143859999999989</v>
      </c>
      <c r="O58" s="103">
        <f t="shared" si="40"/>
        <v>64.658144015154988</v>
      </c>
      <c r="P58" s="103">
        <f t="shared" si="41"/>
        <v>85.617087809214979</v>
      </c>
      <c r="Q58" s="103">
        <f t="shared" si="42"/>
        <v>64.182822815578476</v>
      </c>
      <c r="R58" s="103">
        <f t="shared" si="43"/>
        <v>84.987691195662535</v>
      </c>
      <c r="S58" s="103">
        <f t="shared" si="44"/>
        <v>65.93507069589532</v>
      </c>
      <c r="T58" s="103">
        <f t="shared" si="45"/>
        <v>87.307930400138218</v>
      </c>
      <c r="AD58" s="133">
        <v>229904334.67433605</v>
      </c>
      <c r="AE58" s="133">
        <v>313338538.85117012</v>
      </c>
      <c r="AF58" s="133">
        <v>313338538.85117012</v>
      </c>
      <c r="AG58" s="133">
        <v>313338538.85117012</v>
      </c>
    </row>
    <row r="59" spans="2:33">
      <c r="B59" s="61" t="s">
        <v>212</v>
      </c>
      <c r="C59" s="103">
        <f t="shared" si="30"/>
        <v>82.225628062499993</v>
      </c>
      <c r="D59" s="103">
        <f t="shared" si="31"/>
        <v>104.48638993750001</v>
      </c>
      <c r="E59" s="103">
        <f t="shared" si="32"/>
        <v>76.414239258814661</v>
      </c>
      <c r="F59" s="103">
        <f t="shared" si="33"/>
        <v>97.105942664841052</v>
      </c>
      <c r="G59" s="103">
        <f t="shared" si="34"/>
        <v>75.852495515277667</v>
      </c>
      <c r="H59" s="103">
        <f t="shared" si="35"/>
        <v>96.392088070706052</v>
      </c>
      <c r="I59" s="103">
        <f t="shared" si="36"/>
        <v>77.92333579080271</v>
      </c>
      <c r="J59" s="103">
        <f t="shared" si="37"/>
        <v>99.023677405543026</v>
      </c>
      <c r="L59" s="61" t="s">
        <v>212</v>
      </c>
      <c r="M59" s="103">
        <f t="shared" si="38"/>
        <v>116.427611</v>
      </c>
      <c r="N59" s="103">
        <f t="shared" si="39"/>
        <v>155.67839999999998</v>
      </c>
      <c r="O59" s="103">
        <f t="shared" si="40"/>
        <v>108.19736209017729</v>
      </c>
      <c r="P59" s="103">
        <f t="shared" si="41"/>
        <v>144.65132286403121</v>
      </c>
      <c r="Q59" s="103">
        <f t="shared" si="42"/>
        <v>107.40197118121981</v>
      </c>
      <c r="R59" s="103">
        <f t="shared" si="43"/>
        <v>143.58794807418346</v>
      </c>
      <c r="S59" s="103">
        <f t="shared" si="44"/>
        <v>110.33414007140554</v>
      </c>
      <c r="T59" s="103">
        <f t="shared" si="45"/>
        <v>147.50802616696194</v>
      </c>
    </row>
    <row r="60" spans="2:33">
      <c r="B60" s="61" t="s">
        <v>213</v>
      </c>
      <c r="C60" s="103">
        <f t="shared" si="30"/>
        <v>258.923878</v>
      </c>
      <c r="D60" s="103">
        <f t="shared" si="31"/>
        <v>124.17421637499999</v>
      </c>
      <c r="E60" s="103">
        <f t="shared" si="32"/>
        <v>240.63867958153855</v>
      </c>
      <c r="F60" s="103">
        <f t="shared" si="33"/>
        <v>115.40230981131779</v>
      </c>
      <c r="G60" s="103">
        <f t="shared" si="34"/>
        <v>238.8696732547192</v>
      </c>
      <c r="H60" s="103">
        <f t="shared" si="35"/>
        <v>114.5539531940824</v>
      </c>
      <c r="I60" s="103">
        <f t="shared" si="36"/>
        <v>245.39102679249106</v>
      </c>
      <c r="J60" s="103">
        <f t="shared" si="37"/>
        <v>117.68137752446762</v>
      </c>
      <c r="L60" s="61" t="s">
        <v>213</v>
      </c>
      <c r="M60" s="103">
        <f t="shared" si="38"/>
        <v>258.21994099999995</v>
      </c>
      <c r="N60" s="103">
        <f t="shared" si="39"/>
        <v>138.88151999999999</v>
      </c>
      <c r="O60" s="103">
        <f t="shared" si="40"/>
        <v>239.96948051351598</v>
      </c>
      <c r="P60" s="103">
        <f t="shared" si="41"/>
        <v>129.04420644975417</v>
      </c>
      <c r="Q60" s="103">
        <f t="shared" si="42"/>
        <v>238.20539366758513</v>
      </c>
      <c r="R60" s="103">
        <f t="shared" si="43"/>
        <v>128.09556420302158</v>
      </c>
      <c r="S60" s="103">
        <f t="shared" si="44"/>
        <v>244.70861178457875</v>
      </c>
      <c r="T60" s="103">
        <f t="shared" si="45"/>
        <v>131.59268650157921</v>
      </c>
    </row>
    <row r="61" spans="2:33">
      <c r="B61" s="61" t="s">
        <v>214</v>
      </c>
      <c r="C61" s="103">
        <f t="shared" si="30"/>
        <v>109.30809137499999</v>
      </c>
      <c r="D61" s="103">
        <f t="shared" si="31"/>
        <v>110.07232768749999</v>
      </c>
      <c r="E61" s="103">
        <f t="shared" si="32"/>
        <v>101.58095459242061</v>
      </c>
      <c r="F61" s="103">
        <f t="shared" si="33"/>
        <v>102.29194191079155</v>
      </c>
      <c r="G61" s="103">
        <f t="shared" si="34"/>
        <v>100.83420285794955</v>
      </c>
      <c r="H61" s="103">
        <f t="shared" si="35"/>
        <v>101.53996349760585</v>
      </c>
      <c r="I61" s="103">
        <f t="shared" si="36"/>
        <v>103.58706585883324</v>
      </c>
      <c r="J61" s="103">
        <f t="shared" si="37"/>
        <v>104.31209438872244</v>
      </c>
      <c r="L61" s="61" t="s">
        <v>214</v>
      </c>
      <c r="M61" s="103">
        <f t="shared" si="38"/>
        <v>91.518694687500002</v>
      </c>
      <c r="N61" s="103">
        <f t="shared" si="39"/>
        <v>107.74583999999999</v>
      </c>
      <c r="O61" s="103">
        <f t="shared" si="40"/>
        <v>85.047756578759206</v>
      </c>
      <c r="P61" s="103">
        <f t="shared" si="41"/>
        <v>100.11394187694793</v>
      </c>
      <c r="Q61" s="103">
        <f t="shared" si="42"/>
        <v>84.422545287992307</v>
      </c>
      <c r="R61" s="103">
        <f t="shared" si="43"/>
        <v>99.37797458818487</v>
      </c>
      <c r="S61" s="103">
        <f t="shared" si="44"/>
        <v>86.727355508896622</v>
      </c>
      <c r="T61" s="103">
        <f t="shared" si="45"/>
        <v>102.09108126818681</v>
      </c>
    </row>
    <row r="62" spans="2:33">
      <c r="B62" s="61" t="s">
        <v>215</v>
      </c>
      <c r="C62" s="103">
        <f t="shared" si="30"/>
        <v>142.61890593749999</v>
      </c>
      <c r="D62" s="103">
        <f t="shared" si="31"/>
        <v>160.80258181249999</v>
      </c>
      <c r="E62" s="103">
        <f t="shared" si="32"/>
        <v>132.54751024055381</v>
      </c>
      <c r="F62" s="103">
        <f t="shared" si="33"/>
        <v>149.45050107651269</v>
      </c>
      <c r="G62" s="103">
        <f t="shared" si="34"/>
        <v>131.57311416828713</v>
      </c>
      <c r="H62" s="103">
        <f t="shared" si="35"/>
        <v>148.35184610379417</v>
      </c>
      <c r="I62" s="103">
        <f t="shared" si="36"/>
        <v>135.16517665937636</v>
      </c>
      <c r="J62" s="103">
        <f t="shared" si="37"/>
        <v>152.40198282999262</v>
      </c>
      <c r="L62" s="61" t="s">
        <v>215</v>
      </c>
      <c r="M62" s="103">
        <f t="shared" si="38"/>
        <v>167.85076749999999</v>
      </c>
      <c r="N62" s="103">
        <f t="shared" si="39"/>
        <v>198.11441999999997</v>
      </c>
      <c r="O62" s="103">
        <f t="shared" si="40"/>
        <v>155.99920659439408</v>
      </c>
      <c r="P62" s="103">
        <f t="shared" si="41"/>
        <v>184.08149705701166</v>
      </c>
      <c r="Q62" s="103">
        <f t="shared" si="42"/>
        <v>154.85241014452919</v>
      </c>
      <c r="R62" s="103">
        <f t="shared" si="43"/>
        <v>182.72825935844006</v>
      </c>
      <c r="S62" s="103">
        <f t="shared" si="44"/>
        <v>159.08001802362429</v>
      </c>
      <c r="T62" s="103">
        <f t="shared" si="45"/>
        <v>187.71690259800002</v>
      </c>
    </row>
    <row r="63" spans="2:33">
      <c r="B63" s="61" t="s">
        <v>216</v>
      </c>
      <c r="C63" s="103">
        <f t="shared" si="30"/>
        <v>87.978963812499984</v>
      </c>
      <c r="D63" s="103">
        <f t="shared" si="31"/>
        <v>101.396536375</v>
      </c>
      <c r="E63" s="103">
        <f t="shared" si="32"/>
        <v>81.768764040438896</v>
      </c>
      <c r="F63" s="103">
        <f t="shared" si="33"/>
        <v>94.234620833801415</v>
      </c>
      <c r="G63" s="103">
        <f t="shared" si="34"/>
        <v>81.167657596639941</v>
      </c>
      <c r="H63" s="103">
        <f t="shared" si="35"/>
        <v>93.54187417831649</v>
      </c>
      <c r="I63" s="103">
        <f t="shared" si="36"/>
        <v>83.383606502200905</v>
      </c>
      <c r="J63" s="103">
        <f t="shared" si="37"/>
        <v>96.095650150756825</v>
      </c>
      <c r="L63" s="61" t="s">
        <v>216</v>
      </c>
      <c r="M63" s="103">
        <f t="shared" si="38"/>
        <v>114.33132331249999</v>
      </c>
      <c r="N63" s="103">
        <f t="shared" si="39"/>
        <v>120.61661999999998</v>
      </c>
      <c r="O63" s="103">
        <f t="shared" si="40"/>
        <v>106.26543436232734</v>
      </c>
      <c r="P63" s="103">
        <f t="shared" si="41"/>
        <v>112.07305343829437</v>
      </c>
      <c r="Q63" s="103">
        <f t="shared" si="42"/>
        <v>105.48424562726586</v>
      </c>
      <c r="R63" s="103">
        <f t="shared" si="43"/>
        <v>111.2491711723882</v>
      </c>
      <c r="S63" s="103">
        <f t="shared" si="44"/>
        <v>108.36405891217383</v>
      </c>
      <c r="T63" s="103">
        <f t="shared" si="45"/>
        <v>114.2863720280431</v>
      </c>
    </row>
    <row r="64" spans="2:33">
      <c r="B64" s="61" t="s">
        <v>206</v>
      </c>
      <c r="C64" s="145">
        <f>SUMPRODUCT(C54:C63,$V$22:$V$31)</f>
        <v>222.83029094180941</v>
      </c>
      <c r="D64" s="145">
        <f t="shared" ref="D64:J64" si="46">SUMPRODUCT(D54:D63,$V$22:$V$31)</f>
        <v>129.38578683902486</v>
      </c>
      <c r="E64" s="145">
        <f t="shared" si="46"/>
        <v>207.09357315956723</v>
      </c>
      <c r="F64" s="145">
        <f t="shared" si="46"/>
        <v>120.24607110182826</v>
      </c>
      <c r="G64" s="145">
        <f t="shared" si="46"/>
        <v>205.57116686229213</v>
      </c>
      <c r="H64" s="145">
        <f t="shared" si="46"/>
        <v>119.3621065582885</v>
      </c>
      <c r="I64" s="145">
        <f t="shared" si="46"/>
        <v>211.18344169825147</v>
      </c>
      <c r="J64" s="145">
        <f t="shared" si="46"/>
        <v>122.62079773190493</v>
      </c>
      <c r="L64" s="61" t="s">
        <v>206</v>
      </c>
      <c r="M64" s="145">
        <f>SUMPRODUCT(M54:M63,$AD$22:$AD$31)</f>
        <v>209.86158714336503</v>
      </c>
      <c r="N64" s="145">
        <f t="shared" ref="N64:T64" si="47">SUMPRODUCT(N54:N63,$AD$22:$AD$31)</f>
        <v>174.80757399722708</v>
      </c>
      <c r="O64" s="145">
        <f t="shared" si="47"/>
        <v>195.03130062694115</v>
      </c>
      <c r="P64" s="145">
        <f t="shared" si="47"/>
        <v>162.42553125771414</v>
      </c>
      <c r="Q64" s="145">
        <f t="shared" si="47"/>
        <v>193.59756767371502</v>
      </c>
      <c r="R64" s="145">
        <f t="shared" si="47"/>
        <v>161.23149298867301</v>
      </c>
      <c r="S64" s="145">
        <f t="shared" si="47"/>
        <v>198.88295265227072</v>
      </c>
      <c r="T64" s="145">
        <f t="shared" si="47"/>
        <v>165.63325547645726</v>
      </c>
    </row>
    <row r="65" spans="2:31" ht="15.75">
      <c r="B65" s="39"/>
      <c r="C65" s="103"/>
      <c r="D65" s="103"/>
      <c r="E65" s="146"/>
      <c r="F65" s="103"/>
      <c r="G65" s="183"/>
      <c r="H65" s="184"/>
      <c r="I65" s="184"/>
      <c r="J65" s="184"/>
      <c r="AE65" s="133"/>
    </row>
    <row r="66" spans="2:31">
      <c r="B66" s="39"/>
      <c r="C66" s="103"/>
      <c r="D66" s="103"/>
      <c r="E66" s="146"/>
      <c r="G66" s="167"/>
      <c r="H66" s="184"/>
      <c r="I66" s="184"/>
    </row>
    <row r="67" spans="2:31">
      <c r="B67" s="39"/>
      <c r="C67" s="444" t="s">
        <v>232</v>
      </c>
      <c r="D67" s="444"/>
      <c r="E67" s="444"/>
      <c r="F67" s="444"/>
      <c r="G67" s="444"/>
      <c r="H67" s="444"/>
      <c r="I67" s="444"/>
      <c r="J67" s="444"/>
      <c r="L67" s="39"/>
      <c r="M67" s="444" t="s">
        <v>234</v>
      </c>
      <c r="N67" s="444"/>
      <c r="O67" s="444"/>
      <c r="P67" s="444"/>
      <c r="Q67" s="444"/>
      <c r="R67" s="444"/>
      <c r="S67" s="444"/>
      <c r="T67" s="444"/>
    </row>
    <row r="68" spans="2:31">
      <c r="B68" s="39"/>
      <c r="C68" s="445">
        <f>$C$27</f>
        <v>45292</v>
      </c>
      <c r="D68" s="446"/>
      <c r="E68" s="445">
        <f>$D$27</f>
        <v>45536</v>
      </c>
      <c r="F68" s="446"/>
      <c r="G68" s="447" t="str">
        <f>$E$21</f>
        <v>Authorized</v>
      </c>
      <c r="H68" s="447"/>
      <c r="I68" s="448" t="str">
        <f>$F$21</f>
        <v>w/Pending</v>
      </c>
      <c r="J68" s="447"/>
      <c r="L68" s="39"/>
      <c r="M68" s="445">
        <f>$C$27</f>
        <v>45292</v>
      </c>
      <c r="N68" s="446"/>
      <c r="O68" s="445">
        <f>$D$27</f>
        <v>45536</v>
      </c>
      <c r="P68" s="446"/>
      <c r="Q68" s="447" t="str">
        <f>$E$21</f>
        <v>Authorized</v>
      </c>
      <c r="R68" s="447"/>
      <c r="S68" s="448" t="str">
        <f>$F$21</f>
        <v>w/Pending</v>
      </c>
      <c r="T68" s="447"/>
    </row>
    <row r="69" spans="2:31">
      <c r="B69" s="39"/>
      <c r="C69" s="103" t="s">
        <v>154</v>
      </c>
      <c r="D69" s="103" t="s">
        <v>155</v>
      </c>
      <c r="E69" s="103" t="s">
        <v>154</v>
      </c>
      <c r="F69" s="103" t="s">
        <v>155</v>
      </c>
      <c r="G69" s="103" t="s">
        <v>154</v>
      </c>
      <c r="H69" s="103" t="s">
        <v>155</v>
      </c>
      <c r="I69" s="103" t="s">
        <v>154</v>
      </c>
      <c r="J69" s="103" t="s">
        <v>155</v>
      </c>
      <c r="L69" s="39"/>
      <c r="M69" s="103" t="s">
        <v>154</v>
      </c>
      <c r="N69" s="103" t="s">
        <v>155</v>
      </c>
      <c r="O69" s="103" t="s">
        <v>154</v>
      </c>
      <c r="P69" s="103" t="s">
        <v>155</v>
      </c>
      <c r="Q69" s="103" t="s">
        <v>154</v>
      </c>
      <c r="R69" s="103" t="s">
        <v>155</v>
      </c>
      <c r="S69" s="103" t="s">
        <v>154</v>
      </c>
      <c r="T69" s="103" t="s">
        <v>155</v>
      </c>
    </row>
    <row r="70" spans="2:31" ht="15" customHeight="1">
      <c r="B70" s="61" t="s">
        <v>207</v>
      </c>
      <c r="C70" s="103">
        <f t="shared" ref="C70:C79" si="48">C$22*I22</f>
        <v>172.61760656250001</v>
      </c>
      <c r="D70" s="103">
        <f t="shared" ref="D70:D79" si="49">C$22*J22</f>
        <v>140.651383125</v>
      </c>
      <c r="E70" s="103">
        <f t="shared" ref="E70:E79" si="50">D$22*I22</f>
        <v>160.38898749961402</v>
      </c>
      <c r="F70" s="103">
        <f t="shared" ref="F70:F79" si="51">D$22*J22</f>
        <v>130.68732314783364</v>
      </c>
      <c r="G70" s="103">
        <f t="shared" ref="G70:G79" si="52">E$22*I22</f>
        <v>159.20992046794498</v>
      </c>
      <c r="H70" s="103">
        <f t="shared" ref="H70:H79" si="53">E$22*J22</f>
        <v>129.72660186276997</v>
      </c>
      <c r="I70" s="103">
        <f t="shared" ref="I70:I79" si="54">F$22*I22</f>
        <v>163.55649223632869</v>
      </c>
      <c r="J70" s="103">
        <f t="shared" ref="J70:J79" si="55">F$22*J22</f>
        <v>133.26825293330486</v>
      </c>
      <c r="L70" s="61" t="s">
        <v>207</v>
      </c>
      <c r="M70" s="103">
        <f t="shared" ref="M70:M79" si="56">C$22*M22</f>
        <v>194.35463849999999</v>
      </c>
      <c r="N70" s="103">
        <f t="shared" ref="N70:N79" si="57">C$22*N22</f>
        <v>332.44872375</v>
      </c>
      <c r="O70" s="103">
        <f t="shared" ref="O70:O79" si="58">D$22*M22</f>
        <v>180.58611925882465</v>
      </c>
      <c r="P70" s="103">
        <f t="shared" ref="P70:P79" si="59">D$22*N22</f>
        <v>308.89730925851592</v>
      </c>
      <c r="Q70" s="103">
        <f t="shared" ref="Q70:Q79" si="60">E$22*M22</f>
        <v>179.25857711946395</v>
      </c>
      <c r="R70" s="103">
        <f t="shared" ref="R70:R79" si="61">E$22*N22</f>
        <v>306.62651349381997</v>
      </c>
      <c r="S70" s="103">
        <f t="shared" ref="S70:S79" si="62">F$22*M22</f>
        <v>184.15249496238488</v>
      </c>
      <c r="T70" s="103">
        <f t="shared" ref="T70:T79" si="63">F$22*N22</f>
        <v>314.99768875144787</v>
      </c>
    </row>
    <row r="71" spans="2:31" ht="15" customHeight="1">
      <c r="B71" s="61" t="s">
        <v>208</v>
      </c>
      <c r="C71" s="103">
        <f t="shared" si="48"/>
        <v>125.30759587500002</v>
      </c>
      <c r="D71" s="103">
        <f t="shared" si="49"/>
        <v>140.651383125</v>
      </c>
      <c r="E71" s="103">
        <f t="shared" si="50"/>
        <v>116.43052425897908</v>
      </c>
      <c r="F71" s="103">
        <f t="shared" si="51"/>
        <v>130.68732314783364</v>
      </c>
      <c r="G71" s="103">
        <f t="shared" si="52"/>
        <v>115.57460893228598</v>
      </c>
      <c r="H71" s="103">
        <f t="shared" si="53"/>
        <v>129.72660186276997</v>
      </c>
      <c r="I71" s="103">
        <f t="shared" si="54"/>
        <v>118.72989806785343</v>
      </c>
      <c r="J71" s="103">
        <f t="shared" si="55"/>
        <v>133.26825293330486</v>
      </c>
      <c r="L71" s="61" t="s">
        <v>208</v>
      </c>
      <c r="M71" s="103">
        <f t="shared" si="56"/>
        <v>108.6851596875</v>
      </c>
      <c r="N71" s="103">
        <f t="shared" si="57"/>
        <v>332.44872375</v>
      </c>
      <c r="O71" s="103">
        <f t="shared" si="58"/>
        <v>100.98565879605327</v>
      </c>
      <c r="P71" s="103">
        <f t="shared" si="59"/>
        <v>308.89730925851592</v>
      </c>
      <c r="Q71" s="103">
        <f t="shared" si="60"/>
        <v>100.24328325759498</v>
      </c>
      <c r="R71" s="103">
        <f t="shared" si="61"/>
        <v>306.62651349381997</v>
      </c>
      <c r="S71" s="103">
        <f t="shared" si="62"/>
        <v>102.98001363028104</v>
      </c>
      <c r="T71" s="103">
        <f t="shared" si="63"/>
        <v>314.99768875144787</v>
      </c>
    </row>
    <row r="72" spans="2:31">
      <c r="B72" s="61" t="s">
        <v>209</v>
      </c>
      <c r="C72" s="103">
        <f t="shared" si="48"/>
        <v>226.32086193750001</v>
      </c>
      <c r="D72" s="103">
        <f t="shared" si="49"/>
        <v>132.9794895</v>
      </c>
      <c r="E72" s="103">
        <f t="shared" si="50"/>
        <v>210.28778361060503</v>
      </c>
      <c r="F72" s="103">
        <f t="shared" si="51"/>
        <v>123.55892370340636</v>
      </c>
      <c r="G72" s="103">
        <f t="shared" si="52"/>
        <v>208.74189572463897</v>
      </c>
      <c r="H72" s="103">
        <f t="shared" si="53"/>
        <v>122.65060539752798</v>
      </c>
      <c r="I72" s="103">
        <f t="shared" si="54"/>
        <v>214.44073426540874</v>
      </c>
      <c r="J72" s="103">
        <f t="shared" si="55"/>
        <v>125.99907550057915</v>
      </c>
      <c r="L72" s="61" t="s">
        <v>209</v>
      </c>
      <c r="M72" s="103">
        <f t="shared" si="56"/>
        <v>254.45113856250001</v>
      </c>
      <c r="N72" s="103">
        <f t="shared" si="57"/>
        <v>341.3992663125</v>
      </c>
      <c r="O72" s="103">
        <f t="shared" si="58"/>
        <v>236.42524824017175</v>
      </c>
      <c r="P72" s="103">
        <f t="shared" si="59"/>
        <v>317.21377527701441</v>
      </c>
      <c r="Q72" s="103">
        <f t="shared" si="60"/>
        <v>234.68721609719293</v>
      </c>
      <c r="R72" s="103">
        <f t="shared" si="61"/>
        <v>314.88184270326894</v>
      </c>
      <c r="S72" s="103">
        <f t="shared" si="62"/>
        <v>241.09438485206968</v>
      </c>
      <c r="T72" s="103">
        <f t="shared" si="63"/>
        <v>323.4783957562945</v>
      </c>
    </row>
    <row r="73" spans="2:31" s="48" customFormat="1" ht="14.25" customHeight="1">
      <c r="B73" s="61" t="s">
        <v>210</v>
      </c>
      <c r="C73" s="103">
        <f t="shared" si="48"/>
        <v>191.797340625</v>
      </c>
      <c r="D73" s="103">
        <f t="shared" si="49"/>
        <v>130.42219162499998</v>
      </c>
      <c r="E73" s="103">
        <f t="shared" si="50"/>
        <v>178.20998611068225</v>
      </c>
      <c r="F73" s="103">
        <f t="shared" si="51"/>
        <v>121.18279055526392</v>
      </c>
      <c r="G73" s="103">
        <f t="shared" si="52"/>
        <v>176.89991163104997</v>
      </c>
      <c r="H73" s="103">
        <f t="shared" si="53"/>
        <v>120.29193990911396</v>
      </c>
      <c r="I73" s="103">
        <f t="shared" si="54"/>
        <v>181.729435818143</v>
      </c>
      <c r="J73" s="103">
        <f t="shared" si="55"/>
        <v>123.57601635633722</v>
      </c>
      <c r="L73" s="61" t="s">
        <v>210</v>
      </c>
      <c r="M73" s="103">
        <f t="shared" si="56"/>
        <v>227.59951087500002</v>
      </c>
      <c r="N73" s="103">
        <f t="shared" si="57"/>
        <v>303.03979818750003</v>
      </c>
      <c r="O73" s="103">
        <f t="shared" si="58"/>
        <v>211.47585018467626</v>
      </c>
      <c r="P73" s="103">
        <f t="shared" si="59"/>
        <v>281.57177805487794</v>
      </c>
      <c r="Q73" s="103">
        <f t="shared" si="60"/>
        <v>209.92122846884598</v>
      </c>
      <c r="R73" s="103">
        <f t="shared" si="61"/>
        <v>279.50186037705896</v>
      </c>
      <c r="S73" s="103">
        <f t="shared" si="62"/>
        <v>215.65226383752969</v>
      </c>
      <c r="T73" s="103">
        <f t="shared" si="63"/>
        <v>287.13250859266594</v>
      </c>
    </row>
    <row r="74" spans="2:31">
      <c r="B74" s="61" t="s">
        <v>211</v>
      </c>
      <c r="C74" s="103">
        <f t="shared" si="48"/>
        <v>83.1121809375</v>
      </c>
      <c r="D74" s="103">
        <f t="shared" si="49"/>
        <v>95.898670312500002</v>
      </c>
      <c r="E74" s="103">
        <f t="shared" si="50"/>
        <v>77.224327314628979</v>
      </c>
      <c r="F74" s="103">
        <f t="shared" si="51"/>
        <v>89.104993055341126</v>
      </c>
      <c r="G74" s="103">
        <f t="shared" si="52"/>
        <v>76.656628373454993</v>
      </c>
      <c r="H74" s="103">
        <f t="shared" si="53"/>
        <v>88.449955815524987</v>
      </c>
      <c r="I74" s="103">
        <f t="shared" si="54"/>
        <v>78.749422187861967</v>
      </c>
      <c r="J74" s="103">
        <f t="shared" si="55"/>
        <v>90.864717909071501</v>
      </c>
      <c r="L74" s="61" t="s">
        <v>211</v>
      </c>
      <c r="M74" s="103">
        <f t="shared" si="56"/>
        <v>90.784074562499995</v>
      </c>
      <c r="N74" s="103">
        <f t="shared" si="57"/>
        <v>164.94571293750002</v>
      </c>
      <c r="O74" s="103">
        <f t="shared" si="58"/>
        <v>84.352726759056253</v>
      </c>
      <c r="P74" s="103">
        <f t="shared" si="59"/>
        <v>153.26058805518673</v>
      </c>
      <c r="Q74" s="103">
        <f t="shared" si="60"/>
        <v>83.732624838696978</v>
      </c>
      <c r="R74" s="103">
        <f t="shared" si="61"/>
        <v>152.13392400270297</v>
      </c>
      <c r="S74" s="103">
        <f t="shared" si="62"/>
        <v>86.018599620587679</v>
      </c>
      <c r="T74" s="103">
        <f t="shared" si="63"/>
        <v>156.28731480360298</v>
      </c>
    </row>
    <row r="75" spans="2:31">
      <c r="B75" s="61" t="s">
        <v>212</v>
      </c>
      <c r="C75" s="103">
        <f t="shared" si="48"/>
        <v>90.784074562499995</v>
      </c>
      <c r="D75" s="103">
        <f t="shared" si="49"/>
        <v>103.5705639375</v>
      </c>
      <c r="E75" s="103">
        <f t="shared" si="50"/>
        <v>84.352726759056253</v>
      </c>
      <c r="F75" s="103">
        <f t="shared" si="51"/>
        <v>96.233392499768414</v>
      </c>
      <c r="G75" s="103">
        <f t="shared" si="52"/>
        <v>83.732624838696978</v>
      </c>
      <c r="H75" s="103">
        <f t="shared" si="53"/>
        <v>95.525952280766973</v>
      </c>
      <c r="I75" s="103">
        <f t="shared" si="54"/>
        <v>86.018599620587679</v>
      </c>
      <c r="J75" s="103">
        <f t="shared" si="55"/>
        <v>98.133895341797214</v>
      </c>
      <c r="L75" s="61" t="s">
        <v>212</v>
      </c>
      <c r="M75" s="103">
        <f t="shared" si="56"/>
        <v>132.9794895</v>
      </c>
      <c r="N75" s="103">
        <f t="shared" si="57"/>
        <v>244.22194706250002</v>
      </c>
      <c r="O75" s="103">
        <f t="shared" si="58"/>
        <v>123.55892370340636</v>
      </c>
      <c r="P75" s="103">
        <f t="shared" si="59"/>
        <v>226.92071564760207</v>
      </c>
      <c r="Q75" s="103">
        <f t="shared" si="60"/>
        <v>122.65060539752798</v>
      </c>
      <c r="R75" s="103">
        <f t="shared" si="61"/>
        <v>225.25255414353697</v>
      </c>
      <c r="S75" s="103">
        <f t="shared" si="62"/>
        <v>125.99907550057915</v>
      </c>
      <c r="T75" s="103">
        <f t="shared" si="63"/>
        <v>231.40214827510209</v>
      </c>
    </row>
    <row r="76" spans="2:31">
      <c r="B76" s="61" t="s">
        <v>213</v>
      </c>
      <c r="C76" s="103">
        <f t="shared" si="48"/>
        <v>245.500596</v>
      </c>
      <c r="D76" s="103">
        <f t="shared" si="49"/>
        <v>125.30759587500002</v>
      </c>
      <c r="E76" s="103">
        <f t="shared" si="50"/>
        <v>228.10878222167327</v>
      </c>
      <c r="F76" s="103">
        <f t="shared" si="51"/>
        <v>116.43052425897908</v>
      </c>
      <c r="G76" s="103">
        <f t="shared" si="52"/>
        <v>226.43188688774396</v>
      </c>
      <c r="H76" s="103">
        <f t="shared" si="53"/>
        <v>115.57460893228598</v>
      </c>
      <c r="I76" s="103">
        <f t="shared" si="54"/>
        <v>232.61367784722302</v>
      </c>
      <c r="J76" s="103">
        <f t="shared" si="55"/>
        <v>118.72989806785343</v>
      </c>
      <c r="L76" s="61" t="s">
        <v>213</v>
      </c>
      <c r="M76" s="103">
        <f t="shared" si="56"/>
        <v>286.41736199999997</v>
      </c>
      <c r="N76" s="103">
        <f t="shared" si="57"/>
        <v>242.94329812500001</v>
      </c>
      <c r="O76" s="103">
        <f t="shared" si="58"/>
        <v>266.12691259195213</v>
      </c>
      <c r="P76" s="103">
        <f t="shared" si="59"/>
        <v>225.73264907353084</v>
      </c>
      <c r="Q76" s="103">
        <f t="shared" si="60"/>
        <v>264.17053470236795</v>
      </c>
      <c r="R76" s="103">
        <f t="shared" si="61"/>
        <v>224.07322139932995</v>
      </c>
      <c r="S76" s="103">
        <f t="shared" si="62"/>
        <v>271.38262415509354</v>
      </c>
      <c r="T76" s="103">
        <f t="shared" si="63"/>
        <v>230.19061870298111</v>
      </c>
    </row>
    <row r="77" spans="2:31">
      <c r="B77" s="61" t="s">
        <v>214</v>
      </c>
      <c r="C77" s="103">
        <f t="shared" si="48"/>
        <v>125.30759587500002</v>
      </c>
      <c r="D77" s="103">
        <f t="shared" si="49"/>
        <v>124.0289469375</v>
      </c>
      <c r="E77" s="103">
        <f t="shared" si="50"/>
        <v>116.43052425897908</v>
      </c>
      <c r="F77" s="103">
        <f t="shared" si="51"/>
        <v>115.24245768490785</v>
      </c>
      <c r="G77" s="103">
        <f t="shared" si="52"/>
        <v>115.57460893228598</v>
      </c>
      <c r="H77" s="103">
        <f t="shared" si="53"/>
        <v>114.39527618807897</v>
      </c>
      <c r="I77" s="103">
        <f t="shared" si="54"/>
        <v>118.72989806785343</v>
      </c>
      <c r="J77" s="103">
        <f t="shared" si="55"/>
        <v>117.51836849573246</v>
      </c>
      <c r="L77" s="61" t="s">
        <v>214</v>
      </c>
      <c r="M77" s="103">
        <f t="shared" si="56"/>
        <v>108.6851596875</v>
      </c>
      <c r="N77" s="103">
        <f t="shared" si="57"/>
        <v>186.682744875</v>
      </c>
      <c r="O77" s="103">
        <f t="shared" si="58"/>
        <v>100.98565879605327</v>
      </c>
      <c r="P77" s="103">
        <f t="shared" si="59"/>
        <v>173.45771981439739</v>
      </c>
      <c r="Q77" s="103">
        <f t="shared" si="60"/>
        <v>100.24328325759498</v>
      </c>
      <c r="R77" s="103">
        <f t="shared" si="61"/>
        <v>172.18258065422197</v>
      </c>
      <c r="S77" s="103">
        <f t="shared" si="62"/>
        <v>102.98001363028104</v>
      </c>
      <c r="T77" s="103">
        <f t="shared" si="63"/>
        <v>176.88331752965917</v>
      </c>
    </row>
    <row r="78" spans="2:31">
      <c r="B78" s="61" t="s">
        <v>215</v>
      </c>
      <c r="C78" s="103">
        <f t="shared" si="48"/>
        <v>134.25813843750001</v>
      </c>
      <c r="D78" s="103">
        <f t="shared" si="49"/>
        <v>141.9300320625</v>
      </c>
      <c r="E78" s="103">
        <f t="shared" si="50"/>
        <v>124.74699027747756</v>
      </c>
      <c r="F78" s="103">
        <f t="shared" si="51"/>
        <v>131.87538972190487</v>
      </c>
      <c r="G78" s="103">
        <f t="shared" si="52"/>
        <v>123.82993814173498</v>
      </c>
      <c r="H78" s="103">
        <f t="shared" si="53"/>
        <v>130.90593460697698</v>
      </c>
      <c r="I78" s="103">
        <f t="shared" si="54"/>
        <v>127.21060507270009</v>
      </c>
      <c r="J78" s="103">
        <f t="shared" si="55"/>
        <v>134.47978250542582</v>
      </c>
      <c r="L78" s="61" t="s">
        <v>215</v>
      </c>
      <c r="M78" s="103">
        <f t="shared" si="56"/>
        <v>153.4378725</v>
      </c>
      <c r="N78" s="103">
        <f t="shared" si="57"/>
        <v>306.87574499999999</v>
      </c>
      <c r="O78" s="103">
        <f t="shared" si="58"/>
        <v>142.56798888854578</v>
      </c>
      <c r="P78" s="103">
        <f t="shared" si="59"/>
        <v>285.13597777709157</v>
      </c>
      <c r="Q78" s="103">
        <f t="shared" si="60"/>
        <v>141.51992930483996</v>
      </c>
      <c r="R78" s="103">
        <f t="shared" si="61"/>
        <v>283.03985860967992</v>
      </c>
      <c r="S78" s="103">
        <f t="shared" si="62"/>
        <v>145.38354865451439</v>
      </c>
      <c r="T78" s="103">
        <f t="shared" si="63"/>
        <v>290.76709730902877</v>
      </c>
    </row>
    <row r="79" spans="2:31">
      <c r="B79" s="61" t="s">
        <v>216</v>
      </c>
      <c r="C79" s="103">
        <f t="shared" si="48"/>
        <v>75.440287312500004</v>
      </c>
      <c r="D79" s="103">
        <f t="shared" si="49"/>
        <v>99.734617125</v>
      </c>
      <c r="E79" s="103">
        <f t="shared" si="50"/>
        <v>70.095927870201692</v>
      </c>
      <c r="F79" s="103">
        <f t="shared" si="51"/>
        <v>92.66919277755477</v>
      </c>
      <c r="G79" s="103">
        <f t="shared" si="52"/>
        <v>69.580631908212993</v>
      </c>
      <c r="H79" s="103">
        <f t="shared" si="53"/>
        <v>91.98795404814598</v>
      </c>
      <c r="I79" s="103">
        <f t="shared" si="54"/>
        <v>71.480244755136255</v>
      </c>
      <c r="J79" s="103">
        <f t="shared" si="55"/>
        <v>94.499306625434357</v>
      </c>
      <c r="L79" s="61" t="s">
        <v>216</v>
      </c>
      <c r="M79" s="103">
        <f t="shared" si="56"/>
        <v>85.669478812500003</v>
      </c>
      <c r="N79" s="103">
        <f t="shared" si="57"/>
        <v>200.74788318750001</v>
      </c>
      <c r="O79" s="103">
        <f t="shared" si="58"/>
        <v>79.600460462771409</v>
      </c>
      <c r="P79" s="103">
        <f t="shared" si="59"/>
        <v>186.52645212918074</v>
      </c>
      <c r="Q79" s="103">
        <f t="shared" si="60"/>
        <v>79.015293861868983</v>
      </c>
      <c r="R79" s="103">
        <f t="shared" si="61"/>
        <v>185.15524084049895</v>
      </c>
      <c r="S79" s="103">
        <f t="shared" si="62"/>
        <v>81.172481332103871</v>
      </c>
      <c r="T79" s="103">
        <f t="shared" si="63"/>
        <v>190.21014282298967</v>
      </c>
    </row>
    <row r="80" spans="2:31">
      <c r="B80" s="61" t="s">
        <v>206</v>
      </c>
      <c r="C80" s="145">
        <f t="shared" ref="C80:J80" si="64">SUMPRODUCT(C70:C79,$U$22:$U$31)</f>
        <v>194.07678812503914</v>
      </c>
      <c r="D80" s="145">
        <f t="shared" si="64"/>
        <v>128.79009623521574</v>
      </c>
      <c r="E80" s="145">
        <f t="shared" si="64"/>
        <v>180.3279524286628</v>
      </c>
      <c r="F80" s="145">
        <f t="shared" si="64"/>
        <v>119.66631646966415</v>
      </c>
      <c r="G80" s="145">
        <f t="shared" si="64"/>
        <v>179.00230815026413</v>
      </c>
      <c r="H80" s="145">
        <f t="shared" si="64"/>
        <v>118.78661387442833</v>
      </c>
      <c r="I80" s="145">
        <f t="shared" si="64"/>
        <v>183.88922962346538</v>
      </c>
      <c r="J80" s="145">
        <f t="shared" si="64"/>
        <v>122.029593588324</v>
      </c>
      <c r="L80" s="61" t="s">
        <v>206</v>
      </c>
      <c r="M80" s="145">
        <f t="shared" ref="M80:T80" si="65">SUMPRODUCT(M70:M79,$AC$22:$AC$31)</f>
        <v>208.09715986487114</v>
      </c>
      <c r="N80" s="145">
        <f t="shared" si="65"/>
        <v>301.49327009415828</v>
      </c>
      <c r="O80" s="145">
        <f t="shared" si="65"/>
        <v>193.35508953536151</v>
      </c>
      <c r="P80" s="145">
        <f t="shared" si="65"/>
        <v>280.13480948619969</v>
      </c>
      <c r="Q80" s="145">
        <f t="shared" si="65"/>
        <v>191.93367890717167</v>
      </c>
      <c r="R80" s="145">
        <f t="shared" si="65"/>
        <v>278.075455390652</v>
      </c>
      <c r="S80" s="145">
        <f t="shared" si="65"/>
        <v>197.17363824945335</v>
      </c>
      <c r="T80" s="145">
        <f t="shared" si="65"/>
        <v>285.66716148741381</v>
      </c>
    </row>
    <row r="81" spans="2:20">
      <c r="B81" s="39"/>
      <c r="C81" s="103"/>
      <c r="D81" s="103"/>
      <c r="E81" s="146"/>
      <c r="F81" s="182"/>
      <c r="G81" s="184"/>
      <c r="H81" s="184"/>
      <c r="I81" s="184"/>
      <c r="J81" s="184"/>
      <c r="L81" s="39"/>
      <c r="M81" s="103"/>
      <c r="N81" s="103"/>
      <c r="O81" s="146"/>
      <c r="P81" s="182"/>
      <c r="Q81" s="184"/>
      <c r="R81" s="184"/>
      <c r="S81" s="184"/>
      <c r="T81" s="184"/>
    </row>
    <row r="82" spans="2:20">
      <c r="B82" s="39"/>
      <c r="C82" s="103"/>
      <c r="D82" s="103"/>
      <c r="E82" s="146"/>
      <c r="F82" s="103"/>
      <c r="G82" s="184"/>
      <c r="H82" s="184"/>
      <c r="I82" s="184"/>
      <c r="J82" s="184"/>
      <c r="L82" s="39"/>
      <c r="M82" s="103"/>
      <c r="N82" s="103"/>
      <c r="O82" s="146"/>
      <c r="P82" s="103"/>
      <c r="Q82" s="184"/>
      <c r="R82" s="184"/>
      <c r="S82" s="184"/>
      <c r="T82" s="184"/>
    </row>
    <row r="83" spans="2:20">
      <c r="B83" s="39"/>
      <c r="C83" s="444" t="s">
        <v>233</v>
      </c>
      <c r="D83" s="444"/>
      <c r="E83" s="444"/>
      <c r="F83" s="444"/>
      <c r="G83" s="444"/>
      <c r="H83" s="444"/>
      <c r="I83" s="444"/>
      <c r="J83" s="444"/>
      <c r="L83" s="39"/>
      <c r="M83" s="444" t="s">
        <v>235</v>
      </c>
      <c r="N83" s="444"/>
      <c r="O83" s="444"/>
      <c r="P83" s="444"/>
      <c r="Q83" s="444"/>
      <c r="R83" s="444"/>
      <c r="S83" s="444"/>
      <c r="T83" s="444"/>
    </row>
    <row r="84" spans="2:20">
      <c r="B84" s="39"/>
      <c r="C84" s="445">
        <f>$C$27</f>
        <v>45292</v>
      </c>
      <c r="D84" s="446"/>
      <c r="E84" s="445">
        <f>$D$27</f>
        <v>45536</v>
      </c>
      <c r="F84" s="446"/>
      <c r="G84" s="447" t="str">
        <f>$E$21</f>
        <v>Authorized</v>
      </c>
      <c r="H84" s="447"/>
      <c r="I84" s="448" t="str">
        <f>$F$21</f>
        <v>w/Pending</v>
      </c>
      <c r="J84" s="447"/>
      <c r="L84" s="39"/>
      <c r="M84" s="445">
        <f>$C$27</f>
        <v>45292</v>
      </c>
      <c r="N84" s="446"/>
      <c r="O84" s="445">
        <f>$D$27</f>
        <v>45536</v>
      </c>
      <c r="P84" s="446"/>
      <c r="Q84" s="447" t="str">
        <f>$E$21</f>
        <v>Authorized</v>
      </c>
      <c r="R84" s="447"/>
      <c r="S84" s="448" t="str">
        <f>$F$21</f>
        <v>w/Pending</v>
      </c>
      <c r="T84" s="447"/>
    </row>
    <row r="85" spans="2:20">
      <c r="B85" s="39"/>
      <c r="C85" s="103" t="s">
        <v>154</v>
      </c>
      <c r="D85" s="103" t="s">
        <v>155</v>
      </c>
      <c r="E85" s="103" t="s">
        <v>154</v>
      </c>
      <c r="F85" s="103" t="s">
        <v>155</v>
      </c>
      <c r="G85" s="103" t="s">
        <v>154</v>
      </c>
      <c r="H85" s="103" t="s">
        <v>155</v>
      </c>
      <c r="I85" s="103" t="s">
        <v>154</v>
      </c>
      <c r="J85" s="103" t="s">
        <v>155</v>
      </c>
      <c r="L85" s="39"/>
      <c r="M85" s="103" t="s">
        <v>154</v>
      </c>
      <c r="N85" s="103" t="s">
        <v>155</v>
      </c>
      <c r="O85" s="103" t="s">
        <v>154</v>
      </c>
      <c r="P85" s="103" t="s">
        <v>155</v>
      </c>
      <c r="Q85" s="103" t="s">
        <v>154</v>
      </c>
      <c r="R85" s="103" t="s">
        <v>155</v>
      </c>
      <c r="S85" s="103" t="s">
        <v>154</v>
      </c>
      <c r="T85" s="103" t="s">
        <v>155</v>
      </c>
    </row>
    <row r="86" spans="2:20">
      <c r="B86" s="61" t="s">
        <v>207</v>
      </c>
      <c r="C86" s="103">
        <f t="shared" ref="C86:C95" si="66">C$28*I22</f>
        <v>112.22671499999998</v>
      </c>
      <c r="D86" s="103">
        <f t="shared" ref="D86:D95" si="67">C$28*J22</f>
        <v>91.443989999999985</v>
      </c>
      <c r="E86" s="103">
        <f t="shared" ref="E86:E95" si="68">D$28*I22</f>
        <v>104.27742567648831</v>
      </c>
      <c r="F86" s="103">
        <f t="shared" ref="F86:F95" si="69">D$28*J22</f>
        <v>84.966791291953427</v>
      </c>
      <c r="G86" s="103">
        <f t="shared" ref="G86:G95" si="70">E$28*I22</f>
        <v>103.51085138308325</v>
      </c>
      <c r="H86" s="103">
        <f t="shared" ref="H86:H95" si="71">E$28*J22</f>
        <v>84.342175201030798</v>
      </c>
      <c r="I86" s="103">
        <f t="shared" ref="I86:I95" si="72">F$28*I22</f>
        <v>106.33678925818982</v>
      </c>
      <c r="J86" s="103">
        <f t="shared" ref="J86:J95" si="73">F$28*J22</f>
        <v>86.644791247413934</v>
      </c>
      <c r="L86" s="61" t="s">
        <v>207</v>
      </c>
      <c r="M86" s="103">
        <f t="shared" ref="M86:M95" si="74">C$28*M22</f>
        <v>126.35896799999998</v>
      </c>
      <c r="N86" s="103">
        <f t="shared" ref="N86:N95" si="75">C$28*N22</f>
        <v>216.14033999999998</v>
      </c>
      <c r="O86" s="103">
        <f t="shared" ref="O86:O95" si="76">D$28*M22</f>
        <v>117.40865705797201</v>
      </c>
      <c r="P86" s="103">
        <f t="shared" ref="P86:P95" si="77">D$28*N22</f>
        <v>200.83059759916264</v>
      </c>
      <c r="Q86" s="103">
        <f t="shared" ref="Q86:Q95" si="78">E$28*M22</f>
        <v>116.54555118687891</v>
      </c>
      <c r="R86" s="103">
        <f t="shared" ref="R86:R95" si="79">E$28*N22</f>
        <v>199.35423229334552</v>
      </c>
      <c r="S86" s="103">
        <f t="shared" ref="S86:S95" si="80">F$28*M22</f>
        <v>119.72734790551743</v>
      </c>
      <c r="T86" s="103">
        <f t="shared" ref="T86:T95" si="81">F$28*N22</f>
        <v>204.7967793120693</v>
      </c>
    </row>
    <row r="87" spans="2:20">
      <c r="B87" s="61" t="s">
        <v>208</v>
      </c>
      <c r="C87" s="103">
        <f t="shared" si="66"/>
        <v>81.468282000000002</v>
      </c>
      <c r="D87" s="103">
        <f t="shared" si="67"/>
        <v>91.443989999999985</v>
      </c>
      <c r="E87" s="103">
        <f t="shared" si="68"/>
        <v>75.697686787376696</v>
      </c>
      <c r="F87" s="103">
        <f t="shared" si="69"/>
        <v>84.966791291953427</v>
      </c>
      <c r="G87" s="103">
        <f t="shared" si="70"/>
        <v>75.141210633645628</v>
      </c>
      <c r="H87" s="103">
        <f t="shared" si="71"/>
        <v>84.342175201030798</v>
      </c>
      <c r="I87" s="103">
        <f t="shared" si="72"/>
        <v>77.192632202241512</v>
      </c>
      <c r="J87" s="103">
        <f t="shared" si="73"/>
        <v>86.644791247413934</v>
      </c>
      <c r="L87" s="61" t="s">
        <v>208</v>
      </c>
      <c r="M87" s="103">
        <f t="shared" si="74"/>
        <v>70.661265</v>
      </c>
      <c r="N87" s="103">
        <f t="shared" si="75"/>
        <v>216.14033999999998</v>
      </c>
      <c r="O87" s="103">
        <f t="shared" si="76"/>
        <v>65.656156907418563</v>
      </c>
      <c r="P87" s="103">
        <f t="shared" si="77"/>
        <v>200.83059759916264</v>
      </c>
      <c r="Q87" s="103">
        <f t="shared" si="78"/>
        <v>65.173499018978347</v>
      </c>
      <c r="R87" s="103">
        <f t="shared" si="79"/>
        <v>199.35423229334552</v>
      </c>
      <c r="S87" s="103">
        <f t="shared" si="80"/>
        <v>66.952793236638044</v>
      </c>
      <c r="T87" s="103">
        <f t="shared" si="81"/>
        <v>204.7967793120693</v>
      </c>
    </row>
    <row r="88" spans="2:20">
      <c r="B88" s="61" t="s">
        <v>209</v>
      </c>
      <c r="C88" s="103">
        <f t="shared" si="66"/>
        <v>147.14169299999998</v>
      </c>
      <c r="D88" s="103">
        <f t="shared" si="67"/>
        <v>86.456136000000001</v>
      </c>
      <c r="E88" s="103">
        <f t="shared" si="68"/>
        <v>136.71929144250689</v>
      </c>
      <c r="F88" s="103">
        <f t="shared" si="69"/>
        <v>80.332239039665069</v>
      </c>
      <c r="G88" s="103">
        <f t="shared" si="70"/>
        <v>135.71422736893138</v>
      </c>
      <c r="H88" s="103">
        <f t="shared" si="71"/>
        <v>79.741692917338213</v>
      </c>
      <c r="I88" s="103">
        <f t="shared" si="72"/>
        <v>139.41934591629334</v>
      </c>
      <c r="J88" s="103">
        <f t="shared" si="73"/>
        <v>81.91871172482773</v>
      </c>
      <c r="L88" s="61" t="s">
        <v>209</v>
      </c>
      <c r="M88" s="103">
        <f t="shared" si="74"/>
        <v>165.43049099999996</v>
      </c>
      <c r="N88" s="103">
        <f t="shared" si="75"/>
        <v>221.95950299999998</v>
      </c>
      <c r="O88" s="103">
        <f t="shared" si="76"/>
        <v>153.71264970089757</v>
      </c>
      <c r="P88" s="103">
        <f t="shared" si="77"/>
        <v>206.2375752268324</v>
      </c>
      <c r="Q88" s="103">
        <f t="shared" si="78"/>
        <v>152.58266240913753</v>
      </c>
      <c r="R88" s="103">
        <f t="shared" si="79"/>
        <v>204.7214616243202</v>
      </c>
      <c r="S88" s="103">
        <f t="shared" si="80"/>
        <v>156.74830416577612</v>
      </c>
      <c r="T88" s="103">
        <f t="shared" si="81"/>
        <v>210.31053875508655</v>
      </c>
    </row>
    <row r="89" spans="2:20">
      <c r="B89" s="61" t="s">
        <v>210</v>
      </c>
      <c r="C89" s="103">
        <f t="shared" si="66"/>
        <v>124.69634999999998</v>
      </c>
      <c r="D89" s="103">
        <f t="shared" si="67"/>
        <v>84.793517999999992</v>
      </c>
      <c r="E89" s="103">
        <f t="shared" si="68"/>
        <v>115.86380630720923</v>
      </c>
      <c r="F89" s="103">
        <f t="shared" si="69"/>
        <v>78.787388288902264</v>
      </c>
      <c r="G89" s="103">
        <f t="shared" si="70"/>
        <v>115.01205709231472</v>
      </c>
      <c r="H89" s="103">
        <f t="shared" si="71"/>
        <v>78.208198822774008</v>
      </c>
      <c r="I89" s="103">
        <f t="shared" si="72"/>
        <v>118.15198806465537</v>
      </c>
      <c r="J89" s="103">
        <f t="shared" si="73"/>
        <v>80.343351883965639</v>
      </c>
      <c r="L89" s="61" t="s">
        <v>210</v>
      </c>
      <c r="M89" s="103">
        <f t="shared" si="74"/>
        <v>147.97300199999998</v>
      </c>
      <c r="N89" s="103">
        <f t="shared" si="75"/>
        <v>197.02023299999996</v>
      </c>
      <c r="O89" s="103">
        <f t="shared" si="76"/>
        <v>137.49171681788829</v>
      </c>
      <c r="P89" s="103">
        <f t="shared" si="77"/>
        <v>183.06481396539056</v>
      </c>
      <c r="Q89" s="103">
        <f t="shared" si="78"/>
        <v>136.48097441621348</v>
      </c>
      <c r="R89" s="103">
        <f t="shared" si="79"/>
        <v>181.71905020585726</v>
      </c>
      <c r="S89" s="103">
        <f t="shared" si="80"/>
        <v>140.20702583672437</v>
      </c>
      <c r="T89" s="103">
        <f t="shared" si="81"/>
        <v>186.68014114215546</v>
      </c>
    </row>
    <row r="90" spans="2:20">
      <c r="B90" s="61" t="s">
        <v>211</v>
      </c>
      <c r="C90" s="103">
        <f t="shared" si="66"/>
        <v>54.035084999999995</v>
      </c>
      <c r="D90" s="103">
        <f t="shared" si="67"/>
        <v>62.348174999999991</v>
      </c>
      <c r="E90" s="103">
        <f t="shared" si="68"/>
        <v>50.207649399790661</v>
      </c>
      <c r="F90" s="103">
        <f t="shared" si="69"/>
        <v>57.931903153604615</v>
      </c>
      <c r="G90" s="103">
        <f t="shared" si="70"/>
        <v>49.83855807333638</v>
      </c>
      <c r="H90" s="103">
        <f t="shared" si="71"/>
        <v>57.50602854615736</v>
      </c>
      <c r="I90" s="103">
        <f t="shared" si="72"/>
        <v>51.199194828017326</v>
      </c>
      <c r="J90" s="103">
        <f t="shared" si="73"/>
        <v>59.075994032327685</v>
      </c>
      <c r="L90" s="61" t="s">
        <v>211</v>
      </c>
      <c r="M90" s="103">
        <f t="shared" si="74"/>
        <v>59.022938999999994</v>
      </c>
      <c r="N90" s="103">
        <f t="shared" si="75"/>
        <v>107.23886099999999</v>
      </c>
      <c r="O90" s="103">
        <f t="shared" si="76"/>
        <v>54.842201652079027</v>
      </c>
      <c r="P90" s="103">
        <f t="shared" si="77"/>
        <v>99.642873424199934</v>
      </c>
      <c r="Q90" s="103">
        <f t="shared" si="78"/>
        <v>54.439040357028965</v>
      </c>
      <c r="R90" s="103">
        <f t="shared" si="79"/>
        <v>98.910369099390664</v>
      </c>
      <c r="S90" s="103">
        <f t="shared" si="80"/>
        <v>55.925274350603537</v>
      </c>
      <c r="T90" s="103">
        <f t="shared" si="81"/>
        <v>101.61070973560362</v>
      </c>
    </row>
    <row r="91" spans="2:20">
      <c r="B91" s="61" t="s">
        <v>212</v>
      </c>
      <c r="C91" s="103">
        <f t="shared" si="66"/>
        <v>59.022938999999994</v>
      </c>
      <c r="D91" s="103">
        <f t="shared" si="67"/>
        <v>67.336028999999996</v>
      </c>
      <c r="E91" s="103">
        <f t="shared" si="68"/>
        <v>54.842201652079027</v>
      </c>
      <c r="F91" s="103">
        <f t="shared" si="69"/>
        <v>62.566455405892981</v>
      </c>
      <c r="G91" s="103">
        <f t="shared" si="70"/>
        <v>54.439040357028965</v>
      </c>
      <c r="H91" s="103">
        <f t="shared" si="71"/>
        <v>62.106510829849945</v>
      </c>
      <c r="I91" s="103">
        <f t="shared" si="72"/>
        <v>55.925274350603537</v>
      </c>
      <c r="J91" s="103">
        <f t="shared" si="73"/>
        <v>63.802073554913896</v>
      </c>
      <c r="L91" s="61" t="s">
        <v>212</v>
      </c>
      <c r="M91" s="103">
        <f t="shared" si="74"/>
        <v>86.456136000000001</v>
      </c>
      <c r="N91" s="103">
        <f t="shared" si="75"/>
        <v>158.78001900000001</v>
      </c>
      <c r="O91" s="103">
        <f t="shared" si="76"/>
        <v>80.332239039665069</v>
      </c>
      <c r="P91" s="103">
        <f t="shared" si="77"/>
        <v>147.53324669784644</v>
      </c>
      <c r="Q91" s="103">
        <f t="shared" si="78"/>
        <v>79.741692917338213</v>
      </c>
      <c r="R91" s="103">
        <f t="shared" si="79"/>
        <v>146.44868603088076</v>
      </c>
      <c r="S91" s="103">
        <f t="shared" si="80"/>
        <v>81.91871172482773</v>
      </c>
      <c r="T91" s="103">
        <f t="shared" si="81"/>
        <v>150.44686480232784</v>
      </c>
    </row>
    <row r="92" spans="2:20">
      <c r="B92" s="61" t="s">
        <v>213</v>
      </c>
      <c r="C92" s="103">
        <f t="shared" si="66"/>
        <v>159.61132799999999</v>
      </c>
      <c r="D92" s="103">
        <f t="shared" si="67"/>
        <v>81.468282000000002</v>
      </c>
      <c r="E92" s="103">
        <f t="shared" si="68"/>
        <v>148.30567207322781</v>
      </c>
      <c r="F92" s="103">
        <f t="shared" si="69"/>
        <v>75.697686787376696</v>
      </c>
      <c r="G92" s="103">
        <f t="shared" si="70"/>
        <v>147.21543307816285</v>
      </c>
      <c r="H92" s="103">
        <f t="shared" si="71"/>
        <v>75.141210633645628</v>
      </c>
      <c r="I92" s="103">
        <f t="shared" si="72"/>
        <v>151.23454472275887</v>
      </c>
      <c r="J92" s="103">
        <f t="shared" si="73"/>
        <v>77.192632202241512</v>
      </c>
      <c r="L92" s="61" t="s">
        <v>213</v>
      </c>
      <c r="M92" s="103">
        <f t="shared" si="74"/>
        <v>186.21321599999996</v>
      </c>
      <c r="N92" s="103">
        <f t="shared" si="75"/>
        <v>157.94870999999998</v>
      </c>
      <c r="O92" s="103">
        <f t="shared" si="76"/>
        <v>173.02328408543244</v>
      </c>
      <c r="P92" s="103">
        <f t="shared" si="77"/>
        <v>146.76082132246501</v>
      </c>
      <c r="Q92" s="103">
        <f t="shared" si="78"/>
        <v>171.75133859118998</v>
      </c>
      <c r="R92" s="103">
        <f t="shared" si="79"/>
        <v>145.68193898359866</v>
      </c>
      <c r="S92" s="103">
        <f t="shared" si="80"/>
        <v>176.440302176552</v>
      </c>
      <c r="T92" s="103">
        <f t="shared" si="81"/>
        <v>149.65918488189681</v>
      </c>
    </row>
    <row r="93" spans="2:20">
      <c r="B93" s="61" t="s">
        <v>214</v>
      </c>
      <c r="C93" s="103">
        <f t="shared" si="66"/>
        <v>81.468282000000002</v>
      </c>
      <c r="D93" s="103">
        <f t="shared" si="67"/>
        <v>80.636972999999983</v>
      </c>
      <c r="E93" s="103">
        <f t="shared" si="68"/>
        <v>75.697686787376696</v>
      </c>
      <c r="F93" s="103">
        <f t="shared" si="69"/>
        <v>74.925261411995294</v>
      </c>
      <c r="G93" s="103">
        <f t="shared" si="70"/>
        <v>75.141210633645628</v>
      </c>
      <c r="H93" s="103">
        <f t="shared" si="71"/>
        <v>74.374463586363518</v>
      </c>
      <c r="I93" s="103">
        <f t="shared" si="72"/>
        <v>77.192632202241512</v>
      </c>
      <c r="J93" s="103">
        <f t="shared" si="73"/>
        <v>76.404952281810466</v>
      </c>
      <c r="L93" s="61" t="s">
        <v>214</v>
      </c>
      <c r="M93" s="103">
        <f t="shared" si="74"/>
        <v>70.661265</v>
      </c>
      <c r="N93" s="103">
        <f t="shared" si="75"/>
        <v>121.37111399999999</v>
      </c>
      <c r="O93" s="103">
        <f t="shared" si="76"/>
        <v>65.656156907418563</v>
      </c>
      <c r="P93" s="103">
        <f t="shared" si="77"/>
        <v>112.77410480568363</v>
      </c>
      <c r="Q93" s="103">
        <f t="shared" si="78"/>
        <v>65.173499018978347</v>
      </c>
      <c r="R93" s="103">
        <f t="shared" si="79"/>
        <v>111.94506890318632</v>
      </c>
      <c r="S93" s="103">
        <f t="shared" si="80"/>
        <v>66.952793236638044</v>
      </c>
      <c r="T93" s="103">
        <f t="shared" si="81"/>
        <v>115.00126838293123</v>
      </c>
    </row>
    <row r="94" spans="2:20">
      <c r="B94" s="61" t="s">
        <v>215</v>
      </c>
      <c r="C94" s="103">
        <f t="shared" si="66"/>
        <v>87.287444999999991</v>
      </c>
      <c r="D94" s="103">
        <f t="shared" si="67"/>
        <v>92.27529899999999</v>
      </c>
      <c r="E94" s="103">
        <f t="shared" si="68"/>
        <v>81.104664415046457</v>
      </c>
      <c r="F94" s="103">
        <f t="shared" si="69"/>
        <v>85.739216667334816</v>
      </c>
      <c r="G94" s="103">
        <f t="shared" si="70"/>
        <v>80.508439964620308</v>
      </c>
      <c r="H94" s="103">
        <f t="shared" si="71"/>
        <v>85.108922248312894</v>
      </c>
      <c r="I94" s="103">
        <f t="shared" si="72"/>
        <v>82.706391645258762</v>
      </c>
      <c r="J94" s="103">
        <f t="shared" si="73"/>
        <v>87.432471167844966</v>
      </c>
      <c r="L94" s="61" t="s">
        <v>215</v>
      </c>
      <c r="M94" s="103">
        <f t="shared" si="74"/>
        <v>99.757079999999988</v>
      </c>
      <c r="N94" s="103">
        <f t="shared" si="75"/>
        <v>199.51415999999998</v>
      </c>
      <c r="O94" s="103">
        <f t="shared" si="76"/>
        <v>92.691045045767382</v>
      </c>
      <c r="P94" s="103">
        <f t="shared" si="77"/>
        <v>185.38209009153476</v>
      </c>
      <c r="Q94" s="103">
        <f t="shared" si="78"/>
        <v>92.009645673851779</v>
      </c>
      <c r="R94" s="103">
        <f t="shared" si="79"/>
        <v>184.01929134770356</v>
      </c>
      <c r="S94" s="103">
        <f t="shared" si="80"/>
        <v>94.521590451724293</v>
      </c>
      <c r="T94" s="103">
        <f t="shared" si="81"/>
        <v>189.04318090344859</v>
      </c>
    </row>
    <row r="95" spans="2:20">
      <c r="B95" s="61" t="s">
        <v>216</v>
      </c>
      <c r="C95" s="103">
        <f t="shared" si="66"/>
        <v>49.047230999999996</v>
      </c>
      <c r="D95" s="103">
        <f t="shared" si="67"/>
        <v>64.842101999999997</v>
      </c>
      <c r="E95" s="103">
        <f t="shared" si="68"/>
        <v>45.573097147502295</v>
      </c>
      <c r="F95" s="103">
        <f t="shared" si="69"/>
        <v>60.249179279748795</v>
      </c>
      <c r="G95" s="103">
        <f t="shared" si="70"/>
        <v>45.238075789643794</v>
      </c>
      <c r="H95" s="103">
        <f t="shared" si="71"/>
        <v>59.806269688003653</v>
      </c>
      <c r="I95" s="103">
        <f t="shared" si="72"/>
        <v>46.473115305431115</v>
      </c>
      <c r="J95" s="103">
        <f t="shared" si="73"/>
        <v>61.439033793620787</v>
      </c>
      <c r="L95" s="61" t="s">
        <v>216</v>
      </c>
      <c r="M95" s="103">
        <f t="shared" si="74"/>
        <v>55.697702999999997</v>
      </c>
      <c r="N95" s="103">
        <f t="shared" si="75"/>
        <v>130.51551299999997</v>
      </c>
      <c r="O95" s="103">
        <f t="shared" si="76"/>
        <v>51.752500150553452</v>
      </c>
      <c r="P95" s="103">
        <f t="shared" si="77"/>
        <v>121.27078393487898</v>
      </c>
      <c r="Q95" s="103">
        <f t="shared" si="78"/>
        <v>51.372052167900577</v>
      </c>
      <c r="R95" s="103">
        <f t="shared" si="79"/>
        <v>120.3792864232894</v>
      </c>
      <c r="S95" s="103">
        <f t="shared" si="80"/>
        <v>52.774554668879397</v>
      </c>
      <c r="T95" s="103">
        <f t="shared" si="81"/>
        <v>123.66574750767262</v>
      </c>
    </row>
    <row r="96" spans="2:20">
      <c r="B96" s="61" t="s">
        <v>206</v>
      </c>
      <c r="C96" s="145">
        <f>SUMPRODUCT(C86:C95,$V$22:$V$31)</f>
        <v>138.17002251535351</v>
      </c>
      <c r="D96" s="145">
        <f t="shared" ref="D96:J96" si="82">SUMPRODUCT(D86:D95,$V$22:$V$31)</f>
        <v>84.262364615665746</v>
      </c>
      <c r="E96" s="145">
        <f t="shared" si="82"/>
        <v>128.38310605067153</v>
      </c>
      <c r="F96" s="145">
        <f t="shared" si="82"/>
        <v>78.293857781859188</v>
      </c>
      <c r="G96" s="145">
        <f t="shared" si="82"/>
        <v>127.43932374910929</v>
      </c>
      <c r="H96" s="145">
        <f t="shared" si="82"/>
        <v>77.718296404909921</v>
      </c>
      <c r="I96" s="145">
        <f t="shared" si="82"/>
        <v>130.91853010234229</v>
      </c>
      <c r="J96" s="145">
        <f t="shared" si="82"/>
        <v>79.840074696410738</v>
      </c>
      <c r="L96" s="61" t="s">
        <v>206</v>
      </c>
      <c r="M96" s="145">
        <f>SUMPRODUCT(M86:M95,$AD$22:$AD$31)</f>
        <v>147.18040070778909</v>
      </c>
      <c r="N96" s="145">
        <f t="shared" ref="N96:T96" si="83">SUMPRODUCT(N86:N95,$AD$22:$AD$31)</f>
        <v>199.23316399740136</v>
      </c>
      <c r="O96" s="145">
        <f t="shared" si="83"/>
        <v>136.75525738984919</v>
      </c>
      <c r="P96" s="145">
        <f t="shared" si="83"/>
        <v>185.12099771458713</v>
      </c>
      <c r="Q96" s="145">
        <f t="shared" si="83"/>
        <v>135.74992891992432</v>
      </c>
      <c r="R96" s="145">
        <f t="shared" si="83"/>
        <v>183.76011833828034</v>
      </c>
      <c r="S96" s="145">
        <f t="shared" si="83"/>
        <v>139.45602215123296</v>
      </c>
      <c r="T96" s="145">
        <f t="shared" si="83"/>
        <v>188.77693224143678</v>
      </c>
    </row>
    <row r="99" spans="2:20">
      <c r="B99" s="377">
        <f>Summary!I$4</f>
        <v>500</v>
      </c>
      <c r="C99" s="444" t="s">
        <v>256</v>
      </c>
      <c r="D99" s="444"/>
      <c r="E99" s="444"/>
      <c r="F99" s="444"/>
      <c r="G99" s="444"/>
      <c r="H99" s="444"/>
      <c r="I99" s="444"/>
      <c r="J99" s="444"/>
      <c r="L99" s="377">
        <f>Summary!I$4</f>
        <v>500</v>
      </c>
      <c r="M99" s="444" t="s">
        <v>258</v>
      </c>
      <c r="N99" s="444"/>
      <c r="O99" s="444"/>
      <c r="P99" s="444"/>
      <c r="Q99" s="444"/>
      <c r="R99" s="444"/>
      <c r="S99" s="444"/>
      <c r="T99" s="444"/>
    </row>
    <row r="100" spans="2:20">
      <c r="B100" s="39"/>
      <c r="C100" s="445">
        <f>$C$27</f>
        <v>45292</v>
      </c>
      <c r="D100" s="446"/>
      <c r="E100" s="445">
        <f>$D$27</f>
        <v>45536</v>
      </c>
      <c r="F100" s="446"/>
      <c r="G100" s="447" t="str">
        <f>$E$21</f>
        <v>Authorized</v>
      </c>
      <c r="H100" s="447"/>
      <c r="I100" s="448" t="str">
        <f>$F$21</f>
        <v>w/Pending</v>
      </c>
      <c r="J100" s="447"/>
      <c r="L100" s="39"/>
      <c r="M100" s="445">
        <f>$C$27</f>
        <v>45292</v>
      </c>
      <c r="N100" s="446"/>
      <c r="O100" s="445">
        <f>$D$27</f>
        <v>45536</v>
      </c>
      <c r="P100" s="446"/>
      <c r="Q100" s="447" t="str">
        <f>$E$21</f>
        <v>Authorized</v>
      </c>
      <c r="R100" s="447"/>
      <c r="S100" s="448" t="str">
        <f>$F$21</f>
        <v>w/Pending</v>
      </c>
      <c r="T100" s="447"/>
    </row>
    <row r="101" spans="2:20">
      <c r="B101" s="39"/>
      <c r="C101" s="103" t="s">
        <v>154</v>
      </c>
      <c r="D101" s="103" t="s">
        <v>155</v>
      </c>
      <c r="E101" s="103" t="s">
        <v>154</v>
      </c>
      <c r="F101" s="103" t="s">
        <v>155</v>
      </c>
      <c r="G101" s="103" t="s">
        <v>154</v>
      </c>
      <c r="H101" s="103" t="s">
        <v>155</v>
      </c>
      <c r="I101" s="103" t="s">
        <v>154</v>
      </c>
      <c r="J101" s="103" t="s">
        <v>155</v>
      </c>
      <c r="L101" s="39"/>
      <c r="M101" s="103" t="s">
        <v>154</v>
      </c>
      <c r="N101" s="103" t="s">
        <v>155</v>
      </c>
      <c r="O101" s="103" t="s">
        <v>154</v>
      </c>
      <c r="P101" s="103" t="s">
        <v>155</v>
      </c>
      <c r="Q101" s="103" t="s">
        <v>154</v>
      </c>
      <c r="R101" s="103" t="s">
        <v>155</v>
      </c>
      <c r="S101" s="103" t="s">
        <v>154</v>
      </c>
      <c r="T101" s="103" t="s">
        <v>155</v>
      </c>
    </row>
    <row r="102" spans="2:20">
      <c r="B102" s="61" t="s">
        <v>207</v>
      </c>
      <c r="C102" s="103">
        <f t="shared" ref="C102:D111" si="84">$C$22*MIN(I22,$B$99)+IF($B$99-I22&gt;0,$C$23*($B$99-I22))</f>
        <v>219.4506271875</v>
      </c>
      <c r="D102" s="103">
        <f t="shared" si="84"/>
        <v>227.48384437499999</v>
      </c>
      <c r="E102" s="103">
        <f t="shared" ref="E102:F111" si="85">$D$22*MIN(I22,$B$99)+IF($B$99-I22&gt;0,$D$23*($B$99-I22))</f>
        <v>203.92940384962776</v>
      </c>
      <c r="F102" s="103">
        <f t="shared" si="85"/>
        <v>211.4150119679573</v>
      </c>
      <c r="G102" s="103">
        <f t="shared" ref="G102:H111" si="86">$E$22*MIN(I22,$B$99)+IF($B$99-I22&gt;0,$E$23*($B$99-I22))</f>
        <v>202.43025829970279</v>
      </c>
      <c r="H102" s="103">
        <f t="shared" si="86"/>
        <v>209.86083749190772</v>
      </c>
      <c r="I102" s="103">
        <f t="shared" ref="I102:J111" si="87">$F$22*MIN(I22,$B$99)+IF($B$99-I22&gt;0,$F$23*($B$99-I22))</f>
        <v>207.95678355143335</v>
      </c>
      <c r="J102" s="103">
        <f t="shared" si="87"/>
        <v>215.59022413346031</v>
      </c>
      <c r="L102" s="61" t="s">
        <v>207</v>
      </c>
      <c r="M102" s="103">
        <f>$C$22*MIN(S22,$B$99)+IF($B$99-S22&gt;0,$C$23*($B$99-S22))</f>
        <v>210.04500000000002</v>
      </c>
      <c r="N102" s="103">
        <f>$C$22*MIN(T22,$B$99)+IF($B$99-T22&gt;0,$C$23*($B$99-T22))</f>
        <v>210.04500000000002</v>
      </c>
      <c r="O102" s="103">
        <f t="shared" ref="O102:P111" si="88">$D$22*MIN(S22,$B$99)+IF($B$99-S22&gt;0,$D$23*($B$99-S22))</f>
        <v>195.16494029917288</v>
      </c>
      <c r="P102" s="103">
        <f t="shared" si="88"/>
        <v>195.16494029917288</v>
      </c>
      <c r="Q102" s="103">
        <f t="shared" ref="Q102:R111" si="89">$E$22*MIN(S22,$B$99)+IF($B$99-S22&gt;0,$E$23*($B$99-S22))</f>
        <v>193.73022492106773</v>
      </c>
      <c r="R102" s="103">
        <f t="shared" si="89"/>
        <v>193.73022492106773</v>
      </c>
      <c r="S102" s="103">
        <f t="shared" ref="S102:T111" si="90">$F$22*MIN(S22,$B$99)+IF($B$99-S22&gt;0,$F$23*($B$99-S22))</f>
        <v>199.0192315599102</v>
      </c>
      <c r="T102" s="103">
        <f t="shared" si="90"/>
        <v>199.0192315599102</v>
      </c>
    </row>
    <row r="103" spans="2:20">
      <c r="B103" s="61" t="s">
        <v>208</v>
      </c>
      <c r="C103" s="103">
        <f t="shared" si="84"/>
        <v>231.33978862500001</v>
      </c>
      <c r="D103" s="103">
        <f t="shared" si="84"/>
        <v>227.48384437499999</v>
      </c>
      <c r="E103" s="103">
        <f t="shared" si="85"/>
        <v>215.00810386475553</v>
      </c>
      <c r="F103" s="103">
        <f t="shared" si="85"/>
        <v>211.4150119679573</v>
      </c>
      <c r="G103" s="103">
        <f t="shared" si="86"/>
        <v>213.42751550416611</v>
      </c>
      <c r="H103" s="103">
        <f t="shared" si="86"/>
        <v>209.86083749190772</v>
      </c>
      <c r="I103" s="103">
        <f t="shared" si="87"/>
        <v>219.25427561283323</v>
      </c>
      <c r="J103" s="103">
        <f t="shared" si="87"/>
        <v>215.59022413346031</v>
      </c>
      <c r="L103" s="61" t="s">
        <v>208</v>
      </c>
      <c r="M103" s="103">
        <f t="shared" ref="M103:N111" si="91">$C$22*MIN(S23,$B$99)+IF($B$99-S23&gt;0,$C$23*($B$99-S23))</f>
        <v>222.89814749999999</v>
      </c>
      <c r="N103" s="103">
        <f t="shared" si="91"/>
        <v>211.68133500000002</v>
      </c>
      <c r="O103" s="103">
        <f t="shared" si="88"/>
        <v>207.14191328850021</v>
      </c>
      <c r="P103" s="103">
        <f t="shared" si="88"/>
        <v>196.68972946824536</v>
      </c>
      <c r="Q103" s="103">
        <f t="shared" si="89"/>
        <v>205.61915162859566</v>
      </c>
      <c r="R103" s="103">
        <f t="shared" si="89"/>
        <v>195.24380491258052</v>
      </c>
      <c r="S103" s="103">
        <f t="shared" si="90"/>
        <v>211.23273649115333</v>
      </c>
      <c r="T103" s="103">
        <f t="shared" si="90"/>
        <v>200.57413362507873</v>
      </c>
    </row>
    <row r="104" spans="2:20">
      <c r="B104" s="61" t="s">
        <v>209</v>
      </c>
      <c r="C104" s="103">
        <f t="shared" si="84"/>
        <v>210.04500000000002</v>
      </c>
      <c r="D104" s="103">
        <f t="shared" si="84"/>
        <v>229.41181649999999</v>
      </c>
      <c r="E104" s="103">
        <f t="shared" si="85"/>
        <v>195.16494029917288</v>
      </c>
      <c r="F104" s="103">
        <f t="shared" si="85"/>
        <v>213.21155791635641</v>
      </c>
      <c r="G104" s="103">
        <f t="shared" si="86"/>
        <v>193.73022492106773</v>
      </c>
      <c r="H104" s="103">
        <f t="shared" si="86"/>
        <v>211.64417649803693</v>
      </c>
      <c r="I104" s="103">
        <f t="shared" si="87"/>
        <v>199.0192315599102</v>
      </c>
      <c r="J104" s="103">
        <f t="shared" si="87"/>
        <v>217.42224987314677</v>
      </c>
      <c r="L104" s="61" t="s">
        <v>209</v>
      </c>
      <c r="M104" s="103">
        <f t="shared" si="91"/>
        <v>210.04500000000002</v>
      </c>
      <c r="N104" s="103">
        <f t="shared" si="91"/>
        <v>215.00679</v>
      </c>
      <c r="O104" s="103">
        <f t="shared" si="88"/>
        <v>195.16494029917288</v>
      </c>
      <c r="P104" s="103">
        <f t="shared" si="88"/>
        <v>199.78849455377974</v>
      </c>
      <c r="Q104" s="103">
        <f t="shared" si="89"/>
        <v>193.73022492106773</v>
      </c>
      <c r="R104" s="103">
        <f t="shared" si="89"/>
        <v>198.31979005662268</v>
      </c>
      <c r="S104" s="103">
        <f t="shared" si="90"/>
        <v>199.0192315599102</v>
      </c>
      <c r="T104" s="103">
        <f t="shared" si="90"/>
        <v>203.73409588655025</v>
      </c>
    </row>
    <row r="105" spans="2:20">
      <c r="B105" s="61" t="s">
        <v>210</v>
      </c>
      <c r="C105" s="103">
        <f t="shared" si="84"/>
        <v>214.63069687500001</v>
      </c>
      <c r="D105" s="103">
        <f t="shared" si="84"/>
        <v>230.05447387499999</v>
      </c>
      <c r="E105" s="103">
        <f t="shared" si="85"/>
        <v>199.43803897863</v>
      </c>
      <c r="F105" s="103">
        <f t="shared" si="85"/>
        <v>213.8104065658228</v>
      </c>
      <c r="G105" s="103">
        <f t="shared" si="86"/>
        <v>197.97191078437982</v>
      </c>
      <c r="H105" s="103">
        <f t="shared" si="86"/>
        <v>212.23862283341333</v>
      </c>
      <c r="I105" s="103">
        <f t="shared" si="87"/>
        <v>203.37671920221717</v>
      </c>
      <c r="J105" s="103">
        <f t="shared" si="87"/>
        <v>218.03292511970892</v>
      </c>
      <c r="L105" s="61" t="s">
        <v>210</v>
      </c>
      <c r="M105" s="103">
        <f t="shared" si="91"/>
        <v>210.04500000000002</v>
      </c>
      <c r="N105" s="103">
        <f t="shared" si="91"/>
        <v>215.91733124999999</v>
      </c>
      <c r="O105" s="103">
        <f t="shared" si="88"/>
        <v>195.16494029917288</v>
      </c>
      <c r="P105" s="103">
        <f t="shared" si="88"/>
        <v>200.63696594624747</v>
      </c>
      <c r="Q105" s="103">
        <f t="shared" si="89"/>
        <v>193.73022492106773</v>
      </c>
      <c r="R105" s="103">
        <f t="shared" si="89"/>
        <v>199.16202408415799</v>
      </c>
      <c r="S105" s="103">
        <f t="shared" si="90"/>
        <v>199.0192315599102</v>
      </c>
      <c r="T105" s="103">
        <f t="shared" si="90"/>
        <v>204.59932364861984</v>
      </c>
    </row>
    <row r="106" spans="2:20">
      <c r="B106" s="61" t="s">
        <v>211</v>
      </c>
      <c r="C106" s="103">
        <f t="shared" si="84"/>
        <v>241.94363531249999</v>
      </c>
      <c r="D106" s="103">
        <f t="shared" si="84"/>
        <v>238.7303484375</v>
      </c>
      <c r="E106" s="103">
        <f t="shared" si="85"/>
        <v>224.88910658095057</v>
      </c>
      <c r="F106" s="103">
        <f t="shared" si="85"/>
        <v>221.89486333361873</v>
      </c>
      <c r="G106" s="103">
        <f t="shared" si="86"/>
        <v>223.23588003787665</v>
      </c>
      <c r="H106" s="103">
        <f t="shared" si="86"/>
        <v>220.26364836099469</v>
      </c>
      <c r="I106" s="103">
        <f t="shared" si="87"/>
        <v>229.33041718110883</v>
      </c>
      <c r="J106" s="103">
        <f t="shared" si="87"/>
        <v>226.27704094829807</v>
      </c>
      <c r="L106" s="61" t="s">
        <v>211</v>
      </c>
      <c r="M106" s="103">
        <f t="shared" si="91"/>
        <v>235.69851</v>
      </c>
      <c r="N106" s="103">
        <f t="shared" si="91"/>
        <v>230.01092625000001</v>
      </c>
      <c r="O106" s="103">
        <f t="shared" si="88"/>
        <v>219.06969953043807</v>
      </c>
      <c r="P106" s="103">
        <f t="shared" si="88"/>
        <v>213.76982749922649</v>
      </c>
      <c r="Q106" s="103">
        <f t="shared" si="89"/>
        <v>217.45925317510705</v>
      </c>
      <c r="R106" s="103">
        <f t="shared" si="89"/>
        <v>212.19834207557466</v>
      </c>
      <c r="S106" s="103">
        <f t="shared" si="90"/>
        <v>223.39608329126202</v>
      </c>
      <c r="T106" s="103">
        <f t="shared" si="90"/>
        <v>217.99154466152299</v>
      </c>
    </row>
    <row r="107" spans="2:20">
      <c r="B107" s="61" t="s">
        <v>212</v>
      </c>
      <c r="C107" s="103">
        <f t="shared" si="84"/>
        <v>240.0156631875</v>
      </c>
      <c r="D107" s="103">
        <f t="shared" si="84"/>
        <v>236.8023763125</v>
      </c>
      <c r="E107" s="103">
        <f t="shared" si="85"/>
        <v>223.09256063255143</v>
      </c>
      <c r="F107" s="103">
        <f t="shared" si="85"/>
        <v>220.09831738521962</v>
      </c>
      <c r="G107" s="103">
        <f t="shared" si="86"/>
        <v>221.45254103174747</v>
      </c>
      <c r="H107" s="103">
        <f t="shared" si="86"/>
        <v>218.48030935486548</v>
      </c>
      <c r="I107" s="103">
        <f t="shared" si="87"/>
        <v>227.49839144142237</v>
      </c>
      <c r="J107" s="103">
        <f t="shared" si="87"/>
        <v>224.44501520861158</v>
      </c>
      <c r="L107" s="61" t="s">
        <v>212</v>
      </c>
      <c r="M107" s="103">
        <f t="shared" si="91"/>
        <v>232.84811999999999</v>
      </c>
      <c r="N107" s="103">
        <f t="shared" si="91"/>
        <v>225.3262575</v>
      </c>
      <c r="O107" s="103">
        <f t="shared" si="88"/>
        <v>216.41361517140859</v>
      </c>
      <c r="P107" s="103">
        <f t="shared" si="88"/>
        <v>209.40450366841418</v>
      </c>
      <c r="Q107" s="103">
        <f t="shared" si="89"/>
        <v>214.82269448021378</v>
      </c>
      <c r="R107" s="103">
        <f t="shared" si="89"/>
        <v>207.86510903535657</v>
      </c>
      <c r="S107" s="103">
        <f t="shared" si="90"/>
        <v>220.68754421000068</v>
      </c>
      <c r="T107" s="103">
        <f t="shared" si="90"/>
        <v>213.54001052333888</v>
      </c>
    </row>
    <row r="108" spans="2:20">
      <c r="B108" s="61" t="s">
        <v>213</v>
      </c>
      <c r="C108" s="103">
        <f t="shared" si="84"/>
        <v>210.04500000000002</v>
      </c>
      <c r="D108" s="103">
        <f t="shared" si="84"/>
        <v>231.33978862500001</v>
      </c>
      <c r="E108" s="103">
        <f t="shared" si="85"/>
        <v>195.16494029917288</v>
      </c>
      <c r="F108" s="103">
        <f t="shared" si="85"/>
        <v>215.00810386475553</v>
      </c>
      <c r="G108" s="103">
        <f t="shared" si="86"/>
        <v>193.73022492106773</v>
      </c>
      <c r="H108" s="103">
        <f t="shared" si="86"/>
        <v>213.42751550416611</v>
      </c>
      <c r="I108" s="103">
        <f t="shared" si="87"/>
        <v>199.0192315599102</v>
      </c>
      <c r="J108" s="103">
        <f t="shared" si="87"/>
        <v>219.25427561283323</v>
      </c>
      <c r="L108" s="61" t="s">
        <v>213</v>
      </c>
      <c r="M108" s="103">
        <f t="shared" si="91"/>
        <v>210.04500000000002</v>
      </c>
      <c r="N108" s="103">
        <f t="shared" si="91"/>
        <v>218.14749750000001</v>
      </c>
      <c r="O108" s="103">
        <f t="shared" si="88"/>
        <v>195.16494029917288</v>
      </c>
      <c r="P108" s="103">
        <f t="shared" si="88"/>
        <v>202.71510602345109</v>
      </c>
      <c r="Q108" s="103">
        <f t="shared" si="89"/>
        <v>193.73022492106773</v>
      </c>
      <c r="R108" s="103">
        <f t="shared" si="89"/>
        <v>201.22488713710692</v>
      </c>
      <c r="S108" s="103">
        <f t="shared" si="90"/>
        <v>199.0192315599102</v>
      </c>
      <c r="T108" s="103">
        <f t="shared" si="90"/>
        <v>206.71850468905114</v>
      </c>
    </row>
    <row r="109" spans="2:20">
      <c r="B109" s="61" t="s">
        <v>214</v>
      </c>
      <c r="C109" s="103">
        <f t="shared" si="84"/>
        <v>231.33978862500001</v>
      </c>
      <c r="D109" s="103">
        <f t="shared" si="84"/>
        <v>231.66111731250001</v>
      </c>
      <c r="E109" s="103">
        <f t="shared" si="85"/>
        <v>215.00810386475553</v>
      </c>
      <c r="F109" s="103">
        <f t="shared" si="85"/>
        <v>215.30752818948869</v>
      </c>
      <c r="G109" s="103">
        <f t="shared" si="86"/>
        <v>213.42751550416611</v>
      </c>
      <c r="H109" s="103">
        <f t="shared" si="86"/>
        <v>213.72473867185431</v>
      </c>
      <c r="I109" s="103">
        <f t="shared" si="87"/>
        <v>219.25427561283323</v>
      </c>
      <c r="J109" s="103">
        <f t="shared" si="87"/>
        <v>219.55961323611433</v>
      </c>
      <c r="L109" s="61" t="s">
        <v>214</v>
      </c>
      <c r="M109" s="103">
        <f t="shared" si="91"/>
        <v>222.73979250000002</v>
      </c>
      <c r="N109" s="103">
        <f t="shared" si="91"/>
        <v>222.56824125</v>
      </c>
      <c r="O109" s="103">
        <f t="shared" si="88"/>
        <v>206.9943530463319</v>
      </c>
      <c r="P109" s="103">
        <f t="shared" si="88"/>
        <v>206.83449611731623</v>
      </c>
      <c r="Q109" s="103">
        <f t="shared" si="89"/>
        <v>205.47267614554602</v>
      </c>
      <c r="R109" s="103">
        <f t="shared" si="89"/>
        <v>205.31399437224226</v>
      </c>
      <c r="S109" s="103">
        <f t="shared" si="90"/>
        <v>211.08226209774992</v>
      </c>
      <c r="T109" s="103">
        <f t="shared" si="90"/>
        <v>210.91924817156288</v>
      </c>
    </row>
    <row r="110" spans="2:20">
      <c r="B110" s="61" t="s">
        <v>215</v>
      </c>
      <c r="C110" s="103">
        <f t="shared" si="84"/>
        <v>229.09048781250002</v>
      </c>
      <c r="D110" s="103">
        <f t="shared" si="84"/>
        <v>227.16251568750002</v>
      </c>
      <c r="E110" s="103">
        <f t="shared" si="85"/>
        <v>212.91213359162322</v>
      </c>
      <c r="F110" s="103">
        <f t="shared" si="85"/>
        <v>211.11558764322416</v>
      </c>
      <c r="G110" s="103">
        <f t="shared" si="86"/>
        <v>211.34695333034875</v>
      </c>
      <c r="H110" s="103">
        <f t="shared" si="86"/>
        <v>209.56361432421954</v>
      </c>
      <c r="I110" s="103">
        <f t="shared" si="87"/>
        <v>217.11691224986569</v>
      </c>
      <c r="J110" s="103">
        <f t="shared" si="87"/>
        <v>215.28488651017923</v>
      </c>
      <c r="L110" s="61" t="s">
        <v>215</v>
      </c>
      <c r="M110" s="103">
        <f t="shared" si="91"/>
        <v>211.99804499999999</v>
      </c>
      <c r="N110" s="103">
        <f t="shared" si="91"/>
        <v>210.04500000000002</v>
      </c>
      <c r="O110" s="103">
        <f t="shared" si="88"/>
        <v>196.98484995258195</v>
      </c>
      <c r="P110" s="103">
        <f t="shared" si="88"/>
        <v>195.16494029917288</v>
      </c>
      <c r="Q110" s="103">
        <f t="shared" si="89"/>
        <v>195.53675587867977</v>
      </c>
      <c r="R110" s="103">
        <f t="shared" si="89"/>
        <v>193.73022492106773</v>
      </c>
      <c r="S110" s="103">
        <f t="shared" si="90"/>
        <v>200.87508241188553</v>
      </c>
      <c r="T110" s="103">
        <f t="shared" si="90"/>
        <v>199.0192315599102</v>
      </c>
    </row>
    <row r="111" spans="2:20">
      <c r="B111" s="61" t="s">
        <v>216</v>
      </c>
      <c r="C111" s="103">
        <f t="shared" si="84"/>
        <v>243.87160743750002</v>
      </c>
      <c r="D111" s="103">
        <f t="shared" si="84"/>
        <v>237.766362375</v>
      </c>
      <c r="E111" s="103">
        <f t="shared" si="85"/>
        <v>226.68565252934962</v>
      </c>
      <c r="F111" s="103">
        <f t="shared" si="85"/>
        <v>220.99659035941914</v>
      </c>
      <c r="G111" s="103">
        <f t="shared" si="86"/>
        <v>225.01921904400587</v>
      </c>
      <c r="H111" s="103">
        <f t="shared" si="86"/>
        <v>219.37197885793006</v>
      </c>
      <c r="I111" s="103">
        <f t="shared" si="87"/>
        <v>231.16244292079531</v>
      </c>
      <c r="J111" s="103">
        <f t="shared" si="87"/>
        <v>225.36102807845481</v>
      </c>
      <c r="L111" s="61" t="s">
        <v>216</v>
      </c>
      <c r="M111" s="103">
        <f t="shared" si="91"/>
        <v>231.84520500000002</v>
      </c>
      <c r="N111" s="103">
        <f t="shared" si="91"/>
        <v>226.47433125000001</v>
      </c>
      <c r="O111" s="103">
        <f t="shared" si="88"/>
        <v>215.47906697100933</v>
      </c>
      <c r="P111" s="103">
        <f t="shared" si="88"/>
        <v>210.47431542413437</v>
      </c>
      <c r="Q111" s="103">
        <f t="shared" si="89"/>
        <v>213.89501642089951</v>
      </c>
      <c r="R111" s="103">
        <f t="shared" si="89"/>
        <v>208.92705628746637</v>
      </c>
      <c r="S111" s="103">
        <f t="shared" si="90"/>
        <v>219.73453971844577</v>
      </c>
      <c r="T111" s="103">
        <f t="shared" si="90"/>
        <v>214.63094987551358</v>
      </c>
    </row>
    <row r="112" spans="2:20">
      <c r="B112" s="61" t="s">
        <v>206</v>
      </c>
      <c r="C112" s="145">
        <f t="shared" ref="C112:J112" si="92">SUMPRODUCT(C102:C111,$U$22:$U$31)</f>
        <v>216.37602407110612</v>
      </c>
      <c r="D112" s="145">
        <f t="shared" si="92"/>
        <v>230.46462481955837</v>
      </c>
      <c r="E112" s="145">
        <f t="shared" si="92"/>
        <v>201.0643905540166</v>
      </c>
      <c r="F112" s="145">
        <f t="shared" si="92"/>
        <v>214.19259830403496</v>
      </c>
      <c r="G112" s="145">
        <f t="shared" si="92"/>
        <v>199.58630656682615</v>
      </c>
      <c r="H112" s="145">
        <f t="shared" si="92"/>
        <v>212.61800496676844</v>
      </c>
      <c r="I112" s="145">
        <f t="shared" si="92"/>
        <v>205.03518941865832</v>
      </c>
      <c r="J112" s="145">
        <f t="shared" si="92"/>
        <v>218.42266472115034</v>
      </c>
      <c r="L112" s="61" t="s">
        <v>206</v>
      </c>
      <c r="M112" s="145">
        <f t="shared" ref="M112:T112" si="93">SUMPRODUCT(M102:M111,$AC$22:$AC$31)</f>
        <v>212.38394664883452</v>
      </c>
      <c r="N112" s="145">
        <f t="shared" si="93"/>
        <v>215.04446607031312</v>
      </c>
      <c r="O112" s="145">
        <f t="shared" si="93"/>
        <v>197.34444542323439</v>
      </c>
      <c r="P112" s="145">
        <f t="shared" si="93"/>
        <v>199.8236023183552</v>
      </c>
      <c r="Q112" s="145">
        <f t="shared" si="93"/>
        <v>195.8937078563419</v>
      </c>
      <c r="R112" s="145">
        <f t="shared" si="93"/>
        <v>198.35463973360487</v>
      </c>
      <c r="S112" s="145">
        <f t="shared" si="93"/>
        <v>201.24177949452735</v>
      </c>
      <c r="T112" s="145">
        <f t="shared" si="93"/>
        <v>203.76989699056452</v>
      </c>
    </row>
    <row r="114" spans="2:20">
      <c r="B114" s="377">
        <f>Summary!I$4</f>
        <v>500</v>
      </c>
      <c r="C114" s="444" t="s">
        <v>257</v>
      </c>
      <c r="D114" s="444"/>
      <c r="E114" s="444"/>
      <c r="F114" s="444"/>
      <c r="G114" s="444"/>
      <c r="H114" s="444"/>
      <c r="I114" s="444"/>
      <c r="J114" s="444"/>
      <c r="L114" s="377">
        <f>Summary!I$4</f>
        <v>500</v>
      </c>
      <c r="M114" s="444" t="s">
        <v>259</v>
      </c>
      <c r="N114" s="444"/>
      <c r="O114" s="444"/>
      <c r="P114" s="444"/>
      <c r="Q114" s="444"/>
      <c r="R114" s="444"/>
      <c r="S114" s="444"/>
      <c r="T114" s="444"/>
    </row>
    <row r="115" spans="2:20">
      <c r="B115" s="39"/>
      <c r="C115" s="445">
        <f>$C$27</f>
        <v>45292</v>
      </c>
      <c r="D115" s="446"/>
      <c r="E115" s="445">
        <f>$D$27</f>
        <v>45536</v>
      </c>
      <c r="F115" s="446"/>
      <c r="G115" s="447" t="str">
        <f>$E$21</f>
        <v>Authorized</v>
      </c>
      <c r="H115" s="447"/>
      <c r="I115" s="448" t="str">
        <f>$F$21</f>
        <v>w/Pending</v>
      </c>
      <c r="J115" s="447"/>
      <c r="L115" s="39"/>
      <c r="M115" s="445">
        <f>$C$27</f>
        <v>45292</v>
      </c>
      <c r="N115" s="446"/>
      <c r="O115" s="445">
        <f>$D$27</f>
        <v>45536</v>
      </c>
      <c r="P115" s="446"/>
      <c r="Q115" s="447" t="str">
        <f>$E$21</f>
        <v>Authorized</v>
      </c>
      <c r="R115" s="447"/>
      <c r="S115" s="448" t="str">
        <f>$F$21</f>
        <v>w/Pending</v>
      </c>
      <c r="T115" s="447"/>
    </row>
    <row r="116" spans="2:20">
      <c r="B116" s="39"/>
      <c r="C116" s="103" t="s">
        <v>154</v>
      </c>
      <c r="D116" s="103" t="s">
        <v>155</v>
      </c>
      <c r="E116" s="103" t="s">
        <v>154</v>
      </c>
      <c r="F116" s="103" t="s">
        <v>155</v>
      </c>
      <c r="G116" s="103" t="s">
        <v>154</v>
      </c>
      <c r="H116" s="103" t="s">
        <v>155</v>
      </c>
      <c r="I116" s="103" t="s">
        <v>154</v>
      </c>
      <c r="J116" s="103" t="s">
        <v>155</v>
      </c>
      <c r="L116" s="39"/>
      <c r="M116" s="103" t="s">
        <v>154</v>
      </c>
      <c r="N116" s="103" t="s">
        <v>155</v>
      </c>
      <c r="O116" s="103" t="s">
        <v>154</v>
      </c>
      <c r="P116" s="103" t="s">
        <v>155</v>
      </c>
      <c r="Q116" s="103" t="s">
        <v>154</v>
      </c>
      <c r="R116" s="103" t="s">
        <v>155</v>
      </c>
      <c r="S116" s="103" t="s">
        <v>154</v>
      </c>
      <c r="T116" s="103" t="s">
        <v>155</v>
      </c>
    </row>
    <row r="117" spans="2:20">
      <c r="B117" s="61" t="s">
        <v>207</v>
      </c>
      <c r="C117" s="103">
        <f t="shared" ref="C117:D126" si="94">$C$28*MIN(I22,$B$114)+IF($B$114-I22&gt;0,$C$29*($B$114-I22))</f>
        <v>142.67450406249998</v>
      </c>
      <c r="D117" s="103">
        <f t="shared" si="94"/>
        <v>147.89681812499998</v>
      </c>
      <c r="E117" s="103">
        <f t="shared" ref="E117:F126" si="95">$D$28*MIN(I22,$B$114)+IF($B$114-I22&gt;0,$D$29*($B$114-I22))</f>
        <v>132.58538812553704</v>
      </c>
      <c r="F117" s="103">
        <f t="shared" si="95"/>
        <v>137.45219623957587</v>
      </c>
      <c r="G117" s="103">
        <f t="shared" ref="G117:H126" si="96">$E$28*MIN(I22,$B$114)+IF($B$114-I22&gt;0,$E$29*($B$114-I22))</f>
        <v>131.61071360170013</v>
      </c>
      <c r="H117" s="103">
        <f t="shared" si="96"/>
        <v>136.44174436539731</v>
      </c>
      <c r="I117" s="103">
        <f t="shared" ref="I117:J126" si="97">$F$28*MIN(I22,$B$114)+IF($B$114-I22&gt;0,$F$29*($B$114-I22))</f>
        <v>135.20380259060622</v>
      </c>
      <c r="J117" s="103">
        <f t="shared" si="97"/>
        <v>140.16672477079277</v>
      </c>
      <c r="L117" s="61" t="s">
        <v>207</v>
      </c>
      <c r="M117" s="103">
        <f t="shared" ref="M117:N126" si="98">$C$28*MIN(S22,$B$114)+IF($B$114-S22&gt;0,$C$29*($B$114-S22))</f>
        <v>136.55999999999997</v>
      </c>
      <c r="N117" s="103">
        <f t="shared" si="98"/>
        <v>136.55999999999997</v>
      </c>
      <c r="O117" s="103">
        <f t="shared" ref="O117:P126" si="99">$D$28*MIN(S22,$B$114)+IF($B$114-S22&gt;0,$D$29*($B$114-S22))</f>
        <v>126.88712531932563</v>
      </c>
      <c r="P117" s="103">
        <f t="shared" si="99"/>
        <v>126.88712531932563</v>
      </c>
      <c r="Q117" s="103">
        <f t="shared" ref="Q117:R126" si="100">$E$28*MIN(S22,$B$114)+IF($B$114-S22&gt;0,$E$29*($B$114-S22))</f>
        <v>125.95434041595041</v>
      </c>
      <c r="R117" s="103">
        <f t="shared" si="100"/>
        <v>125.95434041595041</v>
      </c>
      <c r="S117" s="103">
        <f t="shared" ref="S117:T126" si="101">$F$28*MIN(S22,$B$114)+IF($B$114-S22&gt;0,$F$29*($B$114-S22))</f>
        <v>129.39300540961574</v>
      </c>
      <c r="T117" s="103">
        <f t="shared" si="101"/>
        <v>129.39300540961574</v>
      </c>
    </row>
    <row r="118" spans="2:20">
      <c r="B118" s="61" t="s">
        <v>208</v>
      </c>
      <c r="C118" s="103">
        <f t="shared" si="94"/>
        <v>150.40352887500001</v>
      </c>
      <c r="D118" s="103">
        <f t="shared" si="94"/>
        <v>147.89681812499998</v>
      </c>
      <c r="E118" s="103">
        <f t="shared" si="95"/>
        <v>139.78826413431452</v>
      </c>
      <c r="F118" s="103">
        <f t="shared" si="95"/>
        <v>137.45219623957587</v>
      </c>
      <c r="G118" s="103">
        <f t="shared" si="96"/>
        <v>138.76063913197194</v>
      </c>
      <c r="H118" s="103">
        <f t="shared" si="96"/>
        <v>136.44174436539731</v>
      </c>
      <c r="I118" s="103">
        <f t="shared" si="97"/>
        <v>142.5489274172823</v>
      </c>
      <c r="J118" s="103">
        <f t="shared" si="97"/>
        <v>140.16672477079277</v>
      </c>
      <c r="L118" s="61" t="s">
        <v>208</v>
      </c>
      <c r="M118" s="103">
        <f t="shared" si="98"/>
        <v>144.91570250000001</v>
      </c>
      <c r="N118" s="103">
        <f t="shared" si="98"/>
        <v>137.62376499999999</v>
      </c>
      <c r="O118" s="103">
        <f t="shared" si="99"/>
        <v>134.67401830178778</v>
      </c>
      <c r="P118" s="103">
        <f t="shared" si="99"/>
        <v>127.8784751446083</v>
      </c>
      <c r="Q118" s="103">
        <f t="shared" si="100"/>
        <v>133.68398963786586</v>
      </c>
      <c r="R118" s="103">
        <f t="shared" si="100"/>
        <v>126.93840253455156</v>
      </c>
      <c r="S118" s="103">
        <f t="shared" si="101"/>
        <v>137.33368089791421</v>
      </c>
      <c r="T118" s="103">
        <f t="shared" si="101"/>
        <v>130.40393329518966</v>
      </c>
    </row>
    <row r="119" spans="2:20">
      <c r="B119" s="61" t="s">
        <v>209</v>
      </c>
      <c r="C119" s="103">
        <f t="shared" si="94"/>
        <v>136.55999999999997</v>
      </c>
      <c r="D119" s="103">
        <f t="shared" si="94"/>
        <v>149.15017349999999</v>
      </c>
      <c r="E119" s="103">
        <f t="shared" si="95"/>
        <v>126.88712531932563</v>
      </c>
      <c r="F119" s="103">
        <f t="shared" si="95"/>
        <v>138.62023018694521</v>
      </c>
      <c r="G119" s="103">
        <f t="shared" si="96"/>
        <v>125.95434041595041</v>
      </c>
      <c r="H119" s="103">
        <f t="shared" si="96"/>
        <v>137.60119174868461</v>
      </c>
      <c r="I119" s="103">
        <f t="shared" si="97"/>
        <v>129.39300540961574</v>
      </c>
      <c r="J119" s="103">
        <f t="shared" si="97"/>
        <v>141.35782609403753</v>
      </c>
      <c r="L119" s="61" t="s">
        <v>209</v>
      </c>
      <c r="M119" s="103">
        <f t="shared" si="98"/>
        <v>136.55999999999997</v>
      </c>
      <c r="N119" s="103">
        <f t="shared" si="98"/>
        <v>139.78560999999999</v>
      </c>
      <c r="O119" s="103">
        <f t="shared" si="99"/>
        <v>126.88712531932563</v>
      </c>
      <c r="P119" s="103">
        <f t="shared" si="99"/>
        <v>129.89315382179564</v>
      </c>
      <c r="Q119" s="103">
        <f t="shared" si="100"/>
        <v>125.95434041595041</v>
      </c>
      <c r="R119" s="103">
        <f t="shared" si="100"/>
        <v>128.93827071106355</v>
      </c>
      <c r="S119" s="103">
        <f t="shared" si="101"/>
        <v>129.39300540961574</v>
      </c>
      <c r="T119" s="103">
        <f t="shared" si="101"/>
        <v>132.45839964329153</v>
      </c>
    </row>
    <row r="120" spans="2:20">
      <c r="B120" s="61" t="s">
        <v>210</v>
      </c>
      <c r="C120" s="103">
        <f t="shared" si="94"/>
        <v>139.54111562499997</v>
      </c>
      <c r="D120" s="103">
        <f t="shared" si="94"/>
        <v>149.56795862500002</v>
      </c>
      <c r="E120" s="103">
        <f t="shared" si="95"/>
        <v>129.66530325711372</v>
      </c>
      <c r="F120" s="103">
        <f t="shared" si="95"/>
        <v>139.00957483606831</v>
      </c>
      <c r="G120" s="103">
        <f t="shared" si="96"/>
        <v>128.71209514348186</v>
      </c>
      <c r="H120" s="103">
        <f t="shared" si="96"/>
        <v>137.98767420978038</v>
      </c>
      <c r="I120" s="103">
        <f t="shared" si="97"/>
        <v>132.2260492824943</v>
      </c>
      <c r="J120" s="103">
        <f t="shared" si="97"/>
        <v>141.75485986845246</v>
      </c>
      <c r="L120" s="61" t="s">
        <v>210</v>
      </c>
      <c r="M120" s="103">
        <f t="shared" si="98"/>
        <v>136.55999999999997</v>
      </c>
      <c r="N120" s="103">
        <f t="shared" si="98"/>
        <v>140.37754374999997</v>
      </c>
      <c r="O120" s="103">
        <f t="shared" si="99"/>
        <v>126.88712531932563</v>
      </c>
      <c r="P120" s="103">
        <f t="shared" si="99"/>
        <v>130.44479203102549</v>
      </c>
      <c r="Q120" s="103">
        <f t="shared" si="100"/>
        <v>125.95434041595041</v>
      </c>
      <c r="R120" s="103">
        <f t="shared" si="100"/>
        <v>129.48585366415614</v>
      </c>
      <c r="S120" s="103">
        <f t="shared" si="101"/>
        <v>129.39300540961574</v>
      </c>
      <c r="T120" s="103">
        <f t="shared" si="101"/>
        <v>133.02093209574801</v>
      </c>
    </row>
    <row r="121" spans="2:20">
      <c r="B121" s="61" t="s">
        <v>211</v>
      </c>
      <c r="C121" s="103">
        <f t="shared" si="94"/>
        <v>157.29698343749999</v>
      </c>
      <c r="D121" s="103">
        <f t="shared" si="94"/>
        <v>155.20805781249999</v>
      </c>
      <c r="E121" s="103">
        <f t="shared" si="95"/>
        <v>146.21245084484579</v>
      </c>
      <c r="F121" s="103">
        <f t="shared" si="95"/>
        <v>144.26572759923027</v>
      </c>
      <c r="G121" s="103">
        <f t="shared" si="96"/>
        <v>145.13759974005217</v>
      </c>
      <c r="H121" s="103">
        <f t="shared" si="96"/>
        <v>143.2051874345733</v>
      </c>
      <c r="I121" s="103">
        <f t="shared" si="97"/>
        <v>149.09998469512851</v>
      </c>
      <c r="J121" s="103">
        <f t="shared" si="97"/>
        <v>147.1148158230539</v>
      </c>
      <c r="L121" s="61" t="s">
        <v>211</v>
      </c>
      <c r="M121" s="103">
        <f t="shared" si="98"/>
        <v>153.23708999999999</v>
      </c>
      <c r="N121" s="103">
        <f t="shared" si="98"/>
        <v>149.53964875</v>
      </c>
      <c r="O121" s="103">
        <f t="shared" si="99"/>
        <v>142.42893225762793</v>
      </c>
      <c r="P121" s="103">
        <f t="shared" si="99"/>
        <v>138.98319213910514</v>
      </c>
      <c r="Q121" s="103">
        <f t="shared" si="100"/>
        <v>141.38189492047161</v>
      </c>
      <c r="R121" s="103">
        <f t="shared" si="100"/>
        <v>137.96148545984988</v>
      </c>
      <c r="S121" s="103">
        <f t="shared" si="101"/>
        <v>145.24174580925867</v>
      </c>
      <c r="T121" s="103">
        <f t="shared" si="101"/>
        <v>141.72795614246542</v>
      </c>
    </row>
    <row r="122" spans="2:20">
      <c r="B122" s="61" t="s">
        <v>212</v>
      </c>
      <c r="C122" s="103">
        <f t="shared" si="94"/>
        <v>156.04362806249998</v>
      </c>
      <c r="D122" s="103">
        <f t="shared" si="94"/>
        <v>153.9547024375</v>
      </c>
      <c r="E122" s="103">
        <f t="shared" si="95"/>
        <v>145.04441689747648</v>
      </c>
      <c r="F122" s="103">
        <f t="shared" si="95"/>
        <v>143.09769365186094</v>
      </c>
      <c r="G122" s="103">
        <f t="shared" si="96"/>
        <v>143.97815235676487</v>
      </c>
      <c r="H122" s="103">
        <f t="shared" si="96"/>
        <v>142.045740051286</v>
      </c>
      <c r="I122" s="103">
        <f t="shared" si="97"/>
        <v>147.90888337188377</v>
      </c>
      <c r="J122" s="103">
        <f t="shared" si="97"/>
        <v>145.92371449980914</v>
      </c>
      <c r="L122" s="61" t="s">
        <v>212</v>
      </c>
      <c r="M122" s="103">
        <f t="shared" si="98"/>
        <v>151.38407999999998</v>
      </c>
      <c r="N122" s="103">
        <f t="shared" si="98"/>
        <v>146.4941925</v>
      </c>
      <c r="O122" s="103">
        <f t="shared" si="99"/>
        <v>140.7020648200388</v>
      </c>
      <c r="P122" s="103">
        <f t="shared" si="99"/>
        <v>136.14505352640077</v>
      </c>
      <c r="Q122" s="103">
        <f t="shared" si="100"/>
        <v>139.66772219774703</v>
      </c>
      <c r="R122" s="103">
        <f t="shared" si="100"/>
        <v>135.14421084611271</v>
      </c>
      <c r="S122" s="103">
        <f t="shared" si="101"/>
        <v>143.4807746537428</v>
      </c>
      <c r="T122" s="103">
        <f t="shared" si="101"/>
        <v>138.83376743779809</v>
      </c>
    </row>
    <row r="123" spans="2:20">
      <c r="B123" s="61" t="s">
        <v>213</v>
      </c>
      <c r="C123" s="103">
        <f t="shared" si="94"/>
        <v>136.55999999999997</v>
      </c>
      <c r="D123" s="103">
        <f t="shared" si="94"/>
        <v>150.40352887500001</v>
      </c>
      <c r="E123" s="103">
        <f t="shared" si="95"/>
        <v>126.88712531932563</v>
      </c>
      <c r="F123" s="103">
        <f t="shared" si="95"/>
        <v>139.78826413431452</v>
      </c>
      <c r="G123" s="103">
        <f t="shared" si="96"/>
        <v>125.95434041595041</v>
      </c>
      <c r="H123" s="103">
        <f t="shared" si="96"/>
        <v>138.76063913197194</v>
      </c>
      <c r="I123" s="103">
        <f t="shared" si="97"/>
        <v>129.39300540961574</v>
      </c>
      <c r="J123" s="103">
        <f t="shared" si="97"/>
        <v>142.5489274172823</v>
      </c>
      <c r="L123" s="61" t="s">
        <v>213</v>
      </c>
      <c r="M123" s="103">
        <f t="shared" si="98"/>
        <v>136.55999999999997</v>
      </c>
      <c r="N123" s="103">
        <f t="shared" si="98"/>
        <v>141.82735249999999</v>
      </c>
      <c r="O123" s="103">
        <f t="shared" si="99"/>
        <v>126.88712531932563</v>
      </c>
      <c r="P123" s="103">
        <f t="shared" si="99"/>
        <v>131.79590590580588</v>
      </c>
      <c r="Q123" s="103">
        <f t="shared" si="100"/>
        <v>125.95434041595041</v>
      </c>
      <c r="R123" s="103">
        <f t="shared" si="100"/>
        <v>130.82703509999155</v>
      </c>
      <c r="S123" s="103">
        <f t="shared" si="101"/>
        <v>129.39300540961574</v>
      </c>
      <c r="T123" s="103">
        <f t="shared" si="101"/>
        <v>134.39872897205441</v>
      </c>
    </row>
    <row r="124" spans="2:20">
      <c r="B124" s="61" t="s">
        <v>214</v>
      </c>
      <c r="C124" s="103">
        <f t="shared" si="94"/>
        <v>150.40352887500001</v>
      </c>
      <c r="D124" s="103">
        <f t="shared" si="94"/>
        <v>150.61242143749999</v>
      </c>
      <c r="E124" s="103">
        <f t="shared" si="95"/>
        <v>139.78826413431452</v>
      </c>
      <c r="F124" s="103">
        <f t="shared" si="95"/>
        <v>139.98293645887608</v>
      </c>
      <c r="G124" s="103">
        <f t="shared" si="96"/>
        <v>138.76063913197194</v>
      </c>
      <c r="H124" s="103">
        <f t="shared" si="96"/>
        <v>138.95388036251984</v>
      </c>
      <c r="I124" s="103">
        <f t="shared" si="97"/>
        <v>142.5489274172823</v>
      </c>
      <c r="J124" s="103">
        <f t="shared" si="97"/>
        <v>142.74744430448976</v>
      </c>
      <c r="L124" s="61" t="s">
        <v>214</v>
      </c>
      <c r="M124" s="103">
        <f t="shared" si="98"/>
        <v>144.81275749999998</v>
      </c>
      <c r="N124" s="103">
        <f t="shared" si="98"/>
        <v>144.70123374999997</v>
      </c>
      <c r="O124" s="103">
        <f t="shared" si="99"/>
        <v>134.57808122192174</v>
      </c>
      <c r="P124" s="103">
        <f t="shared" si="99"/>
        <v>134.47414938540015</v>
      </c>
      <c r="Q124" s="103">
        <f t="shared" si="100"/>
        <v>133.58875781993672</v>
      </c>
      <c r="R124" s="103">
        <f t="shared" si="100"/>
        <v>133.48559001718013</v>
      </c>
      <c r="S124" s="103">
        <f t="shared" si="101"/>
        <v>137.23584916705221</v>
      </c>
      <c r="T124" s="103">
        <f t="shared" si="101"/>
        <v>137.12986479195172</v>
      </c>
    </row>
    <row r="125" spans="2:20">
      <c r="B125" s="61" t="s">
        <v>215</v>
      </c>
      <c r="C125" s="103">
        <f t="shared" si="94"/>
        <v>148.94128093749998</v>
      </c>
      <c r="D125" s="103">
        <f t="shared" si="94"/>
        <v>147.6879255625</v>
      </c>
      <c r="E125" s="103">
        <f t="shared" si="95"/>
        <v>138.42555786238364</v>
      </c>
      <c r="F125" s="103">
        <f t="shared" si="95"/>
        <v>137.2575239150143</v>
      </c>
      <c r="G125" s="103">
        <f t="shared" si="96"/>
        <v>137.40795051813672</v>
      </c>
      <c r="H125" s="103">
        <f t="shared" si="96"/>
        <v>136.24850313484941</v>
      </c>
      <c r="I125" s="103">
        <f t="shared" si="97"/>
        <v>141.15930920683007</v>
      </c>
      <c r="J125" s="103">
        <f t="shared" si="97"/>
        <v>139.96820788358531</v>
      </c>
      <c r="L125" s="61" t="s">
        <v>215</v>
      </c>
      <c r="M125" s="103">
        <f t="shared" si="98"/>
        <v>137.82965499999997</v>
      </c>
      <c r="N125" s="103">
        <f t="shared" si="98"/>
        <v>136.55999999999997</v>
      </c>
      <c r="O125" s="103">
        <f t="shared" si="99"/>
        <v>128.07034930434043</v>
      </c>
      <c r="P125" s="103">
        <f t="shared" si="99"/>
        <v>126.88712531932563</v>
      </c>
      <c r="Q125" s="103">
        <f t="shared" si="100"/>
        <v>127.12886617040984</v>
      </c>
      <c r="R125" s="103">
        <f t="shared" si="100"/>
        <v>125.95434041595041</v>
      </c>
      <c r="S125" s="103">
        <f t="shared" si="101"/>
        <v>130.59959675691366</v>
      </c>
      <c r="T125" s="103">
        <f t="shared" si="101"/>
        <v>129.39300540961574</v>
      </c>
    </row>
    <row r="126" spans="2:20">
      <c r="B126" s="61" t="s">
        <v>216</v>
      </c>
      <c r="C126" s="103">
        <f t="shared" si="94"/>
        <v>158.5503388125</v>
      </c>
      <c r="D126" s="103">
        <f t="shared" si="94"/>
        <v>154.58138012500001</v>
      </c>
      <c r="E126" s="103">
        <f t="shared" si="95"/>
        <v>147.3804847922151</v>
      </c>
      <c r="F126" s="103">
        <f t="shared" si="95"/>
        <v>143.68171062554558</v>
      </c>
      <c r="G126" s="103">
        <f t="shared" si="96"/>
        <v>146.2970471233395</v>
      </c>
      <c r="H126" s="103">
        <f t="shared" si="96"/>
        <v>142.62546374292964</v>
      </c>
      <c r="I126" s="103">
        <f t="shared" si="97"/>
        <v>150.29108601837331</v>
      </c>
      <c r="J126" s="103">
        <f t="shared" si="97"/>
        <v>146.51926516143152</v>
      </c>
      <c r="L126" s="61" t="s">
        <v>216</v>
      </c>
      <c r="M126" s="103">
        <f t="shared" si="98"/>
        <v>150.73209500000002</v>
      </c>
      <c r="N126" s="103">
        <f t="shared" si="98"/>
        <v>147.24054374999997</v>
      </c>
      <c r="O126" s="103">
        <f t="shared" si="99"/>
        <v>140.09446331422038</v>
      </c>
      <c r="P126" s="103">
        <f t="shared" si="99"/>
        <v>136.84059735542974</v>
      </c>
      <c r="Q126" s="103">
        <f t="shared" si="100"/>
        <v>139.06458735086244</v>
      </c>
      <c r="R126" s="103">
        <f t="shared" si="100"/>
        <v>135.83464152609901</v>
      </c>
      <c r="S126" s="103">
        <f t="shared" si="101"/>
        <v>142.86117369161684</v>
      </c>
      <c r="T126" s="103">
        <f t="shared" si="101"/>
        <v>139.54304748654755</v>
      </c>
    </row>
    <row r="127" spans="2:20">
      <c r="B127" s="61" t="s">
        <v>206</v>
      </c>
      <c r="C127" s="145">
        <f>SUMPRODUCT(C117:C126,$V$22:$V$31)</f>
        <v>138.51724645493587</v>
      </c>
      <c r="D127" s="145">
        <f t="shared" ref="D127:J127" si="102">SUMPRODUCT(D117:D126,$V$22:$V$31)</f>
        <v>149.70142763776676</v>
      </c>
      <c r="E127" s="145">
        <f t="shared" si="102"/>
        <v>128.71113337668396</v>
      </c>
      <c r="F127" s="145">
        <f t="shared" si="102"/>
        <v>139.13395802454227</v>
      </c>
      <c r="G127" s="145">
        <f t="shared" si="102"/>
        <v>127.7649396489284</v>
      </c>
      <c r="H127" s="145">
        <f t="shared" si="102"/>
        <v>138.11114302053358</v>
      </c>
      <c r="I127" s="145">
        <f t="shared" si="102"/>
        <v>131.25303560447591</v>
      </c>
      <c r="J127" s="145">
        <f t="shared" si="102"/>
        <v>141.88169948703921</v>
      </c>
      <c r="L127" s="61" t="s">
        <v>206</v>
      </c>
      <c r="M127" s="145">
        <f>SUMPRODUCT(M117:M126,$AD$22:$AD$31)</f>
        <v>137.35302829053086</v>
      </c>
      <c r="N127" s="145">
        <f t="shared" ref="N127:T127" si="103">SUMPRODUCT(N117:N126,$AD$22:$AD$31)</f>
        <v>139.85294966012472</v>
      </c>
      <c r="O127" s="145">
        <f t="shared" si="103"/>
        <v>127.62616867689239</v>
      </c>
      <c r="P127" s="145">
        <f t="shared" si="103"/>
        <v>129.95590937429006</v>
      </c>
      <c r="Q127" s="145">
        <f t="shared" si="103"/>
        <v>126.68795084653466</v>
      </c>
      <c r="R127" s="145">
        <f t="shared" si="103"/>
        <v>129.00056492887313</v>
      </c>
      <c r="S127" s="145">
        <f t="shared" si="103"/>
        <v>130.14664405437907</v>
      </c>
      <c r="T127" s="145">
        <f t="shared" si="103"/>
        <v>132.52239454839292</v>
      </c>
    </row>
  </sheetData>
  <mergeCells count="73">
    <mergeCell ref="AC20:AD20"/>
    <mergeCell ref="Y21:Z21"/>
    <mergeCell ref="AA21:AB21"/>
    <mergeCell ref="M51:T51"/>
    <mergeCell ref="M52:N52"/>
    <mergeCell ref="O52:P52"/>
    <mergeCell ref="Q52:R52"/>
    <mergeCell ref="S52:T52"/>
    <mergeCell ref="M35:T35"/>
    <mergeCell ref="M36:N36"/>
    <mergeCell ref="O36:P36"/>
    <mergeCell ref="Q36:R36"/>
    <mergeCell ref="S36:T36"/>
    <mergeCell ref="AD37:AG37"/>
    <mergeCell ref="AD43:AG43"/>
    <mergeCell ref="AD48:AG48"/>
    <mergeCell ref="M114:T114"/>
    <mergeCell ref="M115:N115"/>
    <mergeCell ref="O115:P115"/>
    <mergeCell ref="Q115:R115"/>
    <mergeCell ref="S115:T115"/>
    <mergeCell ref="M99:T99"/>
    <mergeCell ref="M100:N100"/>
    <mergeCell ref="O100:P100"/>
    <mergeCell ref="Q100:R100"/>
    <mergeCell ref="S100:T100"/>
    <mergeCell ref="C114:J114"/>
    <mergeCell ref="C115:D115"/>
    <mergeCell ref="E115:F115"/>
    <mergeCell ref="G115:H115"/>
    <mergeCell ref="I115:J115"/>
    <mergeCell ref="C99:J99"/>
    <mergeCell ref="C100:D100"/>
    <mergeCell ref="E100:F100"/>
    <mergeCell ref="G100:H100"/>
    <mergeCell ref="I100:J100"/>
    <mergeCell ref="M83:T83"/>
    <mergeCell ref="M84:N84"/>
    <mergeCell ref="O84:P84"/>
    <mergeCell ref="Q84:R84"/>
    <mergeCell ref="S84:T84"/>
    <mergeCell ref="C83:J83"/>
    <mergeCell ref="C84:D84"/>
    <mergeCell ref="E84:F84"/>
    <mergeCell ref="G84:H84"/>
    <mergeCell ref="I84:J84"/>
    <mergeCell ref="B2:D2"/>
    <mergeCell ref="E3:K3"/>
    <mergeCell ref="P3:V3"/>
    <mergeCell ref="U20:V20"/>
    <mergeCell ref="Q21:R21"/>
    <mergeCell ref="S21:T21"/>
    <mergeCell ref="C35:J35"/>
    <mergeCell ref="C36:D36"/>
    <mergeCell ref="E36:F36"/>
    <mergeCell ref="G36:H36"/>
    <mergeCell ref="I36:J36"/>
    <mergeCell ref="C51:J51"/>
    <mergeCell ref="C52:D52"/>
    <mergeCell ref="E52:F52"/>
    <mergeCell ref="G52:H52"/>
    <mergeCell ref="I52:J52"/>
    <mergeCell ref="AD54:AG54"/>
    <mergeCell ref="C67:J67"/>
    <mergeCell ref="C68:D68"/>
    <mergeCell ref="E68:F68"/>
    <mergeCell ref="G68:H68"/>
    <mergeCell ref="I68:J68"/>
    <mergeCell ref="M67:T67"/>
    <mergeCell ref="M68:N68"/>
    <mergeCell ref="O68:P68"/>
    <mergeCell ref="Q68:R68"/>
    <mergeCell ref="S68:T68"/>
  </mergeCells>
  <pageMargins left="0.7" right="0.7" top="0.75" bottom="0.75" header="0.3" footer="0.3"/>
  <pageSetup orientation="portrait" r:id="rId1"/>
  <headerFooter>
    <oddFooter xml:space="preserve">&amp;C_x000D_&amp;1#&amp;"Calibri"&amp;12&amp;K000000 Public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CAD3C-62F3-4C43-9DAC-A7A4C2C68A11}">
  <sheetPr>
    <tabColor rgb="FFFFFF00"/>
  </sheetPr>
  <dimension ref="B1:AN76"/>
  <sheetViews>
    <sheetView zoomScale="50" zoomScaleNormal="50" workbookViewId="0">
      <selection activeCell="R79" sqref="R79"/>
    </sheetView>
  </sheetViews>
  <sheetFormatPr defaultColWidth="8.85546875" defaultRowHeight="15"/>
  <cols>
    <col min="1" max="1" width="3.5703125" style="61" customWidth="1"/>
    <col min="2" max="2" width="20.5703125" style="61" customWidth="1"/>
    <col min="3" max="3" width="61.5703125" style="61" customWidth="1"/>
    <col min="4" max="4" width="17.42578125" style="61" customWidth="1"/>
    <col min="5" max="5" width="10.5703125" style="61" customWidth="1"/>
    <col min="6" max="6" width="20.85546875" style="61" customWidth="1"/>
    <col min="7" max="7" width="20.5703125" style="61" bestFit="1" customWidth="1"/>
    <col min="8" max="8" width="18.5703125" style="61" bestFit="1" customWidth="1"/>
    <col min="9" max="9" width="13.5703125" style="61" customWidth="1"/>
    <col min="10" max="10" width="18.28515625" style="61" bestFit="1" customWidth="1"/>
    <col min="11" max="11" width="16.140625" style="61" bestFit="1" customWidth="1"/>
    <col min="12" max="14" width="15.42578125" style="61" customWidth="1"/>
    <col min="15" max="15" width="16.140625" style="61" bestFit="1" customWidth="1"/>
    <col min="16" max="16" width="15.5703125" style="61" customWidth="1"/>
    <col min="17" max="17" width="13" style="61" customWidth="1"/>
    <col min="18" max="18" width="14" style="61" customWidth="1"/>
    <col min="19" max="19" width="15.85546875" style="61" customWidth="1"/>
    <col min="20" max="20" width="20.7109375" style="61" bestFit="1" customWidth="1"/>
    <col min="21" max="21" width="15" style="61" customWidth="1"/>
    <col min="22" max="22" width="16" style="61" bestFit="1" customWidth="1"/>
    <col min="23" max="23" width="25.7109375" style="61" bestFit="1" customWidth="1"/>
    <col min="24" max="24" width="15.42578125" style="61" customWidth="1"/>
    <col min="25" max="26" width="20.140625" style="61" bestFit="1" customWidth="1"/>
    <col min="27" max="27" width="15.7109375" style="61" bestFit="1" customWidth="1"/>
    <col min="28" max="28" width="16.85546875" style="61" bestFit="1" customWidth="1"/>
    <col min="29" max="29" width="15.140625" style="61" customWidth="1"/>
    <col min="30" max="30" width="13" style="61" bestFit="1" customWidth="1"/>
    <col min="31" max="31" width="11" style="61" bestFit="1" customWidth="1"/>
    <col min="32" max="32" width="10.140625" style="61" bestFit="1" customWidth="1"/>
    <col min="33" max="34" width="8.85546875" style="61"/>
    <col min="35" max="35" width="14.7109375" style="61" bestFit="1" customWidth="1"/>
    <col min="36" max="36" width="16.42578125" style="61" bestFit="1" customWidth="1"/>
    <col min="37" max="16384" width="8.85546875" style="61"/>
  </cols>
  <sheetData>
    <row r="1" spans="2:29" ht="53.85" customHeight="1"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</row>
    <row r="2" spans="2:29" ht="15.75">
      <c r="B2" s="105"/>
      <c r="C2" s="429" t="s">
        <v>14</v>
      </c>
      <c r="D2" s="429"/>
      <c r="E2" s="105"/>
      <c r="F2" s="105"/>
      <c r="H2" s="109"/>
      <c r="J2" s="109"/>
      <c r="R2" s="105"/>
      <c r="S2" s="105"/>
      <c r="T2" s="105"/>
      <c r="U2" s="105"/>
      <c r="V2" s="105"/>
      <c r="W2" s="105"/>
    </row>
    <row r="3" spans="2:29">
      <c r="B3" s="15"/>
      <c r="C3" s="84" t="s">
        <v>181</v>
      </c>
      <c r="D3" s="84" t="s">
        <v>183</v>
      </c>
      <c r="R3" s="330"/>
      <c r="S3" s="330"/>
      <c r="T3" s="330"/>
      <c r="U3" s="330"/>
      <c r="V3" s="330"/>
      <c r="W3" s="330"/>
    </row>
    <row r="4" spans="2:29" ht="15.75">
      <c r="B4" s="78" t="s">
        <v>4</v>
      </c>
      <c r="C4" s="16">
        <f>INDEX('Incremental Rev Req'!$Q$9:$U$25,MATCH(B4,'Incremental Rev Req'!$Q$9:$Q$25,0),MATCH(Summary!$D$3,'Incremental Rev Req'!$Q$9:$U$9,0))</f>
        <v>4168925.3443182372</v>
      </c>
      <c r="D4" s="16">
        <f>INDEX('Incremental Rev Req'!$Q$114:$U$129,MATCH(B4,'Incremental Rev Req'!$Q$114:$Q$129,0),MATCH(Summary!$D$3,'Incremental Rev Req'!$Q$114:$U$114,0))</f>
        <v>4168925.3443182372</v>
      </c>
      <c r="G4" s="430" t="s">
        <v>184</v>
      </c>
      <c r="H4" s="430"/>
      <c r="I4" s="430"/>
      <c r="J4" s="430"/>
      <c r="K4" s="430"/>
      <c r="L4" s="430"/>
      <c r="M4" s="430"/>
      <c r="N4" s="430"/>
      <c r="O4" s="430"/>
      <c r="P4" s="430"/>
      <c r="R4" s="43"/>
      <c r="S4" s="57"/>
      <c r="T4" s="57"/>
      <c r="U4" s="57"/>
      <c r="V4" s="57"/>
      <c r="W4" s="57"/>
      <c r="X4" s="57"/>
      <c r="Y4" s="57"/>
    </row>
    <row r="5" spans="2:29" ht="31.5">
      <c r="B5" s="78" t="s">
        <v>15</v>
      </c>
      <c r="C5" s="16">
        <f>INDEX('Incremental Rev Req'!$Q$9:$U$25,MATCH(B5,'Incremental Rev Req'!$Q$9:$Q$25,0),MATCH(Summary!$D$3,'Incremental Rev Req'!$Q$9:$U$9,0))</f>
        <v>444350.2979319889</v>
      </c>
      <c r="D5" s="16">
        <f>INDEX('Incremental Rev Req'!$Q$114:$U$129,MATCH(B5,'Incremental Rev Req'!$Q$114:$Q$129,0),MATCH(Summary!$D$3,'Incremental Rev Req'!$Q$114:$U$114,0))</f>
        <v>444350.2979319889</v>
      </c>
      <c r="F5" s="18"/>
      <c r="G5" s="19" t="s">
        <v>4</v>
      </c>
      <c r="H5" s="19" t="s">
        <v>6</v>
      </c>
      <c r="I5" s="19" t="s">
        <v>17</v>
      </c>
      <c r="J5" s="19" t="s">
        <v>185</v>
      </c>
      <c r="K5" s="19" t="s">
        <v>15</v>
      </c>
      <c r="L5" s="19" t="s">
        <v>11</v>
      </c>
      <c r="M5" s="19" t="s">
        <v>69</v>
      </c>
      <c r="N5" s="19" t="s">
        <v>138</v>
      </c>
      <c r="O5" s="19" t="s">
        <v>145</v>
      </c>
      <c r="P5" s="19" t="s">
        <v>186</v>
      </c>
      <c r="Q5" s="331" t="s">
        <v>25</v>
      </c>
      <c r="R5" s="19" t="s">
        <v>297</v>
      </c>
      <c r="S5" s="331" t="s">
        <v>219</v>
      </c>
      <c r="T5" s="332" t="s">
        <v>328</v>
      </c>
    </row>
    <row r="6" spans="2:29" ht="15.75">
      <c r="B6" s="78" t="s">
        <v>6</v>
      </c>
      <c r="C6" s="16">
        <f>INDEX('Incremental Rev Req'!$Q$9:$U$25,MATCH(B6,'Incremental Rev Req'!$Q$9:$Q$25,0),MATCH(Summary!$D$3,'Incremental Rev Req'!$Q$9:$U$9,0))</f>
        <v>9292315.5973220039</v>
      </c>
      <c r="D6" s="16">
        <f>INDEX('Incremental Rev Req'!$Q$114:$U$129,MATCH(B6,'Incremental Rev Req'!$Q$114:$Q$129,0),MATCH(Summary!$D$3,'Incremental Rev Req'!$Q$114:$U$114,0))</f>
        <v>9292315.5973220039</v>
      </c>
      <c r="F6" s="18" t="s">
        <v>454</v>
      </c>
      <c r="G6" s="126">
        <f>VLOOKUP(Summary!$D$3,$F$35:$T$38,G$33,FALSE)</f>
        <v>8.0026900061404685E-2</v>
      </c>
      <c r="H6" s="126">
        <f>VLOOKUP(Summary!$D$3,$F$35:$T$38,H$33,FALSE)</f>
        <v>0.11703557207964155</v>
      </c>
      <c r="I6" s="126">
        <f>VLOOKUP(Summary!$D$3,$F$35:$T$38,I$33,FALSE)</f>
        <v>7.9772721601086574E-2</v>
      </c>
      <c r="J6" s="126">
        <f>VLOOKUP(Summary!$D$3,$F$35:$T$38,J$33,FALSE)</f>
        <v>8.9478079665369817E-2</v>
      </c>
      <c r="K6" s="126">
        <f>VLOOKUP(Summary!$D$3,$F$35:$T$38,K$33,FALSE)</f>
        <v>7.7249774469423049E-2</v>
      </c>
      <c r="L6" s="126">
        <f>VLOOKUP(Summary!$D$3,$F$35:$T$38,L$33,FALSE)</f>
        <v>7.5847606010290752E-2</v>
      </c>
      <c r="M6" s="126">
        <f>VLOOKUP(Summary!$D$3,$F$35:$T$38,M$33,FALSE)</f>
        <v>8.2198432787364203E-2</v>
      </c>
      <c r="N6" s="126">
        <f>VLOOKUP(Summary!$D$3,$F$35:$T$38,N$33,FALSE)</f>
        <v>8.1519430695566733E-2</v>
      </c>
      <c r="O6" s="126">
        <f>VLOOKUP(Summary!$D$3,$F$35:$T$38,O$33,FALSE)</f>
        <v>8.2131646639272707E-2</v>
      </c>
      <c r="P6" s="126">
        <f>VLOOKUP(Summary!$D$3,$F$35:$T$38,P$33,FALSE)</f>
        <v>5.9032404279706616E-2</v>
      </c>
      <c r="Q6" s="126">
        <f>VLOOKUP(Summary!$D$3,$F$35:$T$38,Q$33,FALSE)</f>
        <v>9.1733663004078703E-2</v>
      </c>
      <c r="R6" s="126">
        <f>VLOOKUP(Summary!$D$3,$F$35:$T$38,R$33,FALSE)</f>
        <v>0.11210946545562957</v>
      </c>
      <c r="S6" s="126">
        <f>VLOOKUP(Summary!$D$3,$F$35:$T$38,S$33,FALSE)</f>
        <v>9.0447532358110705E-2</v>
      </c>
      <c r="T6" s="126">
        <f>VLOOKUP(Summary!$D$3,$F$35:$T$38,T$33,FALSE)</f>
        <v>0.10037328408409135</v>
      </c>
    </row>
    <row r="7" spans="2:29" ht="15.75">
      <c r="B7" s="78" t="s">
        <v>140</v>
      </c>
      <c r="C7" s="16">
        <f>INDEX('Incremental Rev Req'!$Q$9:$U$25,MATCH(B7,'Incremental Rev Req'!$Q$9:$Q$25,0),MATCH(Summary!$D$3,'Incremental Rev Req'!$Q$9:$U$9,0))</f>
        <v>-689321.08387833403</v>
      </c>
      <c r="D7" s="16">
        <f>INDEX('Incremental Rev Req'!$Q$114:$U$129,MATCH(B7,'Incremental Rev Req'!$Q$114:$Q$129,0),MATCH(Summary!$D$3,'Incremental Rev Req'!$Q$114:$U$114,0))</f>
        <v>-689321.08387833403</v>
      </c>
      <c r="F7" s="18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</row>
    <row r="8" spans="2:29" ht="15.75">
      <c r="B8" s="78" t="s">
        <v>69</v>
      </c>
      <c r="C8" s="16">
        <f>INDEX('Incremental Rev Req'!$Q$9:$U$25,MATCH(B8,'Incremental Rev Req'!$Q$9:$Q$25,0),MATCH(Summary!$D$3,'Incremental Rev Req'!$Q$9:$U$9,0))</f>
        <v>75596.533707629613</v>
      </c>
      <c r="D8" s="16">
        <f>INDEX('Incremental Rev Req'!$Q$114:$U$129,MATCH(B8,'Incremental Rev Req'!$Q$114:$Q$129,0),MATCH(Summary!$D$3,'Incremental Rev Req'!$Q$114:$U$114,0))</f>
        <v>75596.533707629613</v>
      </c>
      <c r="F8" s="36"/>
      <c r="G8" s="430" t="s">
        <v>187</v>
      </c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</row>
    <row r="9" spans="2:29" ht="34.5" customHeight="1">
      <c r="B9" s="78" t="s">
        <v>17</v>
      </c>
      <c r="C9" s="16">
        <f>INDEX('Incremental Rev Req'!$Q$9:$U$25,MATCH(B9,'Incremental Rev Req'!$Q$9:$Q$25,0),MATCH(Summary!$D$3,'Incremental Rev Req'!$Q$9:$U$9,0))</f>
        <v>-209072.92178726735</v>
      </c>
      <c r="D9" s="16">
        <f>INDEX('Incremental Rev Req'!$Q$114:$U$129,MATCH(B9,'Incremental Rev Req'!$Q$114:$Q$129,0),MATCH(Summary!$D$3,'Incremental Rev Req'!$Q$114:$U$114,0))</f>
        <v>-209072.92178726735</v>
      </c>
      <c r="F9" s="106" t="s">
        <v>181</v>
      </c>
      <c r="G9" s="19" t="s">
        <v>4</v>
      </c>
      <c r="H9" s="19" t="s">
        <v>6</v>
      </c>
      <c r="I9" s="19" t="s">
        <v>17</v>
      </c>
      <c r="J9" s="19" t="s">
        <v>16</v>
      </c>
      <c r="K9" s="19" t="s">
        <v>15</v>
      </c>
      <c r="L9" s="19" t="s">
        <v>11</v>
      </c>
      <c r="M9" s="19" t="s">
        <v>69</v>
      </c>
      <c r="N9" s="19" t="s">
        <v>138</v>
      </c>
      <c r="O9" s="19" t="s">
        <v>145</v>
      </c>
      <c r="P9" s="19" t="s">
        <v>140</v>
      </c>
      <c r="Q9" s="19" t="s">
        <v>18</v>
      </c>
      <c r="R9" s="19" t="s">
        <v>297</v>
      </c>
      <c r="S9" s="331" t="s">
        <v>219</v>
      </c>
      <c r="T9" s="332" t="s">
        <v>328</v>
      </c>
      <c r="U9" s="19" t="s">
        <v>143</v>
      </c>
    </row>
    <row r="10" spans="2:29" ht="15.75">
      <c r="B10" s="78" t="s">
        <v>16</v>
      </c>
      <c r="C10" s="16">
        <f>INDEX('Incremental Rev Req'!$Q$9:$U$25,MATCH(B10,'Incremental Rev Req'!$Q$9:$Q$25,0),MATCH(Summary!$D$3,'Incremental Rev Req'!$Q$9:$U$9,0))</f>
        <v>609236.34423596959</v>
      </c>
      <c r="D10" s="16">
        <f>INDEX('Incremental Rev Req'!$Q$114:$U$129,MATCH(B10,'Incremental Rev Req'!$Q$114:$Q$129,0),MATCH(Summary!$D$3,'Incremental Rev Req'!$Q$114:$U$114,0))</f>
        <v>609236.34423596959</v>
      </c>
      <c r="F10" s="18" t="s">
        <v>454</v>
      </c>
      <c r="G10" s="333">
        <f t="shared" ref="G10:T10" si="0">G6*G11</f>
        <v>333626.17189321265</v>
      </c>
      <c r="H10" s="333">
        <f t="shared" si="0"/>
        <v>1087531.4718771568</v>
      </c>
      <c r="I10" s="333">
        <f t="shared" si="0"/>
        <v>-16678.315984061424</v>
      </c>
      <c r="J10" s="333">
        <f t="shared" si="0"/>
        <v>54513.298144584754</v>
      </c>
      <c r="K10" s="333">
        <f t="shared" si="0"/>
        <v>34325.96030066708</v>
      </c>
      <c r="L10" s="333">
        <f t="shared" si="0"/>
        <v>211523.77643200252</v>
      </c>
      <c r="M10" s="333">
        <f t="shared" si="0"/>
        <v>6213.9165949243052</v>
      </c>
      <c r="N10" s="333">
        <f t="shared" si="0"/>
        <v>-163.52508363167325</v>
      </c>
      <c r="O10" s="333">
        <f t="shared" si="0"/>
        <v>-10312.105360746178</v>
      </c>
      <c r="P10" s="333">
        <f t="shared" si="0"/>
        <v>-40692.280902031365</v>
      </c>
      <c r="Q10" s="333">
        <f t="shared" si="0"/>
        <v>36056.194105018374</v>
      </c>
      <c r="R10" s="333">
        <f t="shared" si="0"/>
        <v>33222.271112000082</v>
      </c>
      <c r="S10" s="333">
        <f t="shared" si="0"/>
        <v>55609.653615680494</v>
      </c>
      <c r="T10" s="333">
        <f t="shared" si="0"/>
        <v>193430.89710591693</v>
      </c>
      <c r="U10" s="333">
        <f>SUM(G10:T10)</f>
        <v>1978207.3838506932</v>
      </c>
      <c r="W10" s="120"/>
      <c r="X10" s="120"/>
    </row>
    <row r="11" spans="2:29" ht="15.75">
      <c r="B11" s="78" t="s">
        <v>18</v>
      </c>
      <c r="C11" s="16">
        <f>INDEX('Incremental Rev Req'!$Q$9:$U$25,MATCH(B11,'Incremental Rev Req'!$Q$9:$Q$25,0),MATCH(Summary!$D$3,'Incremental Rev Req'!$Q$9:$U$9,0))</f>
        <v>393053.02899999998</v>
      </c>
      <c r="D11" s="16">
        <f>INDEX('Incremental Rev Req'!$Q$114:$U$129,MATCH(B11,'Incremental Rev Req'!$Q$114:$Q$129,0),MATCH(Summary!$D$3,'Incremental Rev Req'!$Q$114:$U$114,0))</f>
        <v>393053.02899999998</v>
      </c>
      <c r="F11" s="18" t="s">
        <v>24</v>
      </c>
      <c r="G11" s="107">
        <f t="shared" ref="G11:M11" si="1">VLOOKUP(G9,$B$4:$D$17,2,FALSE)</f>
        <v>4168925.3443182372</v>
      </c>
      <c r="H11" s="107">
        <f t="shared" si="1"/>
        <v>9292315.5973220039</v>
      </c>
      <c r="I11" s="107">
        <f t="shared" si="1"/>
        <v>-209072.92178726735</v>
      </c>
      <c r="J11" s="107">
        <f t="shared" si="1"/>
        <v>609236.34423596959</v>
      </c>
      <c r="K11" s="107">
        <f t="shared" si="1"/>
        <v>444350.2979319889</v>
      </c>
      <c r="L11" s="107">
        <f t="shared" si="1"/>
        <v>2788799.6412609736</v>
      </c>
      <c r="M11" s="107">
        <f t="shared" si="1"/>
        <v>75596.533707629613</v>
      </c>
      <c r="N11" s="107">
        <f>VLOOKUP(N9,$B$4:$D$16,2,FALSE)</f>
        <v>-2005.9644950460411</v>
      </c>
      <c r="O11" s="107">
        <f>VLOOKUP(O9,$B$4:$D$16,2,FALSE)</f>
        <v>-125555.80927334364</v>
      </c>
      <c r="P11" s="107">
        <f>VLOOKUP(P9,$B$4:$D$17,2,FALSE)</f>
        <v>-689321.08387833403</v>
      </c>
      <c r="Q11" s="107">
        <f>VLOOKUP(Q9,$B$4:$D$17,2,FALSE)</f>
        <v>393053.02899999998</v>
      </c>
      <c r="R11" s="107">
        <f>VLOOKUP(R9,$B$4:$D$17,2,FALSE)</f>
        <v>296337.78893673094</v>
      </c>
      <c r="S11" s="110">
        <f>VLOOKUP(S9,$B$4:$D$17,2,FALSE)</f>
        <v>614827.7588768712</v>
      </c>
      <c r="T11" s="107">
        <f>VLOOKUP(T9,$B$4:$D$17,2,FALSE)</f>
        <v>1927115.3561525713</v>
      </c>
      <c r="U11" s="107">
        <f>SUM(G11:T11)</f>
        <v>19584601.912308987</v>
      </c>
      <c r="X11" s="109"/>
    </row>
    <row r="12" spans="2:29" ht="15.75">
      <c r="B12" s="78" t="s">
        <v>138</v>
      </c>
      <c r="C12" s="16">
        <f>INDEX('Incremental Rev Req'!$Q$9:$U$25,MATCH(B12,'Incremental Rev Req'!$Q$9:$Q$25,0),MATCH(Summary!$D$3,'Incremental Rev Req'!$Q$9:$U$9,0))</f>
        <v>-2005.9644950460411</v>
      </c>
      <c r="D12" s="16">
        <f>INDEX('Incremental Rev Req'!$Q$114:$U$129,MATCH(B12,'Incremental Rev Req'!$Q$114:$Q$129,0),MATCH(Summary!$D$3,'Incremental Rev Req'!$Q$114:$U$114,0))</f>
        <v>-2005.9644950460411</v>
      </c>
      <c r="F12" s="106" t="s">
        <v>182</v>
      </c>
    </row>
    <row r="13" spans="2:29" ht="15.6" customHeight="1">
      <c r="B13" s="78" t="s">
        <v>11</v>
      </c>
      <c r="C13" s="16">
        <f>INDEX('Incremental Rev Req'!$Q$9:$U$25,MATCH(B13,'Incremental Rev Req'!$Q$9:$Q$25,0),MATCH(Summary!$D$3,'Incremental Rev Req'!$Q$9:$U$9,0))</f>
        <v>2788799.6412609736</v>
      </c>
      <c r="D13" s="16">
        <f>INDEX('Incremental Rev Req'!$Q$114:$U$129,MATCH(B13,'Incremental Rev Req'!$Q$114:$Q$129,0),MATCH(Summary!$D$3,'Incremental Rev Req'!$Q$114:$U$114,0))</f>
        <v>2788799.6412609736</v>
      </c>
      <c r="F13" s="18" t="s">
        <v>454</v>
      </c>
      <c r="G13" s="333">
        <f t="shared" ref="G13:T13" si="2">G6*G14</f>
        <v>333626.17189321265</v>
      </c>
      <c r="H13" s="333">
        <f t="shared" si="2"/>
        <v>1087531.4718771568</v>
      </c>
      <c r="I13" s="333">
        <f t="shared" si="2"/>
        <v>-16678.315984061424</v>
      </c>
      <c r="J13" s="333">
        <f t="shared" si="2"/>
        <v>54513.298144584754</v>
      </c>
      <c r="K13" s="333">
        <f t="shared" si="2"/>
        <v>34325.96030066708</v>
      </c>
      <c r="L13" s="333">
        <f t="shared" si="2"/>
        <v>211523.77643200252</v>
      </c>
      <c r="M13" s="333">
        <f t="shared" si="2"/>
        <v>6213.9165949243052</v>
      </c>
      <c r="N13" s="333">
        <f t="shared" si="2"/>
        <v>-163.52508363167325</v>
      </c>
      <c r="O13" s="333">
        <f t="shared" si="2"/>
        <v>-10312.105360746178</v>
      </c>
      <c r="P13" s="333">
        <f t="shared" si="2"/>
        <v>-40692.280902031365</v>
      </c>
      <c r="Q13" s="333">
        <f t="shared" si="2"/>
        <v>36056.194105018374</v>
      </c>
      <c r="R13" s="333">
        <f t="shared" si="2"/>
        <v>33222.271112000082</v>
      </c>
      <c r="S13" s="333">
        <f t="shared" si="2"/>
        <v>55609.653615680494</v>
      </c>
      <c r="T13" s="333">
        <f t="shared" si="2"/>
        <v>264766.36911763699</v>
      </c>
      <c r="U13" s="333">
        <f>SUM(G13:T13)</f>
        <v>2049542.8558624133</v>
      </c>
    </row>
    <row r="14" spans="2:29" ht="15.6" customHeight="1">
      <c r="B14" s="78" t="s">
        <v>145</v>
      </c>
      <c r="C14" s="16">
        <f>INDEX('Incremental Rev Req'!$Q$9:$U$25,MATCH(B14,'Incremental Rev Req'!$Q$9:$Q$25,0),MATCH(Summary!$D$3,'Incremental Rev Req'!$Q$9:$U$9,0))</f>
        <v>-125555.80927334364</v>
      </c>
      <c r="D14" s="16">
        <f>INDEX('Incremental Rev Req'!$Q$114:$U$129,MATCH(B14,'Incremental Rev Req'!$Q$114:$Q$129,0),MATCH(Summary!$D$3,'Incremental Rev Req'!$Q$114:$U$114,0))</f>
        <v>-125555.80927334364</v>
      </c>
      <c r="F14" s="18" t="s">
        <v>24</v>
      </c>
      <c r="G14" s="107">
        <f t="shared" ref="G14:S14" si="3">VLOOKUP(G9,$B$4:$D$16,3,FALSE)</f>
        <v>4168925.3443182372</v>
      </c>
      <c r="H14" s="107">
        <f t="shared" si="3"/>
        <v>9292315.5973220039</v>
      </c>
      <c r="I14" s="107">
        <f t="shared" si="3"/>
        <v>-209072.92178726735</v>
      </c>
      <c r="J14" s="107">
        <f t="shared" si="3"/>
        <v>609236.34423596959</v>
      </c>
      <c r="K14" s="107">
        <f t="shared" si="3"/>
        <v>444350.2979319889</v>
      </c>
      <c r="L14" s="107">
        <f t="shared" si="3"/>
        <v>2788799.6412609736</v>
      </c>
      <c r="M14" s="107">
        <f t="shared" si="3"/>
        <v>75596.533707629613</v>
      </c>
      <c r="N14" s="107">
        <f t="shared" si="3"/>
        <v>-2005.9644950460411</v>
      </c>
      <c r="O14" s="107">
        <f t="shared" si="3"/>
        <v>-125555.80927334364</v>
      </c>
      <c r="P14" s="107">
        <f t="shared" si="3"/>
        <v>-689321.08387833403</v>
      </c>
      <c r="Q14" s="107">
        <f t="shared" si="3"/>
        <v>393053.02899999998</v>
      </c>
      <c r="R14" s="107">
        <f t="shared" si="3"/>
        <v>296337.78893673094</v>
      </c>
      <c r="S14" s="107">
        <f t="shared" si="3"/>
        <v>614827.7588768712</v>
      </c>
      <c r="T14" s="107">
        <f>VLOOKUP(T9,$B$4:$D$17,3,FALSE)</f>
        <v>2637817.1396267097</v>
      </c>
      <c r="U14" s="107">
        <f>SUM(G14:T14)</f>
        <v>20295303.695783123</v>
      </c>
    </row>
    <row r="15" spans="2:29" ht="15.75">
      <c r="B15" s="78" t="s">
        <v>219</v>
      </c>
      <c r="C15" s="135">
        <f>INDEX('Incremental Rev Req'!$Q$9:$U$25,MATCH(B15,'Incremental Rev Req'!$Q$9:$Q$25,0),MATCH(Summary!$D$3,'Incremental Rev Req'!$Q$9:$U$9,0))</f>
        <v>614827.7588768712</v>
      </c>
      <c r="D15" s="16">
        <f>INDEX('Incremental Rev Req'!$Q$114:$U$129,MATCH(B15,'Incremental Rev Req'!$Q$114:$Q$129,0),MATCH(Summary!$D$3,'Incremental Rev Req'!$Q$114:$U$114,0))</f>
        <v>614827.7588768712</v>
      </c>
      <c r="F15" s="268"/>
      <c r="G15" s="17"/>
      <c r="H15" s="17"/>
      <c r="I15" s="17"/>
      <c r="J15" s="36"/>
      <c r="AA15" s="18"/>
      <c r="AB15" s="335" t="s">
        <v>181</v>
      </c>
      <c r="AC15" s="335" t="s">
        <v>182</v>
      </c>
    </row>
    <row r="16" spans="2:29" ht="15.75">
      <c r="B16" s="78" t="s">
        <v>297</v>
      </c>
      <c r="C16" s="135">
        <f>INDEX('Incremental Rev Req'!$Q$9:$U$25,MATCH(B16,'Incremental Rev Req'!$Q$9:$Q$25,0),MATCH(Summary!$D$3,'Incremental Rev Req'!$Q$9:$U$9,0))</f>
        <v>296337.78893673094</v>
      </c>
      <c r="D16" s="16">
        <f>INDEX('Incremental Rev Req'!$Q$114:$U$129,MATCH(B16,'Incremental Rev Req'!$Q$114:$Q$129,0),MATCH(Summary!$D$3,'Incremental Rev Req'!$Q$114:$U$114,0))</f>
        <v>296337.78893673094</v>
      </c>
      <c r="U16" s="434" t="s">
        <v>181</v>
      </c>
      <c r="V16" s="435"/>
      <c r="W16" s="336" t="s">
        <v>182</v>
      </c>
      <c r="X16" s="337"/>
      <c r="AA16" s="149"/>
      <c r="AB16" s="107"/>
      <c r="AC16" s="107"/>
    </row>
    <row r="17" spans="2:40" ht="15.75">
      <c r="B17" s="61" t="s">
        <v>328</v>
      </c>
      <c r="C17" s="135">
        <f>INDEX('Incremental Rev Req'!$Q$9:$U$25,MATCH(B17,'Incremental Rev Req'!$Q$9:$Q$25,0),MATCH(Summary!$D$3,'Incremental Rev Req'!$Q$9:$U$9,0))</f>
        <v>1927115.3561525713</v>
      </c>
      <c r="D17" s="16">
        <f>INDEX('Incremental Rev Req'!$Q$114:$U$129,MATCH(B17,'Incremental Rev Req'!$Q$114:$Q$129,0),MATCH(Summary!$D$3,'Incremental Rev Req'!$Q$114:$U$114,0))</f>
        <v>2637817.1396267097</v>
      </c>
      <c r="F17" s="36"/>
      <c r="G17" s="439" t="s">
        <v>188</v>
      </c>
      <c r="H17" s="439"/>
      <c r="I17" s="439"/>
      <c r="J17" s="439"/>
      <c r="K17" s="439"/>
      <c r="L17" s="439"/>
      <c r="M17" s="439"/>
      <c r="N17" s="439"/>
      <c r="O17" s="439"/>
      <c r="P17" s="439"/>
      <c r="Q17" s="440"/>
      <c r="R17" s="43"/>
      <c r="U17" s="432" t="s">
        <v>189</v>
      </c>
      <c r="V17" s="433"/>
      <c r="W17" s="338" t="s">
        <v>189</v>
      </c>
      <c r="X17" s="339"/>
      <c r="AA17" s="149"/>
      <c r="AB17" s="150"/>
      <c r="AC17" s="150"/>
    </row>
    <row r="18" spans="2:40" ht="31.5" customHeight="1">
      <c r="B18" s="78" t="s">
        <v>143</v>
      </c>
      <c r="C18" s="127">
        <f>SUM(C4:C17)</f>
        <v>19584601.912308984</v>
      </c>
      <c r="D18" s="127">
        <f>SUM(D4:D17)</f>
        <v>20295303.695783123</v>
      </c>
      <c r="E18" s="36"/>
      <c r="G18" s="331" t="s">
        <v>4</v>
      </c>
      <c r="H18" s="19" t="s">
        <v>6</v>
      </c>
      <c r="I18" s="19" t="s">
        <v>17</v>
      </c>
      <c r="J18" s="19" t="s">
        <v>185</v>
      </c>
      <c r="K18" s="19" t="s">
        <v>15</v>
      </c>
      <c r="L18" s="19" t="s">
        <v>11</v>
      </c>
      <c r="M18" s="19" t="s">
        <v>69</v>
      </c>
      <c r="N18" s="19" t="s">
        <v>138</v>
      </c>
      <c r="O18" s="19" t="s">
        <v>145</v>
      </c>
      <c r="P18" s="19" t="s">
        <v>186</v>
      </c>
      <c r="Q18" s="331" t="s">
        <v>25</v>
      </c>
      <c r="R18" s="19" t="s">
        <v>297</v>
      </c>
      <c r="S18" s="331" t="s">
        <v>219</v>
      </c>
      <c r="T18" s="340" t="s">
        <v>328</v>
      </c>
      <c r="U18" s="83" t="s">
        <v>143</v>
      </c>
      <c r="V18" s="83" t="s">
        <v>190</v>
      </c>
      <c r="W18" s="341" t="s">
        <v>143</v>
      </c>
      <c r="X18" s="342" t="s">
        <v>190</v>
      </c>
      <c r="AA18" s="149" t="s">
        <v>204</v>
      </c>
      <c r="AB18" s="107">
        <f>'SAR and RAR'!AB18</f>
        <v>916203.58326743636</v>
      </c>
      <c r="AC18" s="107">
        <f>'SAR and RAR'!AC18</f>
        <v>941722.51803831931</v>
      </c>
    </row>
    <row r="19" spans="2:40" ht="15.75">
      <c r="B19" s="20"/>
      <c r="C19" s="16"/>
      <c r="D19" s="18"/>
      <c r="F19" s="18" t="s">
        <v>454</v>
      </c>
      <c r="G19" s="179">
        <f>VLOOKUP(Summary!$D$3,$F$41:$Q$44,G$33,FALSE)</f>
        <v>1</v>
      </c>
      <c r="H19" s="179">
        <f>VLOOKUP(Summary!$D$3,$F$41:$T$44,H$33,FALSE)</f>
        <v>0.36368985728319209</v>
      </c>
      <c r="I19" s="179">
        <f>VLOOKUP(Summary!$D$3,$F$41:$T$44,I$33,FALSE)</f>
        <v>0.36368985728319209</v>
      </c>
      <c r="J19" s="179">
        <f>VLOOKUP(Summary!$D$3,$F$41:$T$44,J$33,FALSE)</f>
        <v>0.36368985728319209</v>
      </c>
      <c r="K19" s="179">
        <f>VLOOKUP(Summary!$D$3,$F$41:$T$44,K$33,FALSE)</f>
        <v>0.36368985728319209</v>
      </c>
      <c r="L19" s="179">
        <f>VLOOKUP(Summary!$D$3,$F$41:$T$44,L$33,FALSE)</f>
        <v>0.36368985728319209</v>
      </c>
      <c r="M19" s="179">
        <f>VLOOKUP(Summary!$D$3,$F$41:$T$44,M$33,FALSE)</f>
        <v>0.36368985728319209</v>
      </c>
      <c r="N19" s="179">
        <f>VLOOKUP(Summary!$D$3,$F$41:$T$44,N$33,FALSE)</f>
        <v>0.36368985728319209</v>
      </c>
      <c r="O19" s="179">
        <f>VLOOKUP(Summary!$D$3,$F$41:$T$44,O$33,FALSE)</f>
        <v>0.36368985728319209</v>
      </c>
      <c r="P19" s="179">
        <f>VLOOKUP(Summary!$D$3,$F$41:$T$44,P$33,FALSE)</f>
        <v>0.36368985728319209</v>
      </c>
      <c r="Q19" s="179">
        <f>VLOOKUP(Summary!$D$3,$F$41:$T$44,Q$33,FALSE)</f>
        <v>0.36368985728319209</v>
      </c>
      <c r="R19" s="179">
        <f>VLOOKUP(Summary!$D$3,$F$41:$T$44,R$33,FALSE)</f>
        <v>0.36368985728319209</v>
      </c>
      <c r="S19" s="179">
        <f>VLOOKUP(Summary!$D$3,$F$41:$T$44,S$33,FALSE)</f>
        <v>0.36368985728319209</v>
      </c>
      <c r="T19" s="148">
        <f>VLOOKUP(Summary!$D$3,$F$41:$T$44,T$33,FALSE)</f>
        <v>0.36368985728319209</v>
      </c>
      <c r="U19" s="110">
        <f>SUMPRODUCT(G10:T10,G19:T19)</f>
        <v>931743.67816064798</v>
      </c>
      <c r="V19" s="110">
        <f>U19+AB21*H19</f>
        <v>962315.29269437492</v>
      </c>
      <c r="W19" s="151">
        <f>SUMPRODUCT(G13:T13,G19:T19)</f>
        <v>957687.6657958196</v>
      </c>
      <c r="X19" s="152">
        <f>W19+AC21*H19</f>
        <v>989110.78871848399</v>
      </c>
      <c r="AA19" s="149" t="s">
        <v>453</v>
      </c>
      <c r="AB19" s="333">
        <f>VLOOKUP(Summary!$D$3,$F$51:$O$54,10,FALSE)</f>
        <v>6414554.9332880517</v>
      </c>
      <c r="AC19" s="153">
        <f>AB19</f>
        <v>6414554.9332880517</v>
      </c>
    </row>
    <row r="20" spans="2:40" ht="15.75">
      <c r="B20" s="20"/>
      <c r="C20" s="20"/>
      <c r="D20" s="18"/>
      <c r="F20" s="18" t="s">
        <v>24</v>
      </c>
      <c r="G20" s="179">
        <f>VLOOKUP(Summary!$D$3,$F$45:$T$48,G$33,FALSE)</f>
        <v>1</v>
      </c>
      <c r="H20" s="179">
        <f>VLOOKUP(Summary!$D$3,$F$45:$T$48,H$33,FALSE)</f>
        <v>0.37463527299719035</v>
      </c>
      <c r="I20" s="179">
        <f>VLOOKUP(Summary!$D$3,$F$45:$T$48,I$33,FALSE)</f>
        <v>0.37463527299719035</v>
      </c>
      <c r="J20" s="179">
        <f>VLOOKUP(Summary!$D$3,$F$45:$T$48,J$33,FALSE)</f>
        <v>0.37463527299719035</v>
      </c>
      <c r="K20" s="179">
        <f>VLOOKUP(Summary!$D$3,$F$45:$T$48,K$33,FALSE)</f>
        <v>0.37463527299719035</v>
      </c>
      <c r="L20" s="179">
        <f>VLOOKUP(Summary!$D$3,$F$45:$T$48,L$33,FALSE)</f>
        <v>0.37463527299719035</v>
      </c>
      <c r="M20" s="179">
        <f>VLOOKUP(Summary!$D$3,$F$45:$T$48,M$33,FALSE)</f>
        <v>0.37463527299719035</v>
      </c>
      <c r="N20" s="179">
        <f>VLOOKUP(Summary!$D$3,$F$45:$T$48,N$33,FALSE)</f>
        <v>0.37463527299719035</v>
      </c>
      <c r="O20" s="179">
        <f>VLOOKUP(Summary!$D$3,$F$45:$T$48,O$33,FALSE)</f>
        <v>0.37463527299719035</v>
      </c>
      <c r="P20" s="179">
        <f>VLOOKUP(Summary!$D$3,$F$45:$T$48,P$33,FALSE)</f>
        <v>0.37463527299719035</v>
      </c>
      <c r="Q20" s="179">
        <f>VLOOKUP(Summary!$D$3,$F$45:$T$48,Q$33,FALSE)</f>
        <v>0.37463527299719035</v>
      </c>
      <c r="R20" s="179">
        <f>VLOOKUP(Summary!$D$3,$F$45:$T$48,R$33,FALSE)</f>
        <v>0.37463527299719035</v>
      </c>
      <c r="S20" s="179">
        <f>VLOOKUP(Summary!$D$3,$F$45:$T$48,S$33,FALSE)</f>
        <v>0.37463527299719035</v>
      </c>
      <c r="T20" s="148">
        <f>VLOOKUP(Summary!$D$3,$F$45:$T$48,T$33,FALSE)</f>
        <v>0.37463527299719035</v>
      </c>
      <c r="U20" s="110">
        <f>SUMPRODUCT(G11:T11,G20:T20)</f>
        <v>9944181.5438038409</v>
      </c>
      <c r="V20" s="110">
        <f>U20</f>
        <v>9944181.5438038409</v>
      </c>
      <c r="W20" s="151">
        <f>SUMPRODUCT(G14:T14,G20:T20)</f>
        <v>10210435.500475265</v>
      </c>
      <c r="X20" s="152">
        <f>W20</f>
        <v>10210435.500475265</v>
      </c>
      <c r="AA20" s="149" t="s">
        <v>243</v>
      </c>
      <c r="AB20" s="333">
        <f>VLOOKUP(Summary!$D$3,$F$55:$O$58,2,FALSE)</f>
        <v>69915155.684137806</v>
      </c>
      <c r="AC20" s="153">
        <f>AB20</f>
        <v>69915155.684137806</v>
      </c>
    </row>
    <row r="21" spans="2:40" ht="15.75">
      <c r="B21" s="20"/>
      <c r="C21" s="20"/>
      <c r="D21" s="18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S21" s="109"/>
      <c r="U21" s="18"/>
      <c r="V21" s="110"/>
      <c r="AA21" s="149" t="s">
        <v>476</v>
      </c>
      <c r="AB21" s="107">
        <f>AB18*AB19/AB20</f>
        <v>84059.574171522487</v>
      </c>
      <c r="AC21" s="107">
        <f>AC18*AC19/AC20</f>
        <v>86400.877817706918</v>
      </c>
    </row>
    <row r="22" spans="2:40" ht="15.75">
      <c r="B22" s="20"/>
      <c r="C22" s="20"/>
      <c r="D22" s="18"/>
      <c r="F22" s="57" t="str">
        <f>"Notes: Allocation and bundled/unbundled split based on "&amp;Summary!L4&amp;" sales forecast"</f>
        <v>Notes: Allocation and bundled/unbundled split based on 2024 sales forecast</v>
      </c>
      <c r="R22" s="109"/>
      <c r="S22" s="19"/>
      <c r="T22" s="18"/>
      <c r="V22" s="61" t="s">
        <v>611</v>
      </c>
      <c r="W22" s="120">
        <f>P10*P19</f>
        <v>-14799.36983378735</v>
      </c>
      <c r="X22" s="120">
        <f>P13*P19</f>
        <v>-14799.36983378735</v>
      </c>
      <c r="Y22" s="343"/>
    </row>
    <row r="23" spans="2:40" ht="15.75">
      <c r="B23" s="20"/>
      <c r="C23" s="20"/>
      <c r="E23" s="18"/>
      <c r="F23" s="18"/>
      <c r="G23" s="20">
        <f>G10*G19</f>
        <v>333626.17189321265</v>
      </c>
      <c r="H23" s="20">
        <f t="shared" ref="H23:T23" si="4">H10*H19</f>
        <v>395524.16579798295</v>
      </c>
      <c r="I23" s="20">
        <f t="shared" si="4"/>
        <v>-6065.7343599672804</v>
      </c>
      <c r="J23" s="20">
        <f t="shared" si="4"/>
        <v>19825.933622240129</v>
      </c>
      <c r="K23" s="20">
        <f t="shared" si="4"/>
        <v>12484.003602858127</v>
      </c>
      <c r="L23" s="20">
        <f t="shared" si="4"/>
        <v>76929.052062556832</v>
      </c>
      <c r="M23" s="20">
        <f t="shared" si="4"/>
        <v>2259.9384395776797</v>
      </c>
      <c r="N23" s="20">
        <f t="shared" si="4"/>
        <v>-59.472414328225298</v>
      </c>
      <c r="O23" s="20">
        <f t="shared" si="4"/>
        <v>-3750.4081269390176</v>
      </c>
      <c r="P23" s="20">
        <f>P10*P19</f>
        <v>-14799.36983378735</v>
      </c>
      <c r="Q23" s="20">
        <f t="shared" si="4"/>
        <v>13113.272088229205</v>
      </c>
      <c r="R23" s="20">
        <f t="shared" si="4"/>
        <v>12082.603039346825</v>
      </c>
      <c r="S23" s="20">
        <f t="shared" si="4"/>
        <v>20224.666987054585</v>
      </c>
      <c r="T23" s="20">
        <f t="shared" si="4"/>
        <v>70348.855362610746</v>
      </c>
      <c r="U23" s="18"/>
      <c r="V23" s="61" t="s">
        <v>612</v>
      </c>
      <c r="W23" s="120">
        <f>P11*P20</f>
        <v>-258243.99244147883</v>
      </c>
      <c r="X23" s="344">
        <f>P14*P20</f>
        <v>-258243.99244147883</v>
      </c>
      <c r="Y23" s="18"/>
    </row>
    <row r="24" spans="2:40" ht="16.5" thickBot="1">
      <c r="B24" s="20"/>
      <c r="C24" s="20"/>
      <c r="E24" s="83"/>
      <c r="F24" s="83"/>
      <c r="G24" s="345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34"/>
      <c r="T24" s="34"/>
      <c r="U24" s="111"/>
      <c r="V24" s="111"/>
      <c r="X24" s="18"/>
      <c r="Y24" s="255"/>
    </row>
    <row r="25" spans="2:40" ht="16.5" thickBot="1">
      <c r="B25" s="20"/>
      <c r="C25" s="20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112"/>
      <c r="T25" s="113"/>
      <c r="U25" s="113"/>
      <c r="V25" s="113"/>
      <c r="X25" s="18"/>
      <c r="Y25" s="346"/>
      <c r="AA25" s="436">
        <v>2024</v>
      </c>
      <c r="AB25" s="437"/>
      <c r="AC25" s="437"/>
      <c r="AD25" s="437"/>
      <c r="AE25" s="437"/>
      <c r="AF25" s="438"/>
      <c r="AI25" s="436">
        <v>2025</v>
      </c>
      <c r="AJ25" s="437"/>
      <c r="AK25" s="437"/>
      <c r="AL25" s="437"/>
      <c r="AM25" s="437"/>
      <c r="AN25" s="438"/>
    </row>
    <row r="26" spans="2:40" ht="15.75">
      <c r="B26" s="20"/>
      <c r="C26" s="20"/>
      <c r="D26" s="18"/>
      <c r="E26" s="18"/>
      <c r="F26" s="441" t="s">
        <v>26</v>
      </c>
      <c r="G26" s="442"/>
      <c r="H26" s="442"/>
      <c r="I26" s="442"/>
      <c r="J26" s="442"/>
      <c r="K26" s="443"/>
      <c r="O26" s="18"/>
      <c r="P26" s="441" t="s">
        <v>28</v>
      </c>
      <c r="Q26" s="442"/>
      <c r="R26" s="442"/>
      <c r="S26" s="442"/>
      <c r="T26" s="442"/>
      <c r="U26" s="443"/>
      <c r="V26" s="114"/>
      <c r="Z26" s="18"/>
      <c r="AA26" s="347"/>
      <c r="AB26" s="180">
        <v>500000000</v>
      </c>
      <c r="AC26" s="348"/>
      <c r="AF26" s="348"/>
      <c r="AI26" s="347"/>
      <c r="AJ26" s="180">
        <v>500000000</v>
      </c>
      <c r="AK26" s="348"/>
      <c r="AN26" s="348"/>
    </row>
    <row r="27" spans="2:40" ht="47.25">
      <c r="B27" s="20"/>
      <c r="C27" s="20"/>
      <c r="D27" s="18"/>
      <c r="E27" s="18"/>
      <c r="F27" s="19" t="str">
        <f>Summary!D3&amp;" Sales"</f>
        <v>2024 Sales</v>
      </c>
      <c r="G27" s="19" t="str">
        <f>TEXT(Summary!L3,"mm/d/yyyy")&amp;" Avg Rates"</f>
        <v>09/1/2024 Avg Rates</v>
      </c>
      <c r="H27" s="19" t="s">
        <v>192</v>
      </c>
      <c r="I27" s="19" t="s">
        <v>193</v>
      </c>
      <c r="J27" s="19" t="s">
        <v>194</v>
      </c>
      <c r="K27" s="19" t="s">
        <v>195</v>
      </c>
      <c r="O27" s="18"/>
      <c r="P27" s="19" t="str">
        <f>F27</f>
        <v>2024 Sales</v>
      </c>
      <c r="Q27" s="19" t="str">
        <f>G27</f>
        <v>09/1/2024 Avg Rates</v>
      </c>
      <c r="R27" s="19" t="s">
        <v>192</v>
      </c>
      <c r="S27" s="19" t="s">
        <v>193</v>
      </c>
      <c r="T27" s="19" t="s">
        <v>194</v>
      </c>
      <c r="U27" s="19" t="s">
        <v>195</v>
      </c>
      <c r="V27" s="114"/>
      <c r="Z27" s="18"/>
      <c r="AA27" s="349" t="s">
        <v>331</v>
      </c>
      <c r="AB27" s="180">
        <f>(SUMIF('Authorized Rev Req'!V:V,"Distribution (Wildfire)",'Authorized Rev Req'!P:P)+SUMIF('Authorized Rev Req'!V:V,"WHC",'Authorized Rev Req'!P:P))*1000</f>
        <v>2452005536.4772205</v>
      </c>
      <c r="AC27" s="348"/>
      <c r="AF27" s="348"/>
      <c r="AI27" s="349" t="s">
        <v>331</v>
      </c>
      <c r="AJ27" s="180">
        <f>('Incremental Rev Req'!S128+'Incremental Rev Req'!S127)*1000</f>
        <v>402724031.29068017</v>
      </c>
      <c r="AK27" s="348"/>
      <c r="AN27" s="348"/>
    </row>
    <row r="28" spans="2:40" ht="16.5" thickBot="1">
      <c r="B28" s="20"/>
      <c r="C28" s="34"/>
      <c r="D28" s="18"/>
      <c r="E28" s="18" t="s">
        <v>454</v>
      </c>
      <c r="F28" s="214">
        <f>VLOOKUP(Summary!$D$3,$J$51:$K$54,2,FALSE)</f>
        <v>2332908.5682227272</v>
      </c>
      <c r="G28" s="345">
        <f>IF(Summary!$I$3="Y",AB52,AC52)</f>
        <v>41.415357790415229</v>
      </c>
      <c r="H28" s="34">
        <f>IF(Summary!$I$3="Y",V19/$F$28*100,SUM(V19-W22)/$F$28*100)</f>
        <v>41.249593138898398</v>
      </c>
      <c r="I28" s="34">
        <f>IF(Summary!$I$3="Y",X19/$F$28*100,SUM(X19-X22)/$F$28*100)</f>
        <v>42.398180631314467</v>
      </c>
      <c r="J28" s="250">
        <f>H28/G28-1</f>
        <v>-4.0024923207399032E-3</v>
      </c>
      <c r="K28" s="250">
        <f>I28/G28-1</f>
        <v>2.373087891387704E-2</v>
      </c>
      <c r="O28" s="18" t="s">
        <v>454</v>
      </c>
      <c r="P28" s="214">
        <f>VLOOKUP(Summary!$D$3,$N$51:$O$54,2,FALSE)</f>
        <v>6414554.9332880517</v>
      </c>
      <c r="Q28" s="345">
        <f>IF(Summary!$I$3="Y",AE52,AF52)</f>
        <v>32.485730848580296</v>
      </c>
      <c r="R28" s="34">
        <f>IF(Summary!$I$3="Y",(U10+AB21)/P28*100,(U10+AB21-P10)/P28)</f>
        <v>32.149805862916089</v>
      </c>
      <c r="S28" s="34">
        <f>IF(Summary!$I$3="Y",(U13+AC21)/P28*100,(U13+AC21-P11)/P28)</f>
        <v>33.298393355332166</v>
      </c>
      <c r="T28" s="250">
        <f>R28/Q28-1</f>
        <v>-1.0340693494937603E-2</v>
      </c>
      <c r="U28" s="250">
        <f>S28/Q28-1</f>
        <v>2.5015983495639382E-2</v>
      </c>
      <c r="V28" s="114"/>
      <c r="X28" s="107"/>
      <c r="AA28" s="350"/>
      <c r="AB28" s="351"/>
      <c r="AC28" s="352"/>
      <c r="AF28" s="348"/>
      <c r="AI28" s="350"/>
      <c r="AJ28" s="351"/>
      <c r="AK28" s="352"/>
      <c r="AN28" s="348"/>
    </row>
    <row r="29" spans="2:40" ht="15.75">
      <c r="E29" s="21" t="s">
        <v>24</v>
      </c>
      <c r="F29" s="214">
        <f>VLOOKUP(Summary!$D$3,$J$55:$K$58,2,FALSE)</f>
        <v>29392636.884899609</v>
      </c>
      <c r="G29" s="345">
        <f>IF(Summary!$I$3="Y",AB53,AC53)</f>
        <v>33.950754071574565</v>
      </c>
      <c r="H29" s="34">
        <f>IF(Summary!$I$3="Y",V20/$F$29*100,SUM(V20-W23)/$F$29*100)</f>
        <v>33.832219894883394</v>
      </c>
      <c r="I29" s="34">
        <f>IF(Summary!$I$3="Y",W20/$F$29*100,SUM(W20-X23)/$F$29*100)</f>
        <v>34.738072465083427</v>
      </c>
      <c r="J29" s="250">
        <f>H29/G29-1</f>
        <v>-3.4913562285325828E-3</v>
      </c>
      <c r="K29" s="250">
        <f>I29/G29-1</f>
        <v>2.3190011975847247E-2</v>
      </c>
      <c r="O29" s="21" t="s">
        <v>24</v>
      </c>
      <c r="P29" s="214">
        <f>VLOOKUP(Summary!$D$3,$N$55:$O$58,2,FALSE)</f>
        <v>78456672.405003473</v>
      </c>
      <c r="Q29" s="345">
        <f>IF(Summary!$I$3="Y",AE53,AF53)</f>
        <v>24.967536977696753</v>
      </c>
      <c r="R29" s="34">
        <f>IF(Summary!$I$3="Y",(U11+AB21)/P29*100,(U11+AB21-P11)/P29)</f>
        <v>25.069456661312806</v>
      </c>
      <c r="S29" s="34">
        <f>IF(Summary!$I$3="Y",(U14+AC21)/P29*100,(U14+AC21-P11)/P29)</f>
        <v>25.978293431039027</v>
      </c>
      <c r="T29" s="250">
        <f>R29/Q29-1</f>
        <v>4.0820880212211197E-3</v>
      </c>
      <c r="U29" s="250">
        <f>S29/Q29-1</f>
        <v>4.0482825928932265E-2</v>
      </c>
      <c r="V29" s="115"/>
      <c r="AA29" s="353"/>
      <c r="AB29" s="354" t="s">
        <v>6</v>
      </c>
      <c r="AC29" s="355" t="s">
        <v>318</v>
      </c>
      <c r="AE29" s="356" t="s">
        <v>329</v>
      </c>
      <c r="AF29" s="357" t="s">
        <v>330</v>
      </c>
      <c r="AI29" s="353"/>
      <c r="AJ29" s="354" t="s">
        <v>6</v>
      </c>
      <c r="AK29" s="355" t="s">
        <v>318</v>
      </c>
      <c r="AM29" s="356" t="s">
        <v>329</v>
      </c>
      <c r="AN29" s="357" t="s">
        <v>330</v>
      </c>
    </row>
    <row r="30" spans="2:40" ht="15.75">
      <c r="Q30" s="18"/>
      <c r="R30" s="18"/>
      <c r="S30" s="112"/>
      <c r="T30" s="113"/>
      <c r="U30" s="112"/>
      <c r="V30" s="114"/>
      <c r="AA30" s="358" t="s">
        <v>319</v>
      </c>
      <c r="AB30" s="243">
        <f>'SAR and RAR'!AB30</f>
        <v>0.4951436067942106</v>
      </c>
      <c r="AC30" s="244">
        <f>'SAR and RAR'!AC30</f>
        <v>0.38117371169687914</v>
      </c>
      <c r="AE30" s="378">
        <f>AVERAGE(AB31:AC31)</f>
        <v>0.10660249717383861</v>
      </c>
      <c r="AF30" s="244">
        <f>(0.125*AB31)+(0.875*AC31)</f>
        <v>9.8777690994486411E-2</v>
      </c>
      <c r="AI30" s="358" t="s">
        <v>319</v>
      </c>
      <c r="AJ30" s="243">
        <f>'SAR and RAR'!AJ30</f>
        <v>0.49278505709389125</v>
      </c>
      <c r="AK30" s="244">
        <f>'SAR and RAR'!AK30</f>
        <v>0.38117371169687914</v>
      </c>
      <c r="AM30" s="378">
        <f>AVERAGE(AJ31:AK31)</f>
        <v>0.101899713613187</v>
      </c>
      <c r="AN30" s="244">
        <f>(0.125*AJ31)+(0.875*AK31)</f>
        <v>9.7601995104323505E-2</v>
      </c>
    </row>
    <row r="31" spans="2:40" ht="15.75">
      <c r="Q31" s="18"/>
      <c r="R31" s="18"/>
      <c r="S31" s="112"/>
      <c r="T31" s="113"/>
      <c r="U31" s="112"/>
      <c r="V31" s="115"/>
      <c r="AA31" s="358" t="s">
        <v>454</v>
      </c>
      <c r="AB31" s="243">
        <f>'SAR and RAR'!AB31</f>
        <v>0.11703557207964155</v>
      </c>
      <c r="AC31" s="244">
        <f>'SAR and RAR'!AC31</f>
        <v>9.6169422268035681E-2</v>
      </c>
      <c r="AF31" s="348"/>
      <c r="AI31" s="358" t="s">
        <v>454</v>
      </c>
      <c r="AJ31" s="243">
        <f>'SAR and RAR'!AJ31</f>
        <v>0.10763000495833834</v>
      </c>
      <c r="AK31" s="244">
        <f>'SAR and RAR'!AK31</f>
        <v>9.6169422268035681E-2</v>
      </c>
      <c r="AN31" s="348"/>
    </row>
    <row r="32" spans="2:40" ht="15.75">
      <c r="B32" s="20"/>
      <c r="C32" s="20"/>
      <c r="D32" s="18"/>
      <c r="E32" s="18"/>
      <c r="F32" s="359"/>
      <c r="G32" s="359"/>
      <c r="H32" s="359"/>
      <c r="I32" s="83"/>
      <c r="J32" s="83"/>
      <c r="K32" s="83"/>
      <c r="L32" s="18"/>
      <c r="M32" s="18"/>
      <c r="N32" s="18"/>
      <c r="O32" s="18"/>
      <c r="P32" s="18"/>
      <c r="Q32" s="18"/>
      <c r="R32" s="18"/>
      <c r="S32" s="112"/>
      <c r="T32" s="113"/>
      <c r="U32" s="112"/>
      <c r="V32" s="115"/>
      <c r="W32" s="115"/>
      <c r="X32" s="114"/>
      <c r="AA32" s="61" t="s">
        <v>477</v>
      </c>
      <c r="AB32" s="243">
        <f>'SAR and RAR'!AB32</f>
        <v>2.9467861193157904E-2</v>
      </c>
      <c r="AC32" s="244">
        <f>'SAR and RAR'!AC32</f>
        <v>2.4344754704963795E-2</v>
      </c>
      <c r="AF32" s="348"/>
      <c r="AI32" s="61" t="s">
        <v>477</v>
      </c>
      <c r="AJ32" s="243">
        <f>'SAR and RAR'!AJ32</f>
        <v>2.9762458308976971E-2</v>
      </c>
      <c r="AK32" s="244">
        <f>'SAR and RAR'!AK32</f>
        <v>2.4344754704963795E-2</v>
      </c>
      <c r="AN32" s="348"/>
    </row>
    <row r="33" spans="2:40" ht="15.75">
      <c r="B33" s="20"/>
      <c r="C33" s="20"/>
      <c r="D33" s="18"/>
      <c r="E33" s="83"/>
      <c r="F33" s="344"/>
      <c r="G33" s="19">
        <v>2</v>
      </c>
      <c r="H33" s="19">
        <v>3</v>
      </c>
      <c r="I33" s="83">
        <v>4</v>
      </c>
      <c r="J33" s="83">
        <v>5</v>
      </c>
      <c r="K33" s="83">
        <v>6</v>
      </c>
      <c r="L33" s="19">
        <v>7</v>
      </c>
      <c r="M33" s="19">
        <v>8</v>
      </c>
      <c r="N33" s="19">
        <v>9</v>
      </c>
      <c r="O33" s="19">
        <v>10</v>
      </c>
      <c r="P33" s="19">
        <v>11</v>
      </c>
      <c r="Q33" s="19">
        <v>12</v>
      </c>
      <c r="R33" s="19">
        <v>13</v>
      </c>
      <c r="S33" s="19">
        <v>14</v>
      </c>
      <c r="T33" s="113">
        <v>15</v>
      </c>
      <c r="U33" s="112"/>
      <c r="V33" s="114"/>
      <c r="W33" s="115"/>
      <c r="X33" s="114"/>
      <c r="AA33" s="358" t="s">
        <v>320</v>
      </c>
      <c r="AB33" s="243">
        <f>'SAR and RAR'!AB33</f>
        <v>9.3806193744374322E-2</v>
      </c>
      <c r="AC33" s="244">
        <f>'SAR and RAR'!AC33</f>
        <v>0.1098897623867716</v>
      </c>
      <c r="AF33" s="348"/>
      <c r="AI33" s="358" t="s">
        <v>320</v>
      </c>
      <c r="AJ33" s="243">
        <f>'SAR and RAR'!AJ33</f>
        <v>8.7535161462001604E-2</v>
      </c>
      <c r="AK33" s="244">
        <f>'SAR and RAR'!AK33</f>
        <v>0.1098897623867716</v>
      </c>
      <c r="AN33" s="348"/>
    </row>
    <row r="34" spans="2:40" ht="15.75">
      <c r="B34" s="20"/>
      <c r="C34" s="20"/>
      <c r="D34" s="57"/>
      <c r="E34" s="106"/>
      <c r="F34" s="106" t="s">
        <v>462</v>
      </c>
      <c r="G34" s="19" t="s">
        <v>4</v>
      </c>
      <c r="H34" s="19" t="s">
        <v>6</v>
      </c>
      <c r="I34" s="19" t="s">
        <v>17</v>
      </c>
      <c r="J34" s="19" t="s">
        <v>185</v>
      </c>
      <c r="K34" s="19" t="s">
        <v>15</v>
      </c>
      <c r="L34" s="19" t="s">
        <v>11</v>
      </c>
      <c r="M34" s="19" t="s">
        <v>69</v>
      </c>
      <c r="N34" s="19" t="s">
        <v>138</v>
      </c>
      <c r="O34" s="19" t="s">
        <v>145</v>
      </c>
      <c r="P34" s="19" t="s">
        <v>186</v>
      </c>
      <c r="Q34" s="19" t="s">
        <v>25</v>
      </c>
      <c r="R34" s="19" t="s">
        <v>297</v>
      </c>
      <c r="S34" s="19" t="s">
        <v>219</v>
      </c>
      <c r="T34" s="80" t="s">
        <v>328</v>
      </c>
      <c r="U34" s="113"/>
      <c r="V34" s="111"/>
      <c r="W34" s="115"/>
      <c r="AA34" s="358" t="s">
        <v>321</v>
      </c>
      <c r="AB34" s="243">
        <f>'SAR and RAR'!AB34</f>
        <v>0.12877778742693738</v>
      </c>
      <c r="AC34" s="244">
        <f>'SAR and RAR'!AC34</f>
        <v>0.1694539717864656</v>
      </c>
      <c r="AF34" s="348"/>
      <c r="AI34" s="358" t="s">
        <v>321</v>
      </c>
      <c r="AJ34" s="243">
        <f>'SAR and RAR'!AJ34</f>
        <v>0.13655473049026323</v>
      </c>
      <c r="AK34" s="244">
        <f>'SAR and RAR'!AK34</f>
        <v>0.1694539717864656</v>
      </c>
      <c r="AN34" s="348"/>
    </row>
    <row r="35" spans="2:40" ht="15.75">
      <c r="E35" s="18"/>
      <c r="F35" s="154">
        <v>2024</v>
      </c>
      <c r="G35" s="126">
        <v>8.0026900061404685E-2</v>
      </c>
      <c r="H35" s="126">
        <v>0.11703557207964155</v>
      </c>
      <c r="I35" s="126">
        <v>7.9772721601086574E-2</v>
      </c>
      <c r="J35" s="126">
        <v>8.9478079665369817E-2</v>
      </c>
      <c r="K35" s="126">
        <v>7.7249774469423049E-2</v>
      </c>
      <c r="L35" s="126">
        <v>7.5847606010290752E-2</v>
      </c>
      <c r="M35" s="126">
        <v>8.2198432787364203E-2</v>
      </c>
      <c r="N35" s="126">
        <v>8.1519430695566733E-2</v>
      </c>
      <c r="O35" s="126">
        <v>8.2131646639272707E-2</v>
      </c>
      <c r="P35" s="126">
        <v>5.9032404279706616E-2</v>
      </c>
      <c r="Q35" s="126">
        <v>9.1733663004078703E-2</v>
      </c>
      <c r="R35" s="126">
        <v>0.11210946545562957</v>
      </c>
      <c r="S35" s="126">
        <v>9.0447532358110705E-2</v>
      </c>
      <c r="T35" s="126">
        <f>((AB26*AE30)+((AB27-AB26)*(AF30)))/AB27</f>
        <v>0.10037328408409135</v>
      </c>
      <c r="U35" s="113"/>
      <c r="V35" s="113"/>
      <c r="W35" s="115"/>
      <c r="AA35" s="358" t="s">
        <v>322</v>
      </c>
      <c r="AB35" s="243">
        <f>'SAR and RAR'!AB35</f>
        <v>3.4575704232670751E-3</v>
      </c>
      <c r="AC35" s="244">
        <f>'SAR and RAR'!AC35</f>
        <v>4.3868264256838726E-3</v>
      </c>
      <c r="AF35" s="348"/>
      <c r="AI35" s="358" t="s">
        <v>322</v>
      </c>
      <c r="AJ35" s="243">
        <f>'SAR and RAR'!AJ35</f>
        <v>3.3243732073613298E-3</v>
      </c>
      <c r="AK35" s="244">
        <f>'SAR and RAR'!AK35</f>
        <v>4.3868264256838726E-3</v>
      </c>
      <c r="AN35" s="348"/>
    </row>
    <row r="36" spans="2:40" ht="15.75">
      <c r="E36" s="18"/>
      <c r="F36" s="154">
        <f>F35+1</f>
        <v>2025</v>
      </c>
      <c r="G36" s="126">
        <v>6.8809037165250025E-2</v>
      </c>
      <c r="H36" s="126">
        <v>0.10763000495833834</v>
      </c>
      <c r="I36" s="126">
        <v>7.4546537866968784E-2</v>
      </c>
      <c r="J36" s="126">
        <v>8.4117078404888759E-2</v>
      </c>
      <c r="K36" s="126">
        <v>7.2597012924341731E-2</v>
      </c>
      <c r="L36" s="126">
        <v>7.0874665304719087E-2</v>
      </c>
      <c r="M36" s="126">
        <v>7.6574611855814143E-2</v>
      </c>
      <c r="N36" s="126">
        <v>7.6172812387303987E-2</v>
      </c>
      <c r="O36" s="126">
        <v>7.7129938361868003E-2</v>
      </c>
      <c r="P36" s="126">
        <v>2.8334748448161452E-2</v>
      </c>
      <c r="Q36" s="126">
        <v>8.4311885314368964E-2</v>
      </c>
      <c r="R36" s="126">
        <v>0.10442241220792045</v>
      </c>
      <c r="S36" s="126">
        <v>9.0498193235637278E-2</v>
      </c>
      <c r="T36" s="126">
        <f>((AJ26*AM30)+((AJ27-AJ26)*(AN30)))/AJ27</f>
        <v>0.10293780595113323</v>
      </c>
      <c r="U36" s="112"/>
      <c r="V36" s="113"/>
      <c r="W36" s="379"/>
      <c r="X36" s="113"/>
      <c r="AA36" s="358" t="s">
        <v>323</v>
      </c>
      <c r="AB36" s="243">
        <f>'SAR and RAR'!AB36</f>
        <v>2.5641310972084005E-3</v>
      </c>
      <c r="AC36" s="244">
        <f>'SAR and RAR'!AC36</f>
        <v>4.4033953107560624E-3</v>
      </c>
      <c r="AF36" s="348"/>
      <c r="AI36" s="358" t="s">
        <v>323</v>
      </c>
      <c r="AJ36" s="243">
        <f>'SAR and RAR'!AJ36</f>
        <v>2.1338683741357412E-3</v>
      </c>
      <c r="AK36" s="244">
        <f>'SAR and RAR'!AK36</f>
        <v>4.4033953107560624E-3</v>
      </c>
      <c r="AN36" s="348"/>
    </row>
    <row r="37" spans="2:40" ht="15.75">
      <c r="B37" s="20"/>
      <c r="C37" s="20"/>
      <c r="E37" s="18"/>
      <c r="F37" s="154">
        <f>F36+1</f>
        <v>2026</v>
      </c>
      <c r="G37" s="126">
        <f>G36</f>
        <v>6.8809037165250025E-2</v>
      </c>
      <c r="H37" s="126">
        <f t="shared" ref="H37:T38" si="5">H36</f>
        <v>0.10763000495833834</v>
      </c>
      <c r="I37" s="126">
        <f t="shared" si="5"/>
        <v>7.4546537866968784E-2</v>
      </c>
      <c r="J37" s="126">
        <f t="shared" si="5"/>
        <v>8.4117078404888759E-2</v>
      </c>
      <c r="K37" s="126">
        <f t="shared" si="5"/>
        <v>7.2597012924341731E-2</v>
      </c>
      <c r="L37" s="126">
        <f t="shared" si="5"/>
        <v>7.0874665304719087E-2</v>
      </c>
      <c r="M37" s="126">
        <f t="shared" si="5"/>
        <v>7.6574611855814143E-2</v>
      </c>
      <c r="N37" s="126">
        <f t="shared" si="5"/>
        <v>7.6172812387303987E-2</v>
      </c>
      <c r="O37" s="126">
        <f t="shared" si="5"/>
        <v>7.7129938361868003E-2</v>
      </c>
      <c r="P37" s="126">
        <f t="shared" si="5"/>
        <v>2.8334748448161452E-2</v>
      </c>
      <c r="Q37" s="126">
        <f t="shared" si="5"/>
        <v>8.4311885314368964E-2</v>
      </c>
      <c r="R37" s="126">
        <f t="shared" si="5"/>
        <v>0.10442241220792045</v>
      </c>
      <c r="S37" s="126">
        <f t="shared" si="5"/>
        <v>9.0498193235637278E-2</v>
      </c>
      <c r="T37" s="126">
        <f t="shared" si="5"/>
        <v>0.10293780595113323</v>
      </c>
      <c r="U37" s="112"/>
      <c r="V37" s="115"/>
      <c r="W37" s="361"/>
      <c r="X37" s="114"/>
      <c r="AA37" s="358" t="s">
        <v>324</v>
      </c>
      <c r="AB37" s="243">
        <f>'SAR and RAR'!AB37</f>
        <v>7.8458099877259616E-2</v>
      </c>
      <c r="AC37" s="244">
        <f>'SAR and RAR'!AC37</f>
        <v>7.3652717886081881E-2</v>
      </c>
      <c r="AF37" s="348"/>
      <c r="AI37" s="358" t="s">
        <v>324</v>
      </c>
      <c r="AJ37" s="243">
        <f>'SAR and RAR'!AJ37</f>
        <v>8.9613904005595588E-2</v>
      </c>
      <c r="AK37" s="244">
        <f>'SAR and RAR'!AK37</f>
        <v>7.3652717886081881E-2</v>
      </c>
      <c r="AN37" s="348"/>
    </row>
    <row r="38" spans="2:40" ht="15.75">
      <c r="B38" s="20"/>
      <c r="C38" s="20"/>
      <c r="E38" s="18"/>
      <c r="F38" s="154">
        <f>F37+1</f>
        <v>2027</v>
      </c>
      <c r="G38" s="126">
        <f>G37</f>
        <v>6.8809037165250025E-2</v>
      </c>
      <c r="H38" s="126">
        <f t="shared" si="5"/>
        <v>0.10763000495833834</v>
      </c>
      <c r="I38" s="126">
        <f t="shared" si="5"/>
        <v>7.4546537866968784E-2</v>
      </c>
      <c r="J38" s="126">
        <f t="shared" si="5"/>
        <v>8.4117078404888759E-2</v>
      </c>
      <c r="K38" s="126">
        <f t="shared" si="5"/>
        <v>7.2597012924341731E-2</v>
      </c>
      <c r="L38" s="126">
        <f t="shared" si="5"/>
        <v>7.0874665304719087E-2</v>
      </c>
      <c r="M38" s="126">
        <f t="shared" si="5"/>
        <v>7.6574611855814143E-2</v>
      </c>
      <c r="N38" s="126">
        <f t="shared" si="5"/>
        <v>7.6172812387303987E-2</v>
      </c>
      <c r="O38" s="126">
        <f t="shared" si="5"/>
        <v>7.7129938361868003E-2</v>
      </c>
      <c r="P38" s="126">
        <f t="shared" si="5"/>
        <v>2.8334748448161452E-2</v>
      </c>
      <c r="Q38" s="126">
        <f t="shared" si="5"/>
        <v>8.4311885314368964E-2</v>
      </c>
      <c r="R38" s="126">
        <f t="shared" si="5"/>
        <v>0.10442241220792045</v>
      </c>
      <c r="S38" s="126">
        <f t="shared" si="5"/>
        <v>9.0498193235637278E-2</v>
      </c>
      <c r="T38" s="126">
        <f t="shared" si="5"/>
        <v>0.10293780595113323</v>
      </c>
      <c r="U38" s="112"/>
      <c r="V38" s="115"/>
      <c r="W38" s="114"/>
      <c r="X38" s="114"/>
      <c r="AA38" s="358" t="s">
        <v>325</v>
      </c>
      <c r="AB38" s="243">
        <f>'SAR and RAR'!AB38</f>
        <v>3.6767182066440973E-2</v>
      </c>
      <c r="AC38" s="244">
        <f>'SAR and RAR'!AC38</f>
        <v>6.6397803266429384E-2</v>
      </c>
      <c r="AF38" s="348"/>
      <c r="AI38" s="358" t="s">
        <v>325</v>
      </c>
      <c r="AJ38" s="243">
        <f>'SAR and RAR'!AJ38</f>
        <v>3.5976979122765727E-2</v>
      </c>
      <c r="AK38" s="244">
        <f>'SAR and RAR'!AK38</f>
        <v>6.6397803266429384E-2</v>
      </c>
      <c r="AN38" s="348"/>
    </row>
    <row r="39" spans="2:40" ht="15.75">
      <c r="B39" s="20"/>
      <c r="C39" s="20"/>
      <c r="E39" s="18"/>
      <c r="F39" s="22"/>
      <c r="G39" s="23"/>
      <c r="H39" s="251"/>
      <c r="I39" s="83"/>
      <c r="J39" s="83"/>
      <c r="K39" s="83"/>
      <c r="L39" s="18"/>
      <c r="M39" s="18"/>
      <c r="N39" s="18"/>
      <c r="O39" s="18"/>
      <c r="P39" s="18"/>
      <c r="Q39" s="18"/>
      <c r="S39" s="18"/>
      <c r="T39" s="113"/>
      <c r="U39" s="112"/>
      <c r="V39" s="115"/>
      <c r="W39" s="361"/>
      <c r="X39" s="115"/>
      <c r="AA39" s="358" t="s">
        <v>326</v>
      </c>
      <c r="AB39" s="243">
        <f>'SAR and RAR'!AB39</f>
        <v>1.3741468876645182E-2</v>
      </c>
      <c r="AC39" s="244">
        <f>'SAR and RAR'!AC39</f>
        <v>2.0919814075685422E-2</v>
      </c>
      <c r="AD39" s="358"/>
      <c r="AF39" s="348"/>
      <c r="AI39" s="358" t="s">
        <v>326</v>
      </c>
      <c r="AJ39" s="243">
        <f>'SAR and RAR'!AJ39</f>
        <v>1.3741468876645182E-2</v>
      </c>
      <c r="AK39" s="244">
        <f>'SAR and RAR'!AK39</f>
        <v>2.0919814075685422E-2</v>
      </c>
      <c r="AN39" s="348"/>
    </row>
    <row r="40" spans="2:40" ht="16.5" thickBot="1">
      <c r="B40" s="20"/>
      <c r="C40" s="20"/>
      <c r="D40" s="18"/>
      <c r="E40" s="18"/>
      <c r="F40" s="106" t="s">
        <v>188</v>
      </c>
      <c r="G40" s="83"/>
      <c r="H40" s="83"/>
      <c r="I40" s="83"/>
      <c r="J40" s="83"/>
      <c r="K40" s="83"/>
      <c r="L40" s="18"/>
      <c r="M40" s="18"/>
      <c r="N40" s="18"/>
      <c r="O40" s="18"/>
      <c r="P40" s="18"/>
      <c r="Q40" s="18"/>
      <c r="S40" s="18"/>
      <c r="T40" s="113"/>
      <c r="U40" s="112"/>
      <c r="V40" s="115"/>
      <c r="W40" s="115"/>
      <c r="X40" s="114"/>
      <c r="AA40" s="350" t="s">
        <v>327</v>
      </c>
      <c r="AB40" s="245">
        <f>'SAR and RAR'!AB40</f>
        <v>7.8052642085709497E-4</v>
      </c>
      <c r="AC40" s="246">
        <f>'SAR and RAR'!AC40</f>
        <v>4.920782019224753E-2</v>
      </c>
      <c r="AD40" s="350"/>
      <c r="AE40" s="351"/>
      <c r="AF40" s="351"/>
      <c r="AG40" s="358"/>
      <c r="AI40" s="350" t="s">
        <v>327</v>
      </c>
      <c r="AJ40" s="245">
        <f>'SAR and RAR'!AJ40</f>
        <v>1.0731010666749903E-3</v>
      </c>
      <c r="AK40" s="246">
        <f>'SAR and RAR'!AK40</f>
        <v>4.920782019224753E-2</v>
      </c>
      <c r="AL40" s="351"/>
      <c r="AM40" s="351"/>
      <c r="AN40" s="352"/>
    </row>
    <row r="41" spans="2:40" ht="15.75">
      <c r="B41" s="20"/>
      <c r="C41" s="20"/>
      <c r="D41" s="18"/>
      <c r="E41" s="18" t="s">
        <v>454</v>
      </c>
      <c r="F41" s="154">
        <f>F35</f>
        <v>2024</v>
      </c>
      <c r="G41" s="126">
        <v>1</v>
      </c>
      <c r="H41" s="126">
        <f t="shared" ref="H41:T41" si="6">$K51/$O51</f>
        <v>0.36368985728319209</v>
      </c>
      <c r="I41" s="126">
        <f t="shared" si="6"/>
        <v>0.36368985728319209</v>
      </c>
      <c r="J41" s="126">
        <f t="shared" si="6"/>
        <v>0.36368985728319209</v>
      </c>
      <c r="K41" s="126">
        <f t="shared" si="6"/>
        <v>0.36368985728319209</v>
      </c>
      <c r="L41" s="126">
        <f t="shared" si="6"/>
        <v>0.36368985728319209</v>
      </c>
      <c r="M41" s="126">
        <f t="shared" si="6"/>
        <v>0.36368985728319209</v>
      </c>
      <c r="N41" s="126">
        <f t="shared" si="6"/>
        <v>0.36368985728319209</v>
      </c>
      <c r="O41" s="126">
        <f t="shared" si="6"/>
        <v>0.36368985728319209</v>
      </c>
      <c r="P41" s="126">
        <f t="shared" si="6"/>
        <v>0.36368985728319209</v>
      </c>
      <c r="Q41" s="126">
        <f t="shared" si="6"/>
        <v>0.36368985728319209</v>
      </c>
      <c r="R41" s="126">
        <f t="shared" si="6"/>
        <v>0.36368985728319209</v>
      </c>
      <c r="S41" s="126">
        <f t="shared" si="6"/>
        <v>0.36368985728319209</v>
      </c>
      <c r="T41" s="126">
        <f t="shared" si="6"/>
        <v>0.36368985728319209</v>
      </c>
      <c r="U41" s="112"/>
      <c r="V41" s="115"/>
      <c r="W41" s="111"/>
      <c r="X41" s="111"/>
    </row>
    <row r="42" spans="2:40" ht="15.75">
      <c r="B42" s="20"/>
      <c r="C42" s="20"/>
      <c r="D42" s="18"/>
      <c r="E42" s="18" t="s">
        <v>454</v>
      </c>
      <c r="F42" s="154">
        <f>F36</f>
        <v>2025</v>
      </c>
      <c r="G42" s="126">
        <v>1</v>
      </c>
      <c r="H42" s="126">
        <f t="shared" ref="H42:T42" si="7">$K52/$O52</f>
        <v>0.3063418595966077</v>
      </c>
      <c r="I42" s="126">
        <f t="shared" si="7"/>
        <v>0.3063418595966077</v>
      </c>
      <c r="J42" s="126">
        <f t="shared" si="7"/>
        <v>0.3063418595966077</v>
      </c>
      <c r="K42" s="126">
        <f t="shared" si="7"/>
        <v>0.3063418595966077</v>
      </c>
      <c r="L42" s="126">
        <f t="shared" si="7"/>
        <v>0.3063418595966077</v>
      </c>
      <c r="M42" s="126">
        <f t="shared" si="7"/>
        <v>0.3063418595966077</v>
      </c>
      <c r="N42" s="126">
        <f t="shared" si="7"/>
        <v>0.3063418595966077</v>
      </c>
      <c r="O42" s="126">
        <f t="shared" si="7"/>
        <v>0.3063418595966077</v>
      </c>
      <c r="P42" s="126">
        <f t="shared" si="7"/>
        <v>0.3063418595966077</v>
      </c>
      <c r="Q42" s="126">
        <f t="shared" si="7"/>
        <v>0.3063418595966077</v>
      </c>
      <c r="R42" s="126">
        <f t="shared" si="7"/>
        <v>0.3063418595966077</v>
      </c>
      <c r="S42" s="126">
        <f t="shared" si="7"/>
        <v>0.3063418595966077</v>
      </c>
      <c r="T42" s="126">
        <f t="shared" si="7"/>
        <v>0.3063418595966077</v>
      </c>
      <c r="U42" s="113"/>
      <c r="V42" s="111"/>
      <c r="X42" s="114"/>
      <c r="AB42" s="363"/>
      <c r="AC42" s="363"/>
    </row>
    <row r="43" spans="2:40" ht="15.75">
      <c r="B43" s="20"/>
      <c r="C43" s="20"/>
      <c r="D43" s="18"/>
      <c r="E43" s="18" t="s">
        <v>454</v>
      </c>
      <c r="F43" s="154">
        <f>F37</f>
        <v>2026</v>
      </c>
      <c r="G43" s="126">
        <f t="shared" ref="G43:R43" si="8">G42</f>
        <v>1</v>
      </c>
      <c r="H43" s="126">
        <f t="shared" si="8"/>
        <v>0.3063418595966077</v>
      </c>
      <c r="I43" s="126">
        <f t="shared" si="8"/>
        <v>0.3063418595966077</v>
      </c>
      <c r="J43" s="126">
        <f t="shared" si="8"/>
        <v>0.3063418595966077</v>
      </c>
      <c r="K43" s="126">
        <f t="shared" si="8"/>
        <v>0.3063418595966077</v>
      </c>
      <c r="L43" s="126">
        <f t="shared" si="8"/>
        <v>0.3063418595966077</v>
      </c>
      <c r="M43" s="126">
        <f t="shared" si="8"/>
        <v>0.3063418595966077</v>
      </c>
      <c r="N43" s="126">
        <f t="shared" si="8"/>
        <v>0.3063418595966077</v>
      </c>
      <c r="O43" s="126">
        <f t="shared" si="8"/>
        <v>0.3063418595966077</v>
      </c>
      <c r="P43" s="126">
        <f t="shared" si="8"/>
        <v>0.3063418595966077</v>
      </c>
      <c r="Q43" s="126">
        <f t="shared" si="8"/>
        <v>0.3063418595966077</v>
      </c>
      <c r="R43" s="126">
        <f t="shared" si="8"/>
        <v>0.3063418595966077</v>
      </c>
      <c r="S43" s="126">
        <f t="shared" ref="S43:T47" si="9">$K53/$O53</f>
        <v>0.3063418595966077</v>
      </c>
      <c r="T43" s="126">
        <f t="shared" si="9"/>
        <v>0.3063418595966077</v>
      </c>
      <c r="U43" s="112"/>
      <c r="V43" s="115"/>
      <c r="W43" s="364"/>
      <c r="X43" s="113"/>
      <c r="AB43" s="363"/>
    </row>
    <row r="44" spans="2:40" ht="15.75">
      <c r="B44" s="20"/>
      <c r="C44" s="20"/>
      <c r="D44" s="18"/>
      <c r="E44" s="18" t="s">
        <v>454</v>
      </c>
      <c r="F44" s="154">
        <f>F38</f>
        <v>2027</v>
      </c>
      <c r="G44" s="126">
        <f t="shared" ref="G44:R44" si="10">G42</f>
        <v>1</v>
      </c>
      <c r="H44" s="126">
        <f t="shared" si="10"/>
        <v>0.3063418595966077</v>
      </c>
      <c r="I44" s="126">
        <f t="shared" si="10"/>
        <v>0.3063418595966077</v>
      </c>
      <c r="J44" s="126">
        <f t="shared" si="10"/>
        <v>0.3063418595966077</v>
      </c>
      <c r="K44" s="126">
        <f t="shared" si="10"/>
        <v>0.3063418595966077</v>
      </c>
      <c r="L44" s="126">
        <f t="shared" si="10"/>
        <v>0.3063418595966077</v>
      </c>
      <c r="M44" s="126">
        <f t="shared" si="10"/>
        <v>0.3063418595966077</v>
      </c>
      <c r="N44" s="126">
        <f t="shared" si="10"/>
        <v>0.3063418595966077</v>
      </c>
      <c r="O44" s="126">
        <f t="shared" si="10"/>
        <v>0.3063418595966077</v>
      </c>
      <c r="P44" s="126">
        <f t="shared" si="10"/>
        <v>0.3063418595966077</v>
      </c>
      <c r="Q44" s="126">
        <f t="shared" si="10"/>
        <v>0.3063418595966077</v>
      </c>
      <c r="R44" s="126">
        <f t="shared" si="10"/>
        <v>0.3063418595966077</v>
      </c>
      <c r="S44" s="126">
        <f t="shared" si="9"/>
        <v>0.3063418595966077</v>
      </c>
      <c r="T44" s="126">
        <f t="shared" si="9"/>
        <v>0.3063418595966077</v>
      </c>
      <c r="U44" s="113"/>
      <c r="V44" s="113"/>
      <c r="W44" s="113"/>
      <c r="X44" s="113"/>
    </row>
    <row r="45" spans="2:40" ht="63">
      <c r="B45" s="20"/>
      <c r="C45" s="20"/>
      <c r="D45" s="18"/>
      <c r="E45" s="21" t="s">
        <v>24</v>
      </c>
      <c r="F45" s="154">
        <f>F41</f>
        <v>2024</v>
      </c>
      <c r="G45" s="126">
        <v>1</v>
      </c>
      <c r="H45" s="126">
        <f t="shared" ref="H45:R45" si="11">$K55/$O55</f>
        <v>0.37463527299719035</v>
      </c>
      <c r="I45" s="126">
        <f t="shared" si="11"/>
        <v>0.37463527299719035</v>
      </c>
      <c r="J45" s="126">
        <f t="shared" si="11"/>
        <v>0.37463527299719035</v>
      </c>
      <c r="K45" s="126">
        <f t="shared" si="11"/>
        <v>0.37463527299719035</v>
      </c>
      <c r="L45" s="126">
        <f t="shared" si="11"/>
        <v>0.37463527299719035</v>
      </c>
      <c r="M45" s="126">
        <f t="shared" si="11"/>
        <v>0.37463527299719035</v>
      </c>
      <c r="N45" s="126">
        <f t="shared" si="11"/>
        <v>0.37463527299719035</v>
      </c>
      <c r="O45" s="126">
        <f t="shared" si="11"/>
        <v>0.37463527299719035</v>
      </c>
      <c r="P45" s="126">
        <f t="shared" si="11"/>
        <v>0.37463527299719035</v>
      </c>
      <c r="Q45" s="126">
        <f t="shared" si="11"/>
        <v>0.37463527299719035</v>
      </c>
      <c r="R45" s="126">
        <f t="shared" si="11"/>
        <v>0.37463527299719035</v>
      </c>
      <c r="S45" s="126">
        <f t="shared" si="9"/>
        <v>0.37463527299719035</v>
      </c>
      <c r="T45" s="126">
        <f t="shared" si="9"/>
        <v>0.37463527299719035</v>
      </c>
      <c r="U45" s="112"/>
      <c r="V45" s="115"/>
      <c r="W45" s="114"/>
      <c r="X45" s="114"/>
      <c r="AA45" s="365"/>
      <c r="AB45" s="366" t="s">
        <v>595</v>
      </c>
      <c r="AC45" s="366" t="s">
        <v>596</v>
      </c>
      <c r="AD45" s="365"/>
      <c r="AE45" s="366" t="s">
        <v>597</v>
      </c>
      <c r="AF45" s="366" t="s">
        <v>598</v>
      </c>
    </row>
    <row r="46" spans="2:40" ht="15.75">
      <c r="B46" s="20"/>
      <c r="C46" s="20"/>
      <c r="D46" s="18"/>
      <c r="E46" s="21" t="s">
        <v>24</v>
      </c>
      <c r="F46" s="154">
        <f>F42</f>
        <v>2025</v>
      </c>
      <c r="G46" s="126">
        <v>1</v>
      </c>
      <c r="H46" s="126">
        <f t="shared" ref="H46:R46" si="12">$K56/$O56</f>
        <v>0.34186951257205705</v>
      </c>
      <c r="I46" s="126">
        <f t="shared" si="12"/>
        <v>0.34186951257205705</v>
      </c>
      <c r="J46" s="126">
        <f t="shared" si="12"/>
        <v>0.34186951257205705</v>
      </c>
      <c r="K46" s="126">
        <f t="shared" si="12"/>
        <v>0.34186951257205705</v>
      </c>
      <c r="L46" s="126">
        <f t="shared" si="12"/>
        <v>0.34186951257205705</v>
      </c>
      <c r="M46" s="126">
        <f t="shared" si="12"/>
        <v>0.34186951257205705</v>
      </c>
      <c r="N46" s="126">
        <f t="shared" si="12"/>
        <v>0.34186951257205705</v>
      </c>
      <c r="O46" s="126">
        <f t="shared" si="12"/>
        <v>0.34186951257205705</v>
      </c>
      <c r="P46" s="126">
        <f t="shared" si="12"/>
        <v>0.34186951257205705</v>
      </c>
      <c r="Q46" s="126">
        <f t="shared" si="12"/>
        <v>0.34186951257205705</v>
      </c>
      <c r="R46" s="126">
        <f t="shared" si="12"/>
        <v>0.34186951257205705</v>
      </c>
      <c r="S46" s="126">
        <f t="shared" si="9"/>
        <v>0.34186951257205705</v>
      </c>
      <c r="T46" s="126">
        <f t="shared" si="9"/>
        <v>0.34186951257205705</v>
      </c>
      <c r="U46" s="112"/>
      <c r="V46" s="115"/>
      <c r="W46" s="114"/>
      <c r="X46" s="114"/>
      <c r="AA46" s="367"/>
      <c r="AB46" s="368"/>
      <c r="AC46" s="368"/>
      <c r="AD46" s="369"/>
      <c r="AE46" s="368"/>
      <c r="AF46" s="368"/>
    </row>
    <row r="47" spans="2:40" ht="15.75">
      <c r="B47" s="20"/>
      <c r="C47" s="20"/>
      <c r="D47" s="18"/>
      <c r="E47" s="21" t="s">
        <v>24</v>
      </c>
      <c r="F47" s="154">
        <f>F43</f>
        <v>2026</v>
      </c>
      <c r="G47" s="126">
        <f t="shared" ref="G47:R47" si="13">G46</f>
        <v>1</v>
      </c>
      <c r="H47" s="126">
        <f t="shared" si="13"/>
        <v>0.34186951257205705</v>
      </c>
      <c r="I47" s="126">
        <f t="shared" si="13"/>
        <v>0.34186951257205705</v>
      </c>
      <c r="J47" s="126">
        <f t="shared" si="13"/>
        <v>0.34186951257205705</v>
      </c>
      <c r="K47" s="126">
        <f t="shared" si="13"/>
        <v>0.34186951257205705</v>
      </c>
      <c r="L47" s="126">
        <f t="shared" si="13"/>
        <v>0.34186951257205705</v>
      </c>
      <c r="M47" s="126">
        <f t="shared" si="13"/>
        <v>0.34186951257205705</v>
      </c>
      <c r="N47" s="126">
        <f t="shared" si="13"/>
        <v>0.34186951257205705</v>
      </c>
      <c r="O47" s="126">
        <f t="shared" si="13"/>
        <v>0.34186951257205705</v>
      </c>
      <c r="P47" s="126">
        <f t="shared" si="13"/>
        <v>0.34186951257205705</v>
      </c>
      <c r="Q47" s="126">
        <f t="shared" si="13"/>
        <v>0.34186951257205705</v>
      </c>
      <c r="R47" s="126">
        <f t="shared" si="13"/>
        <v>0.34186951257205705</v>
      </c>
      <c r="S47" s="126">
        <f t="shared" si="9"/>
        <v>0.34186951257205705</v>
      </c>
      <c r="T47" s="126">
        <f t="shared" si="9"/>
        <v>0.34186951257205705</v>
      </c>
      <c r="U47" s="113"/>
      <c r="V47" s="111"/>
      <c r="W47" s="115"/>
      <c r="X47" s="114"/>
      <c r="AA47" s="367" t="s">
        <v>454</v>
      </c>
      <c r="AB47" s="370">
        <v>44.165460079574139</v>
      </c>
      <c r="AC47" s="370">
        <v>44.16920741698884</v>
      </c>
      <c r="AD47" s="367" t="s">
        <v>454</v>
      </c>
      <c r="AE47" s="370">
        <v>33.989411743627038</v>
      </c>
      <c r="AF47" s="370">
        <v>33.993352819631454</v>
      </c>
    </row>
    <row r="48" spans="2:40" ht="15.75">
      <c r="B48" s="20"/>
      <c r="C48" s="20"/>
      <c r="D48" s="18"/>
      <c r="E48" s="21" t="s">
        <v>24</v>
      </c>
      <c r="F48" s="154">
        <f>F44</f>
        <v>2027</v>
      </c>
      <c r="G48" s="126">
        <f t="shared" ref="G48:R48" si="14">G46</f>
        <v>1</v>
      </c>
      <c r="H48" s="126">
        <f t="shared" si="14"/>
        <v>0.34186951257205705</v>
      </c>
      <c r="I48" s="126">
        <f t="shared" si="14"/>
        <v>0.34186951257205705</v>
      </c>
      <c r="J48" s="126">
        <f t="shared" si="14"/>
        <v>0.34186951257205705</v>
      </c>
      <c r="K48" s="126">
        <f t="shared" si="14"/>
        <v>0.34186951257205705</v>
      </c>
      <c r="L48" s="126">
        <f t="shared" si="14"/>
        <v>0.34186951257205705</v>
      </c>
      <c r="M48" s="126">
        <f t="shared" si="14"/>
        <v>0.34186951257205705</v>
      </c>
      <c r="N48" s="126">
        <f t="shared" si="14"/>
        <v>0.34186951257205705</v>
      </c>
      <c r="O48" s="126">
        <f t="shared" si="14"/>
        <v>0.34186951257205705</v>
      </c>
      <c r="P48" s="126">
        <f t="shared" si="14"/>
        <v>0.34186951257205705</v>
      </c>
      <c r="Q48" s="126">
        <f t="shared" si="14"/>
        <v>0.34186951257205705</v>
      </c>
      <c r="R48" s="126">
        <f t="shared" si="14"/>
        <v>0.34186951257205705</v>
      </c>
      <c r="S48" s="126">
        <f>S47</f>
        <v>0.34186951257205705</v>
      </c>
      <c r="T48" s="126">
        <f>$K58/$O58</f>
        <v>0.34186951257205705</v>
      </c>
      <c r="U48" s="112"/>
      <c r="V48" s="115"/>
      <c r="W48" s="115"/>
      <c r="X48" s="114"/>
      <c r="AA48" s="367" t="s">
        <v>31</v>
      </c>
      <c r="AB48" s="370">
        <v>36.56790438719397</v>
      </c>
      <c r="AC48" s="370">
        <v>37.377312162623006</v>
      </c>
      <c r="AD48" s="369" t="s">
        <v>24</v>
      </c>
      <c r="AE48" s="370">
        <v>26.395764586261034</v>
      </c>
      <c r="AF48" s="370">
        <v>27.208494659255685</v>
      </c>
    </row>
    <row r="49" spans="2:32" ht="15.75">
      <c r="B49" s="20"/>
      <c r="C49" s="20"/>
      <c r="D49" s="18"/>
      <c r="E49" s="18"/>
      <c r="F49" s="83"/>
      <c r="G49" s="83"/>
      <c r="H49" s="83"/>
      <c r="I49" s="83"/>
      <c r="J49" s="83"/>
      <c r="K49" s="83"/>
      <c r="L49" s="18"/>
      <c r="M49" s="18"/>
      <c r="N49" s="18"/>
      <c r="O49" s="18"/>
      <c r="P49" s="18"/>
      <c r="Q49" s="18"/>
      <c r="R49" s="18"/>
      <c r="S49" s="112"/>
      <c r="T49" s="113"/>
      <c r="U49" s="113"/>
      <c r="V49" s="113"/>
      <c r="W49" s="114"/>
      <c r="X49" s="114"/>
      <c r="AA49" s="371"/>
      <c r="AB49" s="372"/>
      <c r="AC49" s="372"/>
      <c r="AD49" s="372"/>
      <c r="AE49" s="372"/>
      <c r="AF49" s="373"/>
    </row>
    <row r="50" spans="2:32" ht="63">
      <c r="B50" s="20"/>
      <c r="C50" s="20"/>
      <c r="D50" s="18"/>
      <c r="E50" s="18"/>
      <c r="F50" s="106" t="s">
        <v>298</v>
      </c>
      <c r="G50" s="83"/>
      <c r="H50" s="83"/>
      <c r="I50" s="83"/>
      <c r="J50" s="106" t="s">
        <v>142</v>
      </c>
      <c r="K50" s="83"/>
      <c r="L50" s="252"/>
      <c r="M50"/>
      <c r="N50" s="106" t="s">
        <v>141</v>
      </c>
      <c r="O50" s="18"/>
      <c r="P50" s="18"/>
      <c r="Q50" s="18"/>
      <c r="R50" s="18"/>
      <c r="S50" s="112"/>
      <c r="T50" s="431"/>
      <c r="U50" s="431"/>
      <c r="V50" s="113"/>
      <c r="W50" s="380"/>
      <c r="X50" s="111"/>
      <c r="AA50" s="365"/>
      <c r="AB50" s="374" t="s">
        <v>617</v>
      </c>
      <c r="AC50" s="374" t="s">
        <v>618</v>
      </c>
      <c r="AD50" s="368"/>
      <c r="AE50" s="374" t="s">
        <v>619</v>
      </c>
      <c r="AF50" s="374" t="s">
        <v>620</v>
      </c>
    </row>
    <row r="51" spans="2:32" ht="15.75">
      <c r="B51" s="18"/>
      <c r="C51" s="18"/>
      <c r="D51" s="18"/>
      <c r="E51" s="18" t="s">
        <v>454</v>
      </c>
      <c r="F51" s="154">
        <f t="shared" ref="F51:F58" si="15">F41</f>
        <v>2024</v>
      </c>
      <c r="G51" s="214">
        <v>6401208.3067437485</v>
      </c>
      <c r="H51" s="83"/>
      <c r="I51" s="18" t="s">
        <v>454</v>
      </c>
      <c r="J51" s="154">
        <f t="shared" ref="J51:J58" si="16">F51</f>
        <v>2024</v>
      </c>
      <c r="K51" s="214">
        <v>2332908.5682227272</v>
      </c>
      <c r="L51" s="344"/>
      <c r="M51" s="18" t="s">
        <v>454</v>
      </c>
      <c r="N51" s="154">
        <f t="shared" ref="N51:N58" si="17">F51</f>
        <v>2024</v>
      </c>
      <c r="O51" s="333">
        <v>6414554.9332880517</v>
      </c>
      <c r="P51" s="253"/>
      <c r="Q51" s="18"/>
      <c r="R51" s="18"/>
      <c r="S51" s="112"/>
      <c r="T51" s="113"/>
      <c r="U51" s="112"/>
      <c r="V51" s="115"/>
      <c r="W51" s="113"/>
      <c r="X51" s="113"/>
      <c r="AA51" s="367"/>
      <c r="AB51" s="368"/>
      <c r="AC51" s="368"/>
      <c r="AD51" s="369"/>
      <c r="AE51" s="368"/>
      <c r="AF51" s="368"/>
    </row>
    <row r="52" spans="2:32" ht="15.75">
      <c r="B52" s="18"/>
      <c r="C52" s="18"/>
      <c r="D52" s="18"/>
      <c r="E52" s="18" t="s">
        <v>454</v>
      </c>
      <c r="F52" s="154">
        <f t="shared" si="15"/>
        <v>2025</v>
      </c>
      <c r="G52" s="214">
        <v>5833382.3432560852</v>
      </c>
      <c r="H52" s="248"/>
      <c r="I52" s="18" t="s">
        <v>454</v>
      </c>
      <c r="J52" s="154">
        <f t="shared" si="16"/>
        <v>2025</v>
      </c>
      <c r="K52" s="214">
        <v>1791220.8471802892</v>
      </c>
      <c r="L52" s="249"/>
      <c r="M52" s="18" t="s">
        <v>454</v>
      </c>
      <c r="N52" s="154">
        <f t="shared" si="17"/>
        <v>2025</v>
      </c>
      <c r="O52" s="333">
        <v>5847130.5538817868</v>
      </c>
      <c r="P52" s="248"/>
      <c r="Q52" s="20"/>
      <c r="R52" s="18"/>
      <c r="S52" s="112"/>
      <c r="T52" s="113"/>
      <c r="U52" s="112"/>
      <c r="V52" s="114"/>
      <c r="W52" s="113"/>
      <c r="X52" s="113"/>
      <c r="AA52" s="367" t="s">
        <v>454</v>
      </c>
      <c r="AB52" s="370">
        <v>41.415357790415229</v>
      </c>
      <c r="AC52" s="370">
        <v>41.419105127829937</v>
      </c>
      <c r="AD52" s="367" t="s">
        <v>454</v>
      </c>
      <c r="AE52" s="370">
        <v>32.485730848580296</v>
      </c>
      <c r="AF52" s="370">
        <v>32.489671924584712</v>
      </c>
    </row>
    <row r="53" spans="2:32" ht="15.75">
      <c r="B53" s="18"/>
      <c r="C53" s="18"/>
      <c r="D53" s="18"/>
      <c r="E53" s="18" t="s">
        <v>454</v>
      </c>
      <c r="F53" s="154">
        <f t="shared" si="15"/>
        <v>2026</v>
      </c>
      <c r="G53" s="214">
        <f>$G$52</f>
        <v>5833382.3432560852</v>
      </c>
      <c r="H53" s="83"/>
      <c r="I53" s="18" t="s">
        <v>454</v>
      </c>
      <c r="J53" s="154">
        <f t="shared" si="16"/>
        <v>2026</v>
      </c>
      <c r="K53" s="214">
        <f>K52</f>
        <v>1791220.8471802892</v>
      </c>
      <c r="L53" s="18"/>
      <c r="M53" s="18" t="s">
        <v>454</v>
      </c>
      <c r="N53" s="154">
        <f t="shared" si="17"/>
        <v>2026</v>
      </c>
      <c r="O53" s="214">
        <f>O52</f>
        <v>5847130.5538817868</v>
      </c>
      <c r="P53" s="18"/>
      <c r="Q53" s="18"/>
      <c r="R53" s="18"/>
      <c r="S53" s="112"/>
      <c r="T53" s="113"/>
      <c r="U53" s="112"/>
      <c r="V53" s="115"/>
      <c r="W53" s="115"/>
      <c r="X53" s="114"/>
      <c r="AA53" s="367" t="s">
        <v>31</v>
      </c>
      <c r="AB53" s="370">
        <v>33.950754071574565</v>
      </c>
      <c r="AC53" s="370">
        <v>34.760161847003594</v>
      </c>
      <c r="AD53" s="369" t="s">
        <v>24</v>
      </c>
      <c r="AE53" s="375">
        <v>24.967536977696753</v>
      </c>
      <c r="AF53" s="375">
        <v>25.780267050691403</v>
      </c>
    </row>
    <row r="54" spans="2:32" ht="15.75">
      <c r="B54" s="18"/>
      <c r="C54" s="18"/>
      <c r="D54" s="18"/>
      <c r="E54" s="18" t="s">
        <v>454</v>
      </c>
      <c r="F54" s="154">
        <f t="shared" si="15"/>
        <v>2027</v>
      </c>
      <c r="G54" s="214">
        <f>$G$52</f>
        <v>5833382.3432560852</v>
      </c>
      <c r="H54" s="83"/>
      <c r="I54" s="18" t="s">
        <v>454</v>
      </c>
      <c r="J54" s="154">
        <f t="shared" si="16"/>
        <v>2027</v>
      </c>
      <c r="K54" s="214">
        <f>K53</f>
        <v>1791220.8471802892</v>
      </c>
      <c r="L54" s="18"/>
      <c r="M54" s="18" t="s">
        <v>454</v>
      </c>
      <c r="N54" s="154">
        <f t="shared" si="17"/>
        <v>2027</v>
      </c>
      <c r="O54" s="214">
        <f>O53</f>
        <v>5847130.5538817868</v>
      </c>
      <c r="P54" s="18"/>
      <c r="Q54" s="18"/>
      <c r="R54" s="18"/>
      <c r="S54" s="112"/>
      <c r="T54" s="113"/>
      <c r="U54" s="112"/>
      <c r="V54" s="115"/>
      <c r="W54" s="115"/>
      <c r="X54" s="114"/>
    </row>
    <row r="55" spans="2:32" ht="15.75">
      <c r="B55" s="18"/>
      <c r="C55" s="18"/>
      <c r="D55" s="18"/>
      <c r="E55" s="21" t="s">
        <v>24</v>
      </c>
      <c r="F55" s="154">
        <f t="shared" si="15"/>
        <v>2024</v>
      </c>
      <c r="G55" s="214">
        <f>'SAR and RAR'!G55</f>
        <v>69915155.684137806</v>
      </c>
      <c r="H55" s="83"/>
      <c r="I55" s="21" t="s">
        <v>24</v>
      </c>
      <c r="J55" s="154">
        <f t="shared" si="16"/>
        <v>2024</v>
      </c>
      <c r="K55" s="214">
        <f>'SAR and RAR'!K55</f>
        <v>29392636.884899609</v>
      </c>
      <c r="L55" s="18"/>
      <c r="M55" s="21" t="s">
        <v>24</v>
      </c>
      <c r="N55" s="154">
        <f t="shared" si="17"/>
        <v>2024</v>
      </c>
      <c r="O55" s="333">
        <f>'SAR and RAR'!O55</f>
        <v>78456672.405003473</v>
      </c>
      <c r="P55" s="253"/>
      <c r="Q55" s="18"/>
      <c r="R55" s="18"/>
      <c r="S55" s="112"/>
      <c r="T55" s="113"/>
      <c r="U55" s="112"/>
      <c r="V55" s="114"/>
      <c r="W55" s="115"/>
      <c r="X55" s="114"/>
    </row>
    <row r="56" spans="2:32" ht="15.75">
      <c r="B56" s="18"/>
      <c r="C56" s="18"/>
      <c r="D56" s="18"/>
      <c r="E56" s="21" t="s">
        <v>24</v>
      </c>
      <c r="F56" s="154">
        <f t="shared" si="15"/>
        <v>2025</v>
      </c>
      <c r="G56" s="214">
        <f>'SAR and RAR'!G56</f>
        <v>69342560.808027744</v>
      </c>
      <c r="H56" s="248"/>
      <c r="I56" s="21" t="s">
        <v>24</v>
      </c>
      <c r="J56" s="154">
        <f t="shared" si="16"/>
        <v>2025</v>
      </c>
      <c r="K56" s="214">
        <f>'SAR and RAR'!K56</f>
        <v>26156095.341571424</v>
      </c>
      <c r="L56" s="248"/>
      <c r="M56" s="21" t="s">
        <v>24</v>
      </c>
      <c r="N56" s="154">
        <f t="shared" si="17"/>
        <v>2025</v>
      </c>
      <c r="O56" s="333">
        <f>'SAR and RAR'!O56</f>
        <v>76509002.352347553</v>
      </c>
      <c r="P56" s="248"/>
      <c r="Q56" s="18"/>
      <c r="R56" s="18"/>
      <c r="S56" s="112"/>
      <c r="T56" s="113"/>
      <c r="U56" s="113"/>
      <c r="V56" s="113"/>
      <c r="W56" s="113"/>
      <c r="X56" s="113"/>
    </row>
    <row r="57" spans="2:32" ht="15.75">
      <c r="B57" s="18"/>
      <c r="C57" s="18"/>
      <c r="D57" s="18"/>
      <c r="E57" s="21" t="s">
        <v>24</v>
      </c>
      <c r="F57" s="154">
        <f t="shared" si="15"/>
        <v>2026</v>
      </c>
      <c r="G57" s="214">
        <f>'SAR and RAR'!G57</f>
        <v>69342560.808027744</v>
      </c>
      <c r="H57" s="83"/>
      <c r="I57" s="21" t="s">
        <v>24</v>
      </c>
      <c r="J57" s="154">
        <f t="shared" si="16"/>
        <v>2026</v>
      </c>
      <c r="K57" s="214">
        <f>'SAR and RAR'!K57</f>
        <v>26156095.341571424</v>
      </c>
      <c r="L57" s="18"/>
      <c r="M57" s="21" t="s">
        <v>24</v>
      </c>
      <c r="N57" s="154">
        <f t="shared" si="17"/>
        <v>2026</v>
      </c>
      <c r="O57" s="333">
        <f>'SAR and RAR'!O57</f>
        <v>76509002.352347553</v>
      </c>
      <c r="P57" s="18"/>
      <c r="Q57" s="18"/>
      <c r="R57" s="18"/>
      <c r="S57" s="112"/>
      <c r="T57" s="113"/>
      <c r="U57" s="113"/>
      <c r="V57" s="113"/>
      <c r="W57" s="113"/>
      <c r="X57" s="113"/>
    </row>
    <row r="58" spans="2:32" ht="15.75">
      <c r="B58" s="18"/>
      <c r="C58" s="18"/>
      <c r="D58" s="18"/>
      <c r="E58" s="21" t="s">
        <v>24</v>
      </c>
      <c r="F58" s="154">
        <f t="shared" si="15"/>
        <v>2027</v>
      </c>
      <c r="G58" s="214">
        <f>'SAR and RAR'!G58</f>
        <v>69342560.808027744</v>
      </c>
      <c r="H58" s="83"/>
      <c r="I58" s="21" t="s">
        <v>24</v>
      </c>
      <c r="J58" s="154">
        <f t="shared" si="16"/>
        <v>2027</v>
      </c>
      <c r="K58" s="214">
        <f>'SAR and RAR'!K58</f>
        <v>26156095.341571424</v>
      </c>
      <c r="L58" s="18"/>
      <c r="M58" s="21" t="s">
        <v>24</v>
      </c>
      <c r="N58" s="154">
        <f t="shared" si="17"/>
        <v>2027</v>
      </c>
      <c r="O58" s="333">
        <f>'SAR and RAR'!O58</f>
        <v>76509002.352347553</v>
      </c>
      <c r="P58" s="18"/>
      <c r="Q58" s="18"/>
      <c r="R58" s="18"/>
      <c r="S58" s="112"/>
      <c r="T58" s="113"/>
      <c r="U58" s="112"/>
      <c r="V58" s="114"/>
      <c r="W58" s="115"/>
      <c r="X58" s="114"/>
    </row>
    <row r="59" spans="2:32" ht="15.75">
      <c r="B59" s="18"/>
      <c r="C59" s="18"/>
      <c r="D59" s="18"/>
      <c r="E59" s="18"/>
      <c r="F59" s="83"/>
      <c r="G59" s="83"/>
      <c r="H59" s="83"/>
      <c r="I59" s="83"/>
      <c r="J59" s="83"/>
      <c r="K59" s="83"/>
      <c r="L59" s="18"/>
      <c r="M59" s="18"/>
      <c r="N59" s="18"/>
      <c r="O59" s="18"/>
      <c r="P59" s="18"/>
      <c r="Q59" s="18"/>
      <c r="R59" s="18"/>
      <c r="S59" s="112"/>
      <c r="T59" s="113"/>
      <c r="U59" s="113"/>
      <c r="V59" s="111"/>
      <c r="W59" s="115"/>
      <c r="X59" s="114"/>
    </row>
    <row r="60" spans="2:32" ht="15.75">
      <c r="B60" s="18"/>
      <c r="C60" s="18"/>
      <c r="D60" s="18"/>
      <c r="E60" s="125" t="s">
        <v>64</v>
      </c>
      <c r="F60" s="83"/>
      <c r="G60" s="83"/>
      <c r="H60" s="83"/>
      <c r="I60" s="83"/>
      <c r="J60" s="83"/>
      <c r="K60" s="83"/>
      <c r="L60" s="18"/>
      <c r="M60" s="18"/>
      <c r="N60" s="18"/>
      <c r="O60" s="18"/>
      <c r="P60" s="18"/>
      <c r="Q60" s="18"/>
      <c r="R60" s="18"/>
      <c r="S60" s="112"/>
      <c r="T60" s="431"/>
      <c r="U60" s="431"/>
      <c r="V60" s="113"/>
      <c r="W60" s="115"/>
      <c r="X60" s="114"/>
    </row>
    <row r="61" spans="2:32" ht="15.75">
      <c r="B61" s="18"/>
      <c r="C61" s="18"/>
      <c r="D61" s="18"/>
      <c r="E61" s="18"/>
      <c r="F61" s="83"/>
      <c r="G61" s="83"/>
      <c r="H61" s="83"/>
      <c r="I61" s="83"/>
      <c r="J61" s="83"/>
      <c r="K61" s="83"/>
      <c r="L61" s="18"/>
      <c r="M61" s="18"/>
      <c r="N61" s="18"/>
      <c r="O61" s="18"/>
      <c r="P61" s="18"/>
      <c r="Q61" s="18"/>
      <c r="R61" s="18"/>
      <c r="S61" s="112"/>
      <c r="T61" s="113"/>
      <c r="U61" s="112"/>
      <c r="V61" s="113"/>
      <c r="W61" s="115"/>
      <c r="X61" s="115"/>
    </row>
    <row r="62" spans="2:32" ht="15.75">
      <c r="B62" s="18"/>
      <c r="C62" s="18"/>
      <c r="D62" s="18"/>
      <c r="E62" s="18" t="str">
        <f>'SAR and RAR'!E62</f>
        <v>2024 Forecast: Adopted in D.23-12-022</v>
      </c>
      <c r="F62" s="83"/>
      <c r="G62" s="83"/>
      <c r="H62" s="83"/>
      <c r="I62" s="83"/>
      <c r="J62" s="83"/>
      <c r="K62" s="83"/>
      <c r="L62" s="18"/>
      <c r="M62" s="18"/>
      <c r="N62" s="18"/>
      <c r="O62" s="18"/>
      <c r="P62" s="18"/>
      <c r="Q62" s="18"/>
      <c r="R62" s="18"/>
      <c r="S62" s="112"/>
      <c r="T62" s="113"/>
      <c r="U62" s="113"/>
      <c r="V62" s="111"/>
      <c r="W62" s="111"/>
      <c r="X62" s="111"/>
    </row>
    <row r="63" spans="2:32" ht="15.75">
      <c r="B63" s="18"/>
      <c r="C63" s="18"/>
      <c r="D63" s="18"/>
      <c r="E63" s="18" t="str">
        <f>'SAR and RAR'!E63</f>
        <v>2025 Forecast: Proposed in A.24-05-009</v>
      </c>
      <c r="F63" s="83"/>
      <c r="G63" s="83"/>
      <c r="H63" s="83"/>
      <c r="I63" s="83"/>
      <c r="J63" s="83"/>
      <c r="K63" s="83"/>
      <c r="L63" s="18"/>
      <c r="M63" s="18"/>
      <c r="N63" s="18"/>
      <c r="O63" s="18"/>
      <c r="P63" s="18"/>
      <c r="Q63" s="18"/>
      <c r="R63" s="18"/>
      <c r="S63" s="112"/>
      <c r="T63" s="113"/>
      <c r="U63" s="112"/>
      <c r="V63" s="113"/>
      <c r="W63" s="115"/>
      <c r="X63" s="114"/>
    </row>
    <row r="64" spans="2:32" ht="15.75">
      <c r="B64" s="18"/>
      <c r="C64" s="18"/>
      <c r="D64" s="18"/>
      <c r="E64" s="18" t="str">
        <f>'SAR and RAR'!E64</f>
        <v>2026 Forecast: Set equal to the 2025</v>
      </c>
      <c r="F64" s="83"/>
      <c r="G64" s="83"/>
      <c r="H64" s="83"/>
      <c r="I64" s="83"/>
      <c r="J64" s="83"/>
      <c r="K64" s="83"/>
      <c r="L64" s="18"/>
      <c r="M64" s="18"/>
      <c r="N64" s="18"/>
      <c r="O64" s="18"/>
      <c r="P64" s="18"/>
      <c r="Q64" s="18"/>
      <c r="R64" s="18"/>
      <c r="S64" s="112"/>
      <c r="T64" s="113"/>
      <c r="U64" s="113"/>
      <c r="V64" s="113"/>
      <c r="W64" s="113"/>
      <c r="X64" s="113"/>
    </row>
    <row r="65" spans="2:24" ht="15.75">
      <c r="B65" s="18"/>
      <c r="C65" s="18"/>
      <c r="D65" s="18"/>
      <c r="E65" s="18" t="str">
        <f>'SAR and RAR'!E65</f>
        <v>2027 Forecast: Set equal to the 2025</v>
      </c>
      <c r="F65" s="83"/>
      <c r="G65" s="83"/>
      <c r="H65" s="83"/>
      <c r="I65" s="83"/>
      <c r="J65" s="83"/>
      <c r="K65" s="83"/>
      <c r="L65" s="18"/>
      <c r="M65" s="18"/>
      <c r="N65" s="18"/>
      <c r="O65" s="18"/>
      <c r="P65" s="18"/>
      <c r="Q65" s="18"/>
      <c r="R65" s="18"/>
      <c r="S65" s="112"/>
      <c r="T65" s="113"/>
      <c r="U65" s="113"/>
      <c r="V65" s="111"/>
      <c r="W65" s="113"/>
      <c r="X65" s="113"/>
    </row>
    <row r="66" spans="2:24" ht="15.75">
      <c r="B66" s="18"/>
      <c r="C66" s="18"/>
      <c r="D66" s="18"/>
      <c r="E66"/>
      <c r="F66" s="83"/>
      <c r="G66" s="83"/>
      <c r="H66" s="83"/>
      <c r="I66" s="83"/>
      <c r="J66" s="83"/>
      <c r="K66" s="83"/>
      <c r="L66" s="18"/>
      <c r="M66" s="18"/>
      <c r="N66" s="18"/>
      <c r="O66" s="18"/>
      <c r="P66" s="18"/>
      <c r="Q66" s="18"/>
      <c r="R66" s="18"/>
      <c r="S66" s="112"/>
      <c r="T66" s="431"/>
      <c r="U66" s="431"/>
      <c r="V66" s="114"/>
      <c r="W66" s="114"/>
      <c r="X66" s="114"/>
    </row>
    <row r="67" spans="2:24" ht="15.75">
      <c r="B67" s="18"/>
      <c r="C67" s="18"/>
      <c r="D67" s="18"/>
      <c r="E67" s="18"/>
      <c r="F67" s="83"/>
      <c r="G67" s="83"/>
      <c r="H67" s="83"/>
      <c r="I67" s="83"/>
      <c r="J67" s="83"/>
      <c r="K67" s="83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11"/>
      <c r="X67" s="111"/>
    </row>
    <row r="68" spans="2:24" ht="15.75">
      <c r="B68" s="18"/>
      <c r="C68" s="18"/>
      <c r="D68" s="18"/>
      <c r="W68" s="113"/>
      <c r="X68" s="113"/>
    </row>
    <row r="69" spans="2:24" ht="15.75">
      <c r="B69" s="18"/>
      <c r="C69" s="18"/>
      <c r="D69" s="18"/>
      <c r="W69" s="113"/>
      <c r="X69" s="113"/>
    </row>
    <row r="70" spans="2:24" ht="15.75">
      <c r="B70" s="18"/>
      <c r="C70" s="18"/>
      <c r="D70" s="18"/>
      <c r="W70" s="113"/>
      <c r="X70" s="113"/>
    </row>
    <row r="71" spans="2:24" ht="15.75">
      <c r="B71" s="18"/>
      <c r="C71" s="18"/>
      <c r="D71" s="18"/>
      <c r="W71" s="111"/>
      <c r="X71" s="111"/>
    </row>
    <row r="72" spans="2:24" ht="15.75">
      <c r="B72" s="18"/>
      <c r="C72" s="18"/>
      <c r="D72" s="18"/>
      <c r="W72" s="113"/>
      <c r="X72" s="113"/>
    </row>
    <row r="73" spans="2:24" ht="15.75">
      <c r="B73" s="18"/>
      <c r="C73" s="18"/>
      <c r="D73" s="18"/>
      <c r="W73" s="113"/>
      <c r="X73" s="113"/>
    </row>
    <row r="74" spans="2:24" ht="15.75">
      <c r="B74" s="18"/>
      <c r="C74" s="18"/>
      <c r="D74" s="18"/>
      <c r="W74" s="111"/>
      <c r="X74" s="111"/>
    </row>
    <row r="75" spans="2:24" ht="15.75">
      <c r="B75" s="18"/>
      <c r="C75" s="18"/>
      <c r="D75" s="18"/>
      <c r="W75" s="114"/>
      <c r="X75" s="114"/>
    </row>
    <row r="76" spans="2:24" ht="15.75">
      <c r="B76" s="18"/>
      <c r="C76" s="18"/>
      <c r="D76" s="18"/>
      <c r="W76" s="18"/>
      <c r="X76" s="18"/>
    </row>
  </sheetData>
  <mergeCells count="13">
    <mergeCell ref="C2:D2"/>
    <mergeCell ref="G4:P4"/>
    <mergeCell ref="G8:R8"/>
    <mergeCell ref="U16:V16"/>
    <mergeCell ref="G17:Q17"/>
    <mergeCell ref="U17:V17"/>
    <mergeCell ref="T66:U66"/>
    <mergeCell ref="AA25:AF25"/>
    <mergeCell ref="AI25:AN25"/>
    <mergeCell ref="F26:K26"/>
    <mergeCell ref="P26:U26"/>
    <mergeCell ref="T50:U50"/>
    <mergeCell ref="T60:U60"/>
  </mergeCells>
  <pageMargins left="0.7" right="0.7" top="0.75" bottom="0.75" header="0.3" footer="0.3"/>
  <pageSetup orientation="portrait" r:id="rId1"/>
  <headerFooter>
    <oddFooter xml:space="preserve">&amp;C_x000D_&amp;1#&amp;"Calibri"&amp;12&amp;K000000 Public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Sheet1</vt:lpstr>
      <vt:lpstr>Selected Data</vt:lpstr>
      <vt:lpstr>Notable Assumptions</vt:lpstr>
      <vt:lpstr>Summary</vt:lpstr>
      <vt:lpstr>Authorized Rev Req</vt:lpstr>
      <vt:lpstr>Incremental Rev Req</vt:lpstr>
      <vt:lpstr>SAR and RAR</vt:lpstr>
      <vt:lpstr>Res Bill Impact</vt:lpstr>
      <vt:lpstr>SAR and AR (B-1)</vt:lpstr>
      <vt:lpstr>Bill Impact (B-1)</vt:lpstr>
      <vt:lpstr>Hypothetical Summary</vt:lpstr>
      <vt:lpstr>Hypothetical SAR and RAR</vt:lpstr>
      <vt:lpstr>Hypothetical Res Bill Impact</vt:lpstr>
      <vt:lpstr>Hypo. Bill Impact (B-1)</vt:lpstr>
      <vt:lpstr>Hypothetical SAR and RAR (B-1)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2024-09-03T21:03:03Z</cp:lastPrinted>
  <dcterms:created xsi:type="dcterms:W3CDTF">2024-09-03T22:26:00Z</dcterms:created>
  <dcterms:modified xsi:type="dcterms:W3CDTF">2024-10-10T00:05:49Z</dcterms:modified>
  <cp:category/>
</cp:coreProperties>
</file>