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SS\Desktop\"/>
    </mc:Choice>
  </mc:AlternateContent>
  <xr:revisionPtr revIDLastSave="0" documentId="8_{80E9601E-9317-4919-9492-2B4DB54AA266}" xr6:coauthVersionLast="47" xr6:coauthVersionMax="47" xr10:uidLastSave="{00000000-0000-0000-0000-000000000000}"/>
  <bookViews>
    <workbookView xWindow="-120" yWindow="-120" windowWidth="20730" windowHeight="11160" tabRatio="772" activeTab="1" xr2:uid="{0D90DC14-DE91-43AE-BDB5-A419A6C4B0E0}"/>
  </bookViews>
  <sheets>
    <sheet name="Summary" sheetId="10" r:id="rId1"/>
    <sheet name="Selected Data" sheetId="17" r:id="rId2"/>
    <sheet name="Authorized Rev Req" sheetId="2" r:id="rId3"/>
    <sheet name="Incremental Rev Req" sheetId="11" r:id="rId4"/>
    <sheet name="SAR and RAR" sheetId="3" r:id="rId5"/>
    <sheet name="Res Bill Impact" sheetId="4" r:id="rId6"/>
    <sheet name="SAR and RAR (TOU-A)" sheetId="19" r:id="rId7"/>
    <sheet name="Bill Impact (TOU-A)" sheetId="20" r:id="rId8"/>
    <sheet name="Hypothetical Summary" sheetId="12" r:id="rId9"/>
    <sheet name="Hypothetical SAR and RAR" sheetId="13" r:id="rId10"/>
    <sheet name="Hypothetical Res Bill Impact" sheetId="14" r:id="rId11"/>
    <sheet name="Hypoth. SAR and RAR (TOU-A)" sheetId="21" r:id="rId12"/>
    <sheet name="Hypoth. Bill Impact (TOU-A)" sheetId="22" r:id="rId13"/>
    <sheet name="% of CARE Sales" sheetId="15" r:id="rId14"/>
    <sheet name="Sales Allocations" sheetId="18" r:id="rId15"/>
  </sheets>
  <definedNames>
    <definedName name="_xlnm._FilterDatabase" localSheetId="2" hidden="1">'Authorized Rev Req'!$A$7:$Q$155</definedName>
    <definedName name="_xlnm._FilterDatabase" localSheetId="4" hidden="1">'SAR and RAR'!$A$1:$AE$83</definedName>
    <definedName name="_xlnm._FilterDatabase" localSheetId="6" hidden="1">'SAR and RAR (TOU-A)'!$A$1:$AE$83</definedName>
  </definedNames>
  <calcPr calcId="191029" iterate="1" iterateCount="2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1" l="1"/>
  <c r="A3" i="11"/>
  <c r="A2" i="11"/>
  <c r="A1" i="11"/>
  <c r="A4" i="2"/>
  <c r="A3" i="2"/>
  <c r="A2" i="2"/>
  <c r="A1" i="2"/>
  <c r="I52" i="11" l="1"/>
  <c r="H52" i="11"/>
  <c r="F52" i="11"/>
  <c r="G52" i="11" s="1"/>
  <c r="D22" i="11" l="1"/>
  <c r="D90" i="11" l="1"/>
  <c r="C35" i="13" l="1"/>
  <c r="L108" i="11" l="1"/>
  <c r="L107" i="11"/>
  <c r="L106" i="11"/>
  <c r="L105" i="11"/>
  <c r="L104" i="11"/>
  <c r="L103" i="11"/>
  <c r="L102" i="11"/>
  <c r="L101" i="11"/>
  <c r="L100" i="11"/>
  <c r="L98" i="11"/>
  <c r="L97" i="11"/>
  <c r="L96" i="11"/>
  <c r="L95" i="11"/>
  <c r="L94" i="11"/>
  <c r="L93" i="11"/>
  <c r="P3" i="10" l="1"/>
  <c r="I3" i="10"/>
  <c r="L90" i="11" l="1"/>
  <c r="L89" i="11"/>
  <c r="Q21" i="17" l="1"/>
  <c r="H90" i="11"/>
  <c r="I90" i="11" s="1"/>
  <c r="J90" i="11" s="1"/>
  <c r="H29" i="11" l="1"/>
  <c r="I29" i="11" s="1"/>
  <c r="D51" i="11" l="1"/>
  <c r="D49" i="11"/>
  <c r="D50" i="11"/>
  <c r="O24" i="11" l="1"/>
  <c r="D20" i="3" l="1"/>
  <c r="C20" i="19"/>
  <c r="C20" i="3"/>
  <c r="D20" i="19"/>
  <c r="C20" i="21"/>
  <c r="O102" i="11"/>
  <c r="F81" i="11"/>
  <c r="C21" i="13"/>
  <c r="V6" i="19"/>
  <c r="V6" i="3"/>
  <c r="H46" i="11" l="1"/>
  <c r="I46" i="11" s="1"/>
  <c r="J46" i="11" s="1"/>
  <c r="C18" i="11" l="1"/>
  <c r="S11" i="21"/>
  <c r="R11" i="21"/>
  <c r="Q11" i="21"/>
  <c r="O11" i="21"/>
  <c r="N11" i="21"/>
  <c r="M11" i="21"/>
  <c r="H11" i="21"/>
  <c r="I11" i="21"/>
  <c r="J11" i="21"/>
  <c r="K11" i="21"/>
  <c r="L11" i="21"/>
  <c r="P11" i="21"/>
  <c r="T11" i="21"/>
  <c r="C5" i="21"/>
  <c r="H11" i="13"/>
  <c r="I6" i="19"/>
  <c r="H6" i="21" s="1"/>
  <c r="H10" i="21" s="1"/>
  <c r="I6" i="3"/>
  <c r="H6" i="13" s="1"/>
  <c r="H10" i="13" s="1"/>
  <c r="C5" i="13" l="1"/>
  <c r="C21" i="11"/>
  <c r="C78" i="11"/>
  <c r="C77" i="11"/>
  <c r="C76" i="11"/>
  <c r="C75" i="11"/>
  <c r="C45" i="11"/>
  <c r="C44" i="11"/>
  <c r="C37" i="11"/>
  <c r="C36" i="11"/>
  <c r="C35" i="11"/>
  <c r="C28" i="11"/>
  <c r="C34" i="11"/>
  <c r="C33" i="11"/>
  <c r="C29" i="11"/>
  <c r="C32" i="11"/>
  <c r="C31" i="11"/>
  <c r="C27" i="11"/>
  <c r="C72" i="11"/>
  <c r="C71" i="11"/>
  <c r="C70" i="11"/>
  <c r="C69" i="11"/>
  <c r="C68" i="11"/>
  <c r="C67" i="11"/>
  <c r="C66" i="11"/>
  <c r="C73" i="11"/>
  <c r="C43" i="11"/>
  <c r="C41" i="11"/>
  <c r="C40" i="11"/>
  <c r="C39" i="11"/>
  <c r="C38" i="11"/>
  <c r="C30" i="11"/>
  <c r="C48" i="11"/>
  <c r="C20" i="11"/>
  <c r="C47" i="11"/>
  <c r="C42" i="11"/>
  <c r="C17" i="11"/>
  <c r="C15" i="11"/>
  <c r="C14" i="11"/>
  <c r="C13" i="11"/>
  <c r="C16" i="11"/>
  <c r="C19" i="11"/>
  <c r="C12" i="11"/>
  <c r="C11" i="11"/>
  <c r="C10" i="11"/>
  <c r="B6" i="11"/>
  <c r="T9" i="10" l="1"/>
  <c r="F95" i="12" l="1"/>
  <c r="F101" i="12" s="1"/>
  <c r="F89" i="12"/>
  <c r="G92" i="10"/>
  <c r="F92" i="10"/>
  <c r="G86" i="10"/>
  <c r="F86" i="10"/>
  <c r="G80" i="10"/>
  <c r="F80" i="10"/>
  <c r="G4" i="22"/>
  <c r="F4" i="22"/>
  <c r="E4" i="22"/>
  <c r="C17" i="21"/>
  <c r="C16" i="21"/>
  <c r="C15" i="21"/>
  <c r="C14" i="21"/>
  <c r="C13" i="21"/>
  <c r="C12" i="21"/>
  <c r="C11" i="21"/>
  <c r="C10" i="21"/>
  <c r="C9" i="21"/>
  <c r="C8" i="21"/>
  <c r="C7" i="21"/>
  <c r="C6" i="21"/>
  <c r="C4" i="21"/>
  <c r="G34" i="22"/>
  <c r="C18" i="21" l="1"/>
  <c r="U21" i="21"/>
  <c r="G11" i="21"/>
  <c r="W21" i="21" l="1"/>
  <c r="U11" i="21"/>
  <c r="M37" i="22" l="1"/>
  <c r="M36" i="22"/>
  <c r="M35" i="22"/>
  <c r="M34" i="22"/>
  <c r="O25" i="22"/>
  <c r="N25" i="22"/>
  <c r="O24" i="22"/>
  <c r="N24" i="22"/>
  <c r="O23" i="22"/>
  <c r="N23" i="22"/>
  <c r="M25" i="22"/>
  <c r="L25" i="22"/>
  <c r="K25" i="22"/>
  <c r="J25" i="22"/>
  <c r="M24" i="22"/>
  <c r="L24" i="22"/>
  <c r="K24" i="22"/>
  <c r="J24" i="22"/>
  <c r="M23" i="22"/>
  <c r="L23" i="22"/>
  <c r="K23" i="22"/>
  <c r="J23" i="22"/>
  <c r="G4" i="20" l="1"/>
  <c r="P6" i="3" l="1"/>
  <c r="P6" i="19" l="1"/>
  <c r="O6" i="21" s="1"/>
  <c r="O10" i="21" s="1"/>
  <c r="H23" i="19"/>
  <c r="S23" i="19" s="1"/>
  <c r="G23" i="19"/>
  <c r="I34" i="20"/>
  <c r="G34" i="20"/>
  <c r="AD18" i="19"/>
  <c r="C30" i="19"/>
  <c r="R23" i="19"/>
  <c r="AE18" i="19" l="1"/>
  <c r="C21" i="4" l="1"/>
  <c r="C21" i="22" l="1"/>
  <c r="C21" i="20"/>
  <c r="R4" i="4"/>
  <c r="Q4" i="4"/>
  <c r="G4" i="4"/>
  <c r="M33" i="20" l="1"/>
  <c r="C34" i="20"/>
  <c r="C34" i="22"/>
  <c r="M33" i="22"/>
  <c r="D46" i="11"/>
  <c r="D22" i="4" l="1"/>
  <c r="AD18" i="3" l="1"/>
  <c r="L88" i="11" l="1"/>
  <c r="L87" i="11"/>
  <c r="F28" i="21" l="1"/>
  <c r="P28" i="21" s="1"/>
  <c r="C7" i="13" l="1"/>
  <c r="G23" i="3" l="1"/>
  <c r="F28" i="13" l="1"/>
  <c r="P28" i="14" l="1"/>
  <c r="P19" i="14"/>
  <c r="P4" i="14"/>
  <c r="E4" i="14"/>
  <c r="H18" i="10" l="1"/>
  <c r="H25" i="10" l="1"/>
  <c r="H80" i="10"/>
  <c r="H92" i="10"/>
  <c r="H86" i="10"/>
  <c r="H37" i="10"/>
  <c r="R18" i="10"/>
  <c r="G41" i="4" l="1"/>
  <c r="AE17" i="3" l="1"/>
  <c r="R5" i="10" l="1"/>
  <c r="K5" i="10"/>
  <c r="V34" i="14" l="1"/>
  <c r="V33" i="14"/>
  <c r="V32" i="14"/>
  <c r="V31" i="14"/>
  <c r="U34" i="14"/>
  <c r="U33" i="14"/>
  <c r="U32" i="14"/>
  <c r="U31" i="14"/>
  <c r="V25" i="14"/>
  <c r="V24" i="14"/>
  <c r="V23" i="14"/>
  <c r="V22" i="14"/>
  <c r="U25" i="14"/>
  <c r="U24" i="14"/>
  <c r="U23" i="14"/>
  <c r="U22" i="14"/>
  <c r="AA18" i="13" l="1"/>
  <c r="L158" i="2" l="1"/>
  <c r="R23" i="3" l="1"/>
  <c r="J158" i="2" l="1"/>
  <c r="J59" i="2"/>
  <c r="S10" i="12" l="1"/>
  <c r="O12" i="12"/>
  <c r="O11" i="12"/>
  <c r="O5" i="12"/>
  <c r="O4" i="12"/>
  <c r="O3" i="12"/>
  <c r="H12" i="12"/>
  <c r="H11" i="12"/>
  <c r="K10" i="12"/>
  <c r="H5" i="12"/>
  <c r="H4" i="12"/>
  <c r="H3" i="12"/>
  <c r="O40" i="12" l="1"/>
  <c r="O46" i="12" s="1"/>
  <c r="O52" i="12" s="1"/>
  <c r="O58" i="12" s="1"/>
  <c r="O64" i="12" s="1"/>
  <c r="O70" i="12" s="1"/>
  <c r="O76" i="12" s="1"/>
  <c r="O82" i="12" s="1"/>
  <c r="O34" i="12"/>
  <c r="R73" i="10" l="1"/>
  <c r="Q73" i="10"/>
  <c r="P73" i="10"/>
  <c r="R67" i="10"/>
  <c r="Q67" i="10"/>
  <c r="P67" i="10"/>
  <c r="R61" i="10"/>
  <c r="Q61" i="10"/>
  <c r="P61" i="10"/>
  <c r="R55" i="10"/>
  <c r="Q55" i="10"/>
  <c r="P55" i="10"/>
  <c r="R49" i="10"/>
  <c r="Q49" i="10"/>
  <c r="P49" i="10"/>
  <c r="R43" i="10"/>
  <c r="Q43" i="10"/>
  <c r="P43" i="10"/>
  <c r="R37" i="10"/>
  <c r="Q37" i="10"/>
  <c r="P37" i="10"/>
  <c r="N37" i="10"/>
  <c r="N43" i="10" s="1"/>
  <c r="N49" i="10" s="1"/>
  <c r="N55" i="10" s="1"/>
  <c r="N61" i="10" s="1"/>
  <c r="N67" i="10" s="1"/>
  <c r="N73" i="10" s="1"/>
  <c r="R31" i="10"/>
  <c r="Q31" i="10"/>
  <c r="P31" i="10"/>
  <c r="N31" i="10"/>
  <c r="R25" i="10"/>
  <c r="Q25" i="10"/>
  <c r="P25" i="10"/>
  <c r="N25" i="10"/>
  <c r="T34" i="14" l="1"/>
  <c r="S34" i="14"/>
  <c r="R34" i="14"/>
  <c r="Q34" i="14"/>
  <c r="T33" i="14"/>
  <c r="S33" i="14"/>
  <c r="R33" i="14"/>
  <c r="Q33" i="14"/>
  <c r="T32" i="14"/>
  <c r="S32" i="14"/>
  <c r="R32" i="14"/>
  <c r="Q32" i="14"/>
  <c r="T31" i="14"/>
  <c r="S31" i="14"/>
  <c r="R31" i="14"/>
  <c r="Q31" i="14"/>
  <c r="L25" i="14" l="1"/>
  <c r="L24" i="14"/>
  <c r="M24" i="14"/>
  <c r="M25" i="14"/>
  <c r="L22" i="14"/>
  <c r="M22" i="14"/>
  <c r="L23" i="14"/>
  <c r="M23" i="14"/>
  <c r="R6" i="10" l="1"/>
  <c r="I149" i="2" l="1"/>
  <c r="I59" i="2" l="1"/>
  <c r="I158" i="2"/>
  <c r="I160" i="2" l="1"/>
  <c r="G41" i="14"/>
  <c r="P41" i="14" s="1"/>
  <c r="P51" i="14" s="1"/>
  <c r="P61" i="14" s="1"/>
  <c r="P71" i="14" s="1"/>
  <c r="G51" i="14"/>
  <c r="P81" i="14" l="1"/>
  <c r="P91" i="14" s="1"/>
  <c r="K6" i="10"/>
  <c r="G27" i="12" l="1"/>
  <c r="G89" i="12" s="1"/>
  <c r="P27" i="12" l="1"/>
  <c r="P34" i="12"/>
  <c r="P52" i="12"/>
  <c r="P58" i="12"/>
  <c r="P82" i="12"/>
  <c r="P76" i="12"/>
  <c r="P70" i="12"/>
  <c r="P64" i="12"/>
  <c r="G34" i="12"/>
  <c r="G76" i="12"/>
  <c r="G64" i="12"/>
  <c r="G82" i="12"/>
  <c r="G70" i="12"/>
  <c r="G52" i="12"/>
  <c r="G58" i="12"/>
  <c r="G40" i="12"/>
  <c r="G46" i="12"/>
  <c r="G101" i="12" l="1"/>
  <c r="G95" i="12"/>
  <c r="P40" i="12"/>
  <c r="P46" i="12"/>
  <c r="F43" i="10"/>
  <c r="H73" i="10"/>
  <c r="G73" i="10"/>
  <c r="F73" i="10"/>
  <c r="H67" i="10"/>
  <c r="G67" i="10"/>
  <c r="F67" i="10"/>
  <c r="H61" i="10"/>
  <c r="G61" i="10"/>
  <c r="F61" i="10"/>
  <c r="H55" i="10"/>
  <c r="G55" i="10"/>
  <c r="F55" i="10"/>
  <c r="H49" i="10"/>
  <c r="G49" i="10"/>
  <c r="F49" i="10"/>
  <c r="H43" i="10"/>
  <c r="G43" i="10"/>
  <c r="G61" i="14" l="1"/>
  <c r="G71" i="14" s="1"/>
  <c r="G81" i="14" l="1"/>
  <c r="G91" i="14" s="1"/>
  <c r="N43" i="4"/>
  <c r="N45" i="4"/>
  <c r="N46" i="4"/>
  <c r="N44" i="4"/>
  <c r="N83" i="4"/>
  <c r="N84" i="4"/>
  <c r="N86" i="4"/>
  <c r="N85" i="4"/>
  <c r="O46" i="4" l="1"/>
  <c r="O45" i="4"/>
  <c r="O43" i="4"/>
  <c r="O44" i="4"/>
  <c r="O86" i="4"/>
  <c r="O85" i="4"/>
  <c r="O84" i="4"/>
  <c r="O83" i="4"/>
  <c r="Q23" i="14" l="1"/>
  <c r="R23" i="14"/>
  <c r="S23" i="14"/>
  <c r="T23" i="14"/>
  <c r="Q24" i="14"/>
  <c r="R24" i="14"/>
  <c r="S24" i="14"/>
  <c r="T24" i="14"/>
  <c r="Q25" i="14"/>
  <c r="R25" i="14"/>
  <c r="S25" i="14"/>
  <c r="T25" i="14"/>
  <c r="R22" i="14"/>
  <c r="S22" i="14"/>
  <c r="T22" i="14"/>
  <c r="Q22" i="14"/>
  <c r="Q7" i="12" l="1"/>
  <c r="Q6" i="12"/>
  <c r="M34" i="14" l="1"/>
  <c r="L34" i="14"/>
  <c r="M33" i="14"/>
  <c r="L33" i="14"/>
  <c r="M32" i="14"/>
  <c r="L32" i="14"/>
  <c r="M31" i="14"/>
  <c r="L31" i="14"/>
  <c r="I33" i="14"/>
  <c r="I32" i="14"/>
  <c r="I34" i="14"/>
  <c r="J31" i="14"/>
  <c r="C63" i="4" l="1"/>
  <c r="I31" i="14"/>
  <c r="J34" i="14"/>
  <c r="J32" i="14"/>
  <c r="J33" i="14"/>
  <c r="O64" i="4"/>
  <c r="O65" i="4"/>
  <c r="N63" i="4"/>
  <c r="N64" i="4"/>
  <c r="N66" i="4"/>
  <c r="O63" i="4"/>
  <c r="N65" i="4"/>
  <c r="O66" i="4"/>
  <c r="C66" i="4"/>
  <c r="D64" i="4"/>
  <c r="D65" i="4"/>
  <c r="C65" i="4"/>
  <c r="D66" i="4"/>
  <c r="D63" i="4"/>
  <c r="C64" i="4"/>
  <c r="C30" i="3"/>
  <c r="O67" i="4" l="1"/>
  <c r="N67" i="4"/>
  <c r="C67" i="4"/>
  <c r="D50" i="10" s="1"/>
  <c r="D67" i="4"/>
  <c r="N50" i="10" l="1"/>
  <c r="N56" i="10"/>
  <c r="C43" i="4" l="1"/>
  <c r="C45" i="4"/>
  <c r="D44" i="4"/>
  <c r="D45" i="4"/>
  <c r="D46" i="4"/>
  <c r="D83" i="4"/>
  <c r="D43" i="4"/>
  <c r="C83" i="4"/>
  <c r="C44" i="4"/>
  <c r="C84" i="4"/>
  <c r="I22" i="14"/>
  <c r="J24" i="14"/>
  <c r="D85" i="4"/>
  <c r="I24" i="14"/>
  <c r="C85" i="4"/>
  <c r="I25" i="14"/>
  <c r="C86" i="4"/>
  <c r="C46" i="4"/>
  <c r="J22" i="14"/>
  <c r="I23" i="14"/>
  <c r="J23" i="14"/>
  <c r="D84" i="4"/>
  <c r="J25" i="14"/>
  <c r="D86" i="4"/>
  <c r="O87" i="4" l="1"/>
  <c r="N87" i="4"/>
  <c r="O47" i="4"/>
  <c r="N38" i="10" s="1"/>
  <c r="N47" i="4"/>
  <c r="N32" i="10" s="1"/>
  <c r="C47" i="4"/>
  <c r="D32" i="10" s="1"/>
  <c r="C87" i="4"/>
  <c r="N68" i="10" l="1"/>
  <c r="N74" i="10"/>
  <c r="G59" i="2" l="1"/>
  <c r="G149" i="2"/>
  <c r="G158" i="2"/>
  <c r="G160" i="2" l="1"/>
  <c r="C3" i="15" l="1"/>
  <c r="C16" i="13" l="1"/>
  <c r="R11" i="13" s="1"/>
  <c r="C21" i="14" l="1"/>
  <c r="R4" i="14"/>
  <c r="Q4" i="14"/>
  <c r="G4" i="14"/>
  <c r="F4" i="14"/>
  <c r="D27" i="12"/>
  <c r="D89" i="12" l="1"/>
  <c r="D95" i="12" s="1"/>
  <c r="D101" i="12"/>
  <c r="D46" i="12"/>
  <c r="D52" i="12" s="1"/>
  <c r="D58" i="12" s="1"/>
  <c r="D64" i="12" s="1"/>
  <c r="D70" i="12" s="1"/>
  <c r="D76" i="12" s="1"/>
  <c r="D82" i="12" s="1"/>
  <c r="M46" i="12"/>
  <c r="M52" i="12" s="1"/>
  <c r="M58" i="12" s="1"/>
  <c r="M64" i="12" s="1"/>
  <c r="M70" i="12" s="1"/>
  <c r="M76" i="12" s="1"/>
  <c r="M82" i="12" s="1"/>
  <c r="M34" i="12"/>
  <c r="M40" i="12" s="1"/>
  <c r="P28" i="13"/>
  <c r="C17" i="13"/>
  <c r="P11" i="13" s="1"/>
  <c r="C15" i="13"/>
  <c r="S11" i="13" s="1"/>
  <c r="C14" i="13"/>
  <c r="Q11" i="13" s="1"/>
  <c r="C13" i="13"/>
  <c r="T11" i="13" s="1"/>
  <c r="C12" i="13"/>
  <c r="C11" i="13"/>
  <c r="N11" i="13" s="1"/>
  <c r="C10" i="13"/>
  <c r="M11" i="13" s="1"/>
  <c r="C9" i="13"/>
  <c r="L11" i="13" s="1"/>
  <c r="C8" i="13"/>
  <c r="K11" i="13" s="1"/>
  <c r="J11" i="13"/>
  <c r="C6" i="13"/>
  <c r="I11" i="13" s="1"/>
  <c r="C4" i="13"/>
  <c r="D34" i="12"/>
  <c r="D40" i="12" s="1"/>
  <c r="M27" i="12"/>
  <c r="D21" i="12"/>
  <c r="G11" i="13" l="1"/>
  <c r="W21" i="13" s="1"/>
  <c r="J7" i="12"/>
  <c r="J6" i="12"/>
  <c r="O11" i="13"/>
  <c r="C18" i="13"/>
  <c r="U11" i="13" l="1"/>
  <c r="U21" i="13"/>
  <c r="V21" i="13" s="1"/>
  <c r="X21" i="13" s="1"/>
  <c r="H31" i="10" l="1"/>
  <c r="F11" i="14" l="1"/>
  <c r="F9" i="14"/>
  <c r="D26" i="4" l="1"/>
  <c r="D26" i="14" s="1"/>
  <c r="F10" i="14"/>
  <c r="F12" i="14"/>
  <c r="D23" i="4"/>
  <c r="D23" i="14" l="1"/>
  <c r="C30" i="4"/>
  <c r="C51" i="4" l="1"/>
  <c r="C61" i="4" s="1"/>
  <c r="C71" i="4" s="1"/>
  <c r="C81" i="4" s="1"/>
  <c r="C91" i="4" s="1"/>
  <c r="C41" i="4"/>
  <c r="N41" i="4" s="1"/>
  <c r="N51" i="4" s="1"/>
  <c r="N61" i="4" s="1"/>
  <c r="N71" i="4" s="1"/>
  <c r="N81" i="4" l="1"/>
  <c r="N91" i="4" s="1"/>
  <c r="N18" i="10"/>
  <c r="D37" i="10"/>
  <c r="D43" i="10" s="1"/>
  <c r="D49" i="10" s="1"/>
  <c r="D55" i="10" s="1"/>
  <c r="D61" i="10" s="1"/>
  <c r="D67" i="10" s="1"/>
  <c r="D73" i="10" s="1"/>
  <c r="D80" i="10" s="1"/>
  <c r="D31" i="10"/>
  <c r="D25" i="10"/>
  <c r="E18" i="10" l="1"/>
  <c r="B7" i="2" s="1"/>
  <c r="I18" i="10" l="1"/>
  <c r="S31" i="10" s="1"/>
  <c r="D21" i="4"/>
  <c r="D21" i="20" s="1"/>
  <c r="S37" i="10"/>
  <c r="H27" i="12"/>
  <c r="I43" i="10"/>
  <c r="I73" i="10"/>
  <c r="I49" i="10"/>
  <c r="I67" i="10"/>
  <c r="I55" i="10"/>
  <c r="I61" i="10"/>
  <c r="I37" i="10"/>
  <c r="I31" i="10"/>
  <c r="I25" i="10"/>
  <c r="S18" i="10"/>
  <c r="O37" i="10"/>
  <c r="O43" i="10" s="1"/>
  <c r="O49" i="10" s="1"/>
  <c r="O55" i="10" s="1"/>
  <c r="O61" i="10" s="1"/>
  <c r="O67" i="10" s="1"/>
  <c r="O73" i="10" s="1"/>
  <c r="O31" i="10"/>
  <c r="O25" i="10"/>
  <c r="O18" i="10"/>
  <c r="E27" i="12"/>
  <c r="E31" i="10"/>
  <c r="E37" i="10"/>
  <c r="E43" i="10" s="1"/>
  <c r="E49" i="10" s="1"/>
  <c r="E55" i="10" s="1"/>
  <c r="E61" i="10" s="1"/>
  <c r="E67" i="10" s="1"/>
  <c r="E73" i="10" s="1"/>
  <c r="E80" i="10" s="1"/>
  <c r="E25" i="10"/>
  <c r="S43" i="10" l="1"/>
  <c r="S67" i="10"/>
  <c r="S55" i="10"/>
  <c r="H101" i="12"/>
  <c r="H95" i="12"/>
  <c r="H89" i="12"/>
  <c r="S25" i="10"/>
  <c r="E101" i="12"/>
  <c r="E89" i="12"/>
  <c r="N33" i="20"/>
  <c r="E34" i="20"/>
  <c r="S73" i="10"/>
  <c r="I80" i="10"/>
  <c r="I86" i="10"/>
  <c r="I92" i="10"/>
  <c r="S61" i="10"/>
  <c r="S49" i="10"/>
  <c r="D21" i="14"/>
  <c r="D21" i="22"/>
  <c r="Q40" i="12"/>
  <c r="Q46" i="12"/>
  <c r="Q34" i="12"/>
  <c r="H40" i="12"/>
  <c r="H34" i="12"/>
  <c r="Q27" i="12"/>
  <c r="H46" i="12"/>
  <c r="E40" i="12"/>
  <c r="N34" i="12"/>
  <c r="N46" i="12"/>
  <c r="N52" i="12" s="1"/>
  <c r="N58" i="12" s="1"/>
  <c r="N64" i="12" s="1"/>
  <c r="N70" i="12" s="1"/>
  <c r="N76" i="12" s="1"/>
  <c r="N82" i="12" s="1"/>
  <c r="E46" i="12"/>
  <c r="E52" i="12" s="1"/>
  <c r="E58" i="12" s="1"/>
  <c r="E64" i="12" s="1"/>
  <c r="E70" i="12" s="1"/>
  <c r="E76" i="12" s="1"/>
  <c r="E82" i="12" s="1"/>
  <c r="E95" i="12" s="1"/>
  <c r="E34" i="12"/>
  <c r="N27" i="12"/>
  <c r="N40" i="12" s="1"/>
  <c r="E34" i="22" l="1"/>
  <c r="N33" i="22"/>
  <c r="E149" i="2" l="1"/>
  <c r="E158" i="2" l="1"/>
  <c r="D30" i="4"/>
  <c r="E51" i="4" s="1"/>
  <c r="E61" i="4" s="1"/>
  <c r="E71" i="4" s="1"/>
  <c r="E81" i="4" l="1"/>
  <c r="E91" i="4" s="1"/>
  <c r="E41" i="4"/>
  <c r="P41" i="4" s="1"/>
  <c r="P51" i="4" s="1"/>
  <c r="P61" i="4" s="1"/>
  <c r="P71" i="4" s="1"/>
  <c r="P81" i="4" l="1"/>
  <c r="P91" i="4" s="1"/>
  <c r="E59" i="2" l="1"/>
  <c r="E160" i="2" s="1"/>
  <c r="D68" i="10" l="1"/>
  <c r="D125" i="11" l="1"/>
  <c r="D126" i="11" l="1"/>
  <c r="D124" i="11"/>
  <c r="D158" i="2" l="1"/>
  <c r="D59" i="2" l="1"/>
  <c r="D149" i="2" l="1"/>
  <c r="D160" i="2" s="1"/>
  <c r="I51" i="4" l="1"/>
  <c r="I61" i="4" s="1"/>
  <c r="I71" i="4" s="1"/>
  <c r="G51" i="4"/>
  <c r="G61" i="4" s="1"/>
  <c r="G71" i="4" s="1"/>
  <c r="I41" i="4"/>
  <c r="T41" i="4" s="1"/>
  <c r="T51" i="4" s="1"/>
  <c r="T61" i="4" s="1"/>
  <c r="T71" i="4" s="1"/>
  <c r="R41" i="4"/>
  <c r="R51" i="4" s="1"/>
  <c r="R61" i="4" s="1"/>
  <c r="R71" i="4" s="1"/>
  <c r="H23" i="3"/>
  <c r="G28" i="21" s="1"/>
  <c r="Q28" i="21" s="1"/>
  <c r="R81" i="4" l="1"/>
  <c r="R91" i="4" s="1"/>
  <c r="T81" i="4"/>
  <c r="T91" i="4" s="1"/>
  <c r="G81" i="4"/>
  <c r="G91" i="4" s="1"/>
  <c r="I81" i="4"/>
  <c r="I91" i="4" s="1"/>
  <c r="S23" i="3"/>
  <c r="G28" i="13"/>
  <c r="Q28" i="13" s="1"/>
  <c r="G37" i="10" l="1"/>
  <c r="F37" i="10"/>
  <c r="G31" i="10"/>
  <c r="F31" i="10"/>
  <c r="G25" i="10"/>
  <c r="F25" i="10"/>
  <c r="Q18" i="10"/>
  <c r="P18" i="10"/>
  <c r="G18" i="10"/>
  <c r="F18" i="10"/>
  <c r="F40" i="12" l="1"/>
  <c r="F46" i="12" s="1"/>
  <c r="F52" i="12" s="1"/>
  <c r="F58" i="12" s="1"/>
  <c r="F64" i="12" s="1"/>
  <c r="F70" i="12" s="1"/>
  <c r="F76" i="12" s="1"/>
  <c r="F82" i="12" s="1"/>
  <c r="F34" i="12"/>
  <c r="D9" i="11"/>
  <c r="C158" i="2" l="1"/>
  <c r="C149" i="2" l="1"/>
  <c r="C59" i="2" l="1"/>
  <c r="C160" i="2" s="1"/>
  <c r="C22" i="14" l="1"/>
  <c r="C25" i="14"/>
  <c r="C26" i="14"/>
  <c r="M65" i="14" l="1"/>
  <c r="M64" i="14"/>
  <c r="M66" i="14"/>
  <c r="M86" i="14"/>
  <c r="M84" i="14"/>
  <c r="M63" i="14"/>
  <c r="M83" i="14"/>
  <c r="M85" i="14"/>
  <c r="M44" i="14"/>
  <c r="M45" i="14"/>
  <c r="M46" i="14"/>
  <c r="M43" i="14"/>
  <c r="L84" i="14"/>
  <c r="L64" i="14"/>
  <c r="L63" i="14"/>
  <c r="L66" i="14"/>
  <c r="L65" i="14"/>
  <c r="L85" i="14"/>
  <c r="L45" i="14"/>
  <c r="D43" i="14"/>
  <c r="C63" i="14"/>
  <c r="D83" i="14"/>
  <c r="D63" i="14"/>
  <c r="D84" i="14"/>
  <c r="D64" i="14"/>
  <c r="D85" i="14"/>
  <c r="D65" i="14"/>
  <c r="D86" i="14"/>
  <c r="D66" i="14"/>
  <c r="D45" i="14"/>
  <c r="D44" i="14"/>
  <c r="D46" i="14"/>
  <c r="C84" i="14"/>
  <c r="C64" i="14"/>
  <c r="C85" i="14"/>
  <c r="C65" i="14"/>
  <c r="C86" i="14"/>
  <c r="C66" i="14"/>
  <c r="C45" i="14"/>
  <c r="C23" i="14"/>
  <c r="C83" i="14" s="1"/>
  <c r="M67" i="14" l="1"/>
  <c r="M65" i="12" s="1"/>
  <c r="M47" i="14"/>
  <c r="M47" i="12" s="1"/>
  <c r="M87" i="14"/>
  <c r="M83" i="12" s="1"/>
  <c r="L67" i="14"/>
  <c r="M59" i="12" s="1"/>
  <c r="L46" i="14"/>
  <c r="L86" i="14"/>
  <c r="L44" i="14"/>
  <c r="L43" i="14"/>
  <c r="L83" i="14"/>
  <c r="C43" i="14"/>
  <c r="C44" i="14"/>
  <c r="C46" i="14"/>
  <c r="D47" i="4"/>
  <c r="L87" i="14" l="1"/>
  <c r="M77" i="12" s="1"/>
  <c r="D38" i="10"/>
  <c r="L47" i="14"/>
  <c r="M41" i="12" s="1"/>
  <c r="D30" i="14" l="1"/>
  <c r="C30" i="14"/>
  <c r="C41" i="14" s="1"/>
  <c r="L41" i="14" s="1"/>
  <c r="L51" i="14" s="1"/>
  <c r="L71" i="14" l="1"/>
  <c r="L81" i="14" s="1"/>
  <c r="L91" i="14" s="1"/>
  <c r="L61" i="14"/>
  <c r="E51" i="14"/>
  <c r="E61" i="14"/>
  <c r="E71" i="14" s="1"/>
  <c r="C47" i="14"/>
  <c r="D41" i="12" s="1"/>
  <c r="D47" i="14"/>
  <c r="D47" i="12" s="1"/>
  <c r="C51" i="14"/>
  <c r="E41" i="14"/>
  <c r="N41" i="14" s="1"/>
  <c r="N51" i="14" s="1"/>
  <c r="N61" i="14" s="1"/>
  <c r="N71" i="14" s="1"/>
  <c r="E81" i="14" l="1"/>
  <c r="E91" i="14" s="1"/>
  <c r="N81" i="14"/>
  <c r="N91" i="14" s="1"/>
  <c r="C71" i="14"/>
  <c r="C81" i="14" s="1"/>
  <c r="C91" i="14" s="1"/>
  <c r="C61" i="14"/>
  <c r="F158" i="2" l="1"/>
  <c r="H158" i="2" l="1"/>
  <c r="D56" i="10" l="1"/>
  <c r="D87" i="4" l="1"/>
  <c r="D74" i="10" s="1"/>
  <c r="D86" i="10" l="1"/>
  <c r="D92" i="10" s="1"/>
  <c r="H149" i="2" l="1"/>
  <c r="H59" i="2" l="1"/>
  <c r="H160" i="2" s="1"/>
  <c r="C67" i="14" l="1"/>
  <c r="D59" i="12" s="1"/>
  <c r="D67" i="14" l="1"/>
  <c r="D65" i="12" s="1"/>
  <c r="C87" i="14" l="1"/>
  <c r="D77" i="12" s="1"/>
  <c r="D87" i="14" l="1"/>
  <c r="D83" i="12" s="1"/>
  <c r="F7" i="14" l="1"/>
  <c r="E63" i="4"/>
  <c r="P86" i="4" l="1"/>
  <c r="P85" i="4"/>
  <c r="P84" i="4"/>
  <c r="P83" i="4"/>
  <c r="P44" i="4"/>
  <c r="P43" i="4"/>
  <c r="P46" i="4"/>
  <c r="P45" i="4"/>
  <c r="P66" i="4"/>
  <c r="P65" i="4"/>
  <c r="P63" i="4"/>
  <c r="P64" i="4"/>
  <c r="E83" i="4"/>
  <c r="E46" i="4"/>
  <c r="E85" i="4"/>
  <c r="E84" i="4"/>
  <c r="D22" i="14"/>
  <c r="E64" i="4"/>
  <c r="E86" i="4"/>
  <c r="E44" i="4"/>
  <c r="E65" i="4"/>
  <c r="E66" i="4"/>
  <c r="E45" i="4"/>
  <c r="E43" i="4"/>
  <c r="P67" i="4" l="1"/>
  <c r="O50" i="10" s="1"/>
  <c r="P47" i="4"/>
  <c r="O32" i="10" s="1"/>
  <c r="N83" i="14"/>
  <c r="N86" i="14"/>
  <c r="N84" i="14"/>
  <c r="N85" i="14"/>
  <c r="N66" i="14"/>
  <c r="N65" i="14"/>
  <c r="N64" i="14"/>
  <c r="N63" i="14"/>
  <c r="O45" i="14"/>
  <c r="N45" i="14"/>
  <c r="N46" i="14"/>
  <c r="N44" i="14"/>
  <c r="O46" i="14"/>
  <c r="O43" i="14"/>
  <c r="N43" i="14"/>
  <c r="O44" i="14"/>
  <c r="P87" i="4"/>
  <c r="O68" i="10" s="1"/>
  <c r="E87" i="4"/>
  <c r="E68" i="10" s="1"/>
  <c r="E47" i="4"/>
  <c r="E32" i="10" s="1"/>
  <c r="E44" i="14"/>
  <c r="E64" i="14"/>
  <c r="E45" i="14"/>
  <c r="E83" i="14"/>
  <c r="E65" i="14"/>
  <c r="E66" i="14"/>
  <c r="E63" i="14"/>
  <c r="E84" i="14"/>
  <c r="E46" i="14"/>
  <c r="E86" i="14"/>
  <c r="E85" i="14"/>
  <c r="E43" i="14"/>
  <c r="E67" i="4"/>
  <c r="E50" i="10" s="1"/>
  <c r="N67" i="14" l="1"/>
  <c r="N59" i="12" s="1"/>
  <c r="O47" i="14"/>
  <c r="N47" i="12" s="1"/>
  <c r="N47" i="14"/>
  <c r="N41" i="12" s="1"/>
  <c r="N87" i="14"/>
  <c r="N77" i="12" s="1"/>
  <c r="E47" i="14"/>
  <c r="E41" i="12" s="1"/>
  <c r="E67" i="14"/>
  <c r="E59" i="12" s="1"/>
  <c r="E87" i="14"/>
  <c r="E77" i="12" s="1"/>
  <c r="F8" i="14" l="1"/>
  <c r="D25" i="4"/>
  <c r="F64" i="4" s="1"/>
  <c r="Q86" i="4" l="1"/>
  <c r="Q85" i="4"/>
  <c r="Q84" i="4"/>
  <c r="Q83" i="4"/>
  <c r="Q46" i="4"/>
  <c r="Q45" i="4"/>
  <c r="Q43" i="4"/>
  <c r="Q44" i="4"/>
  <c r="Q64" i="4"/>
  <c r="Q65" i="4"/>
  <c r="Q66" i="4"/>
  <c r="Q63" i="4"/>
  <c r="F65" i="4"/>
  <c r="F83" i="4"/>
  <c r="D25" i="14"/>
  <c r="F43" i="4"/>
  <c r="F45" i="4"/>
  <c r="F63" i="4"/>
  <c r="F44" i="4"/>
  <c r="F46" i="4"/>
  <c r="F86" i="4"/>
  <c r="F84" i="4"/>
  <c r="F66" i="4"/>
  <c r="F85" i="4"/>
  <c r="Q87" i="4" l="1"/>
  <c r="O74" i="10" s="1"/>
  <c r="Q67" i="4"/>
  <c r="O56" i="10" s="1"/>
  <c r="Q47" i="4"/>
  <c r="O38" i="10" s="1"/>
  <c r="O84" i="14"/>
  <c r="O85" i="14"/>
  <c r="O86" i="14"/>
  <c r="O83" i="14"/>
  <c r="O66" i="14"/>
  <c r="O65" i="14"/>
  <c r="O64" i="14"/>
  <c r="O63" i="14"/>
  <c r="F87" i="4"/>
  <c r="E74" i="10" s="1"/>
  <c r="F47" i="4"/>
  <c r="E38" i="10" s="1"/>
  <c r="F45" i="14"/>
  <c r="F83" i="14"/>
  <c r="F65" i="14"/>
  <c r="F43" i="14"/>
  <c r="F86" i="14"/>
  <c r="F63" i="14"/>
  <c r="F85" i="14"/>
  <c r="F84" i="14"/>
  <c r="F64" i="14"/>
  <c r="F44" i="14"/>
  <c r="F46" i="14"/>
  <c r="F66" i="14"/>
  <c r="F67" i="4"/>
  <c r="E56" i="10" s="1"/>
  <c r="E86" i="10" l="1"/>
  <c r="E92" i="10" s="1"/>
  <c r="O67" i="14"/>
  <c r="N65" i="12" s="1"/>
  <c r="O87" i="14"/>
  <c r="F87" i="14"/>
  <c r="E83" i="12" s="1"/>
  <c r="F47" i="14"/>
  <c r="E47" i="12" s="1"/>
  <c r="F67" i="14"/>
  <c r="E65" i="12" s="1"/>
  <c r="N83" i="12" l="1"/>
  <c r="K8" i="10" l="1"/>
  <c r="K7" i="10"/>
  <c r="R8" i="10"/>
  <c r="R7" i="10" l="1"/>
  <c r="Q8" i="12" l="1"/>
  <c r="J8" i="12"/>
  <c r="J9" i="12"/>
  <c r="Q9" i="12" l="1"/>
  <c r="F149" i="2" l="1"/>
  <c r="F59" i="2" l="1"/>
  <c r="F160" i="2" s="1"/>
  <c r="O6" i="13" l="1"/>
  <c r="O10" i="13" s="1"/>
  <c r="AE16" i="3" l="1"/>
  <c r="AA17" i="13" l="1"/>
  <c r="AA21" i="13" l="1"/>
  <c r="AE20" i="3"/>
  <c r="K158" i="2" l="1"/>
  <c r="J149" i="2" l="1"/>
  <c r="J160" i="2" s="1"/>
  <c r="K149" i="2" l="1"/>
  <c r="D113" i="11" l="1"/>
  <c r="D114" i="11" l="1"/>
  <c r="D115" i="11" l="1"/>
  <c r="D112" i="11" l="1"/>
  <c r="AA19" i="13" l="1"/>
  <c r="AE18" i="3"/>
  <c r="O17" i="11" l="1"/>
  <c r="O94" i="11" s="1"/>
  <c r="P17" i="11" l="1"/>
  <c r="P94" i="11" s="1"/>
  <c r="Q17" i="11" l="1"/>
  <c r="Q94" i="11" s="1"/>
  <c r="S17" i="11" l="1"/>
  <c r="R17" i="11"/>
  <c r="R94" i="11" s="1"/>
  <c r="S94" i="11" l="1"/>
  <c r="D12" i="19" s="1"/>
  <c r="P14" i="19" s="1"/>
  <c r="P13" i="19" s="1"/>
  <c r="C12" i="19"/>
  <c r="P11" i="19" s="1"/>
  <c r="P10" i="19" s="1"/>
  <c r="C12" i="3"/>
  <c r="P11" i="3" s="1"/>
  <c r="P10" i="3" s="1"/>
  <c r="D12" i="3" l="1"/>
  <c r="P14" i="3" s="1"/>
  <c r="P13" i="3" s="1"/>
  <c r="E13" i="22"/>
  <c r="E11" i="22"/>
  <c r="E9" i="22"/>
  <c r="E7" i="22"/>
  <c r="P12" i="14"/>
  <c r="P10" i="14"/>
  <c r="P8" i="14"/>
  <c r="P11" i="14"/>
  <c r="P9" i="14"/>
  <c r="P7" i="14"/>
  <c r="G7" i="4" l="1"/>
  <c r="E7" i="14"/>
  <c r="G7" i="14" s="1"/>
  <c r="G9" i="4"/>
  <c r="E9" i="14"/>
  <c r="G9" i="14" s="1"/>
  <c r="E11" i="14"/>
  <c r="G11" i="14" s="1"/>
  <c r="G11" i="4"/>
  <c r="E8" i="14"/>
  <c r="G8" i="14" s="1"/>
  <c r="G8" i="4"/>
  <c r="G10" i="4"/>
  <c r="E10" i="14"/>
  <c r="G10" i="14" s="1"/>
  <c r="G12" i="4"/>
  <c r="E12" i="14"/>
  <c r="G12" i="14" s="1"/>
  <c r="M158" i="2" l="1"/>
  <c r="M149" i="2" l="1"/>
  <c r="M59" i="2" l="1"/>
  <c r="M160" i="2" s="1"/>
  <c r="L59" i="2" l="1"/>
  <c r="K59" i="2"/>
  <c r="K160" i="2" s="1"/>
  <c r="N158" i="2" l="1"/>
  <c r="N149" i="2" l="1"/>
  <c r="L149" i="2" l="1"/>
  <c r="L160" i="2" s="1"/>
  <c r="N59" i="2" l="1"/>
  <c r="N160" i="2" s="1"/>
  <c r="N94" i="4" l="1"/>
  <c r="C75" i="4"/>
  <c r="C96" i="4"/>
  <c r="C74" i="4"/>
  <c r="C55" i="4"/>
  <c r="N73" i="4"/>
  <c r="C94" i="4"/>
  <c r="N76" i="4"/>
  <c r="N54" i="4"/>
  <c r="N55" i="4"/>
  <c r="N95" i="4"/>
  <c r="C31" i="14"/>
  <c r="N74" i="4"/>
  <c r="N75" i="4"/>
  <c r="C53" i="4"/>
  <c r="C95" i="4"/>
  <c r="C73" i="4"/>
  <c r="C76" i="4"/>
  <c r="O55" i="4"/>
  <c r="D76" i="4"/>
  <c r="D74" i="4"/>
  <c r="O54" i="4"/>
  <c r="O76" i="4"/>
  <c r="D55" i="4"/>
  <c r="D56" i="4"/>
  <c r="O96" i="4"/>
  <c r="O73" i="4"/>
  <c r="O95" i="4"/>
  <c r="C34" i="14"/>
  <c r="D73" i="4"/>
  <c r="O75" i="4"/>
  <c r="O53" i="4"/>
  <c r="O57" i="4" s="1"/>
  <c r="N39" i="10" s="1"/>
  <c r="N40" i="10" s="1"/>
  <c r="D94" i="4"/>
  <c r="O56" i="4"/>
  <c r="D95" i="4"/>
  <c r="O74" i="4"/>
  <c r="D53" i="4"/>
  <c r="D75" i="4"/>
  <c r="O94" i="4"/>
  <c r="C32" i="14"/>
  <c r="C35" i="14"/>
  <c r="C77" i="4" l="1"/>
  <c r="D51" i="10" s="1"/>
  <c r="D52" i="10" s="1"/>
  <c r="O93" i="4"/>
  <c r="O97" i="4" s="1"/>
  <c r="N75" i="10" s="1"/>
  <c r="N76" i="10" s="1"/>
  <c r="D54" i="4"/>
  <c r="D57" i="4" s="1"/>
  <c r="D39" i="10" s="1"/>
  <c r="D40" i="10" s="1"/>
  <c r="D93" i="4"/>
  <c r="L93" i="14"/>
  <c r="C54" i="14"/>
  <c r="L73" i="14"/>
  <c r="C56" i="14"/>
  <c r="L53" i="14"/>
  <c r="C95" i="14"/>
  <c r="L94" i="14"/>
  <c r="C93" i="14"/>
  <c r="L75" i="14"/>
  <c r="C75" i="14"/>
  <c r="C94" i="14"/>
  <c r="L76" i="14"/>
  <c r="L56" i="14"/>
  <c r="L74" i="14"/>
  <c r="L96" i="14"/>
  <c r="L95" i="14"/>
  <c r="C53" i="14"/>
  <c r="L55" i="14"/>
  <c r="C73" i="14"/>
  <c r="C74" i="14"/>
  <c r="C55" i="14"/>
  <c r="C76" i="14"/>
  <c r="C96" i="14"/>
  <c r="L54" i="14"/>
  <c r="C54" i="4"/>
  <c r="C93" i="4"/>
  <c r="C97" i="4" s="1"/>
  <c r="D69" i="10" s="1"/>
  <c r="N96" i="4"/>
  <c r="N56" i="4"/>
  <c r="N77" i="4"/>
  <c r="N51" i="10" s="1"/>
  <c r="D77" i="4"/>
  <c r="D57" i="10" s="1"/>
  <c r="D58" i="10" s="1"/>
  <c r="N53" i="4"/>
  <c r="M76" i="14"/>
  <c r="M93" i="14"/>
  <c r="D53" i="14"/>
  <c r="M53" i="14"/>
  <c r="M94" i="14"/>
  <c r="D56" i="14"/>
  <c r="D74" i="14"/>
  <c r="M95" i="14"/>
  <c r="M56" i="14"/>
  <c r="D75" i="14"/>
  <c r="D94" i="14"/>
  <c r="D76" i="14"/>
  <c r="M54" i="14"/>
  <c r="D73" i="14"/>
  <c r="M96" i="14"/>
  <c r="M74" i="14"/>
  <c r="D93" i="14"/>
  <c r="D96" i="14"/>
  <c r="M75" i="14"/>
  <c r="D95" i="14"/>
  <c r="D54" i="14"/>
  <c r="D55" i="14"/>
  <c r="M73" i="14"/>
  <c r="M55" i="14"/>
  <c r="N93" i="4"/>
  <c r="C56" i="4"/>
  <c r="D96" i="4"/>
  <c r="O77" i="4"/>
  <c r="N57" i="10" s="1"/>
  <c r="N58" i="10" s="1"/>
  <c r="N97" i="4" l="1"/>
  <c r="N69" i="10" s="1"/>
  <c r="C57" i="4"/>
  <c r="D33" i="10" s="1"/>
  <c r="C97" i="14"/>
  <c r="D78" i="12" s="1"/>
  <c r="M57" i="14"/>
  <c r="M48" i="12" s="1"/>
  <c r="M49" i="12" s="1"/>
  <c r="D57" i="14"/>
  <c r="D48" i="12" s="1"/>
  <c r="D49" i="12" s="1"/>
  <c r="L97" i="14"/>
  <c r="M78" i="12" s="1"/>
  <c r="D70" i="10"/>
  <c r="M77" i="14"/>
  <c r="M66" i="12" s="1"/>
  <c r="M67" i="12" s="1"/>
  <c r="L57" i="14"/>
  <c r="M42" i="12" s="1"/>
  <c r="C77" i="14"/>
  <c r="D60" i="12" s="1"/>
  <c r="L77" i="14"/>
  <c r="M60" i="12" s="1"/>
  <c r="M97" i="14"/>
  <c r="M84" i="12" s="1"/>
  <c r="M85" i="12" s="1"/>
  <c r="D97" i="14"/>
  <c r="D84" i="12" s="1"/>
  <c r="D85" i="12" s="1"/>
  <c r="C57" i="14"/>
  <c r="D42" i="12" s="1"/>
  <c r="N57" i="4"/>
  <c r="N33" i="10" s="1"/>
  <c r="D77" i="14"/>
  <c r="D66" i="12" s="1"/>
  <c r="D67" i="12" s="1"/>
  <c r="N52" i="10"/>
  <c r="D97" i="4"/>
  <c r="D75" i="10" s="1"/>
  <c r="D76" i="10" s="1"/>
  <c r="M79" i="12" l="1"/>
  <c r="D79" i="12"/>
  <c r="N70" i="10"/>
  <c r="D34" i="10"/>
  <c r="D43" i="12"/>
  <c r="M61" i="12"/>
  <c r="D61" i="12"/>
  <c r="M43" i="12"/>
  <c r="N34" i="10"/>
  <c r="C23" i="22" l="1"/>
  <c r="C25" i="22"/>
  <c r="C37" i="20" l="1"/>
  <c r="D88" i="10" s="1"/>
  <c r="C38" i="20"/>
  <c r="D89" i="10" s="1"/>
  <c r="C36" i="20"/>
  <c r="C22" i="22"/>
  <c r="C24" i="22"/>
  <c r="D37" i="20"/>
  <c r="D94" i="10" s="1"/>
  <c r="D36" i="20"/>
  <c r="D38" i="20"/>
  <c r="D95" i="10" s="1"/>
  <c r="D83" i="10" l="1"/>
  <c r="D82" i="10"/>
  <c r="D39" i="20"/>
  <c r="D93" i="10"/>
  <c r="D36" i="22"/>
  <c r="D38" i="22"/>
  <c r="D104" i="12" s="1"/>
  <c r="D37" i="22"/>
  <c r="D103" i="12" s="1"/>
  <c r="C37" i="22"/>
  <c r="D97" i="12" s="1"/>
  <c r="C38" i="22"/>
  <c r="D98" i="12" s="1"/>
  <c r="C36" i="22"/>
  <c r="D87" i="10"/>
  <c r="C39" i="20"/>
  <c r="D81" i="10" l="1"/>
  <c r="D96" i="12"/>
  <c r="C39" i="22"/>
  <c r="D92" i="12"/>
  <c r="D91" i="12"/>
  <c r="D102" i="12"/>
  <c r="D39" i="22"/>
  <c r="D90" i="12" l="1"/>
  <c r="D28" i="12" l="1"/>
  <c r="D29" i="12"/>
  <c r="M29" i="12" l="1"/>
  <c r="M28" i="12"/>
  <c r="M30" i="12" l="1"/>
  <c r="D30" i="12"/>
  <c r="D34" i="21" l="1"/>
  <c r="D24" i="21"/>
  <c r="E35" i="13" l="1"/>
  <c r="E34" i="21"/>
  <c r="C34" i="21"/>
  <c r="D35" i="13"/>
  <c r="D25" i="13" l="1"/>
  <c r="E35" i="21"/>
  <c r="E36" i="13"/>
  <c r="C35" i="21"/>
  <c r="C36" i="13"/>
  <c r="C25" i="13"/>
  <c r="R24" i="3"/>
  <c r="P29" i="13" s="1"/>
  <c r="D26" i="13"/>
  <c r="D36" i="13"/>
  <c r="D35" i="21"/>
  <c r="D25" i="21"/>
  <c r="G24" i="3"/>
  <c r="F29" i="13" s="1"/>
  <c r="E25" i="13"/>
  <c r="E24" i="21"/>
  <c r="G24" i="19"/>
  <c r="F29" i="21" s="1"/>
  <c r="R24" i="19"/>
  <c r="P29" i="21" s="1"/>
  <c r="C24" i="21"/>
  <c r="C26" i="13" l="1"/>
  <c r="R25" i="3"/>
  <c r="P30" i="13" s="1"/>
  <c r="R25" i="19"/>
  <c r="P30" i="21" s="1"/>
  <c r="C25" i="21"/>
  <c r="E25" i="21"/>
  <c r="G25" i="19"/>
  <c r="F30" i="21" s="1"/>
  <c r="E26" i="13"/>
  <c r="G25" i="3"/>
  <c r="F30" i="13" s="1"/>
  <c r="F21" i="11" l="1"/>
  <c r="F57" i="11"/>
  <c r="F19" i="11"/>
  <c r="F20" i="11"/>
  <c r="G20" i="11" l="1"/>
  <c r="O10" i="11"/>
  <c r="O87" i="11" s="1"/>
  <c r="D20" i="11"/>
  <c r="D57" i="11"/>
  <c r="G57" i="11"/>
  <c r="H57" i="11" s="1"/>
  <c r="I57" i="11" s="1"/>
  <c r="J57" i="11" s="1"/>
  <c r="G19" i="11"/>
  <c r="D19" i="11"/>
  <c r="O18" i="11"/>
  <c r="D21" i="11"/>
  <c r="G21" i="11"/>
  <c r="H21" i="11" s="1"/>
  <c r="I21" i="11" s="1"/>
  <c r="J21" i="11" s="1"/>
  <c r="O96" i="11" l="1"/>
  <c r="D105" i="11"/>
  <c r="H105" i="11"/>
  <c r="I105" i="11" s="1"/>
  <c r="J105" i="11" s="1"/>
  <c r="D106" i="11"/>
  <c r="H106" i="11"/>
  <c r="I106" i="11" s="1"/>
  <c r="J106" i="11" s="1"/>
  <c r="P10" i="11"/>
  <c r="P87" i="11" s="1"/>
  <c r="H20" i="11"/>
  <c r="D108" i="11"/>
  <c r="H108" i="11"/>
  <c r="I108" i="11" s="1"/>
  <c r="J108" i="11" s="1"/>
  <c r="H19" i="11"/>
  <c r="P18" i="11"/>
  <c r="D107" i="11"/>
  <c r="H107" i="11"/>
  <c r="I107" i="11" s="1"/>
  <c r="J107" i="11" s="1"/>
  <c r="P96" i="11" l="1"/>
  <c r="I19" i="11"/>
  <c r="Q18" i="11"/>
  <c r="I20" i="11"/>
  <c r="Q10" i="11"/>
  <c r="Q87" i="11" s="1"/>
  <c r="Q96" i="11" l="1"/>
  <c r="J20" i="11"/>
  <c r="S10" i="11" s="1"/>
  <c r="R10" i="11"/>
  <c r="R87" i="11" s="1"/>
  <c r="J19" i="11"/>
  <c r="S18" i="11" s="1"/>
  <c r="R18" i="11"/>
  <c r="F77" i="11"/>
  <c r="G77" i="11" l="1"/>
  <c r="H77" i="11" s="1"/>
  <c r="I77" i="11" s="1"/>
  <c r="J77" i="11" s="1"/>
  <c r="D77" i="11"/>
  <c r="R96" i="11"/>
  <c r="C13" i="19"/>
  <c r="U11" i="19" s="1"/>
  <c r="C13" i="3"/>
  <c r="U11" i="3" s="1"/>
  <c r="S96" i="11"/>
  <c r="C5" i="3"/>
  <c r="I11" i="3" s="1"/>
  <c r="I10" i="3" s="1"/>
  <c r="C5" i="19"/>
  <c r="I11" i="19" s="1"/>
  <c r="I10" i="19" s="1"/>
  <c r="S87" i="11"/>
  <c r="F75" i="11" l="1"/>
  <c r="D13" i="3"/>
  <c r="U14" i="3" s="1"/>
  <c r="D13" i="19"/>
  <c r="U14" i="19" s="1"/>
  <c r="D5" i="3"/>
  <c r="I14" i="3" s="1"/>
  <c r="I13" i="3" s="1"/>
  <c r="D5" i="19"/>
  <c r="I14" i="19" s="1"/>
  <c r="I13" i="19" s="1"/>
  <c r="F78" i="11"/>
  <c r="G78" i="11" l="1"/>
  <c r="O20" i="11"/>
  <c r="O98" i="11" s="1"/>
  <c r="D78" i="11"/>
  <c r="G75" i="11"/>
  <c r="D75" i="11"/>
  <c r="H75" i="11" l="1"/>
  <c r="H78" i="11"/>
  <c r="P20" i="11"/>
  <c r="I78" i="11" l="1"/>
  <c r="Q20" i="11"/>
  <c r="P98" i="11"/>
  <c r="I75" i="11"/>
  <c r="J75" i="11" l="1"/>
  <c r="Q98" i="11"/>
  <c r="J78" i="11"/>
  <c r="S20" i="11" s="1"/>
  <c r="R20" i="11"/>
  <c r="R98" i="11" l="1"/>
  <c r="S98" i="11"/>
  <c r="C15" i="19"/>
  <c r="T11" i="19" s="1"/>
  <c r="C15" i="3"/>
  <c r="T11" i="3" s="1"/>
  <c r="D15" i="3" l="1"/>
  <c r="T14" i="3" s="1"/>
  <c r="D15" i="19"/>
  <c r="T14" i="19" s="1"/>
  <c r="F76" i="11" l="1"/>
  <c r="O158" i="2"/>
  <c r="G76" i="11" l="1"/>
  <c r="D76" i="11"/>
  <c r="O19" i="11"/>
  <c r="O97" i="11" l="1"/>
  <c r="H76" i="11"/>
  <c r="P19" i="11"/>
  <c r="P97" i="11" l="1"/>
  <c r="I76" i="11"/>
  <c r="Q19" i="11"/>
  <c r="Q97" i="11" l="1"/>
  <c r="J76" i="11"/>
  <c r="S19" i="11" s="1"/>
  <c r="R19" i="11"/>
  <c r="R97" i="11" l="1"/>
  <c r="S97" i="11"/>
  <c r="C14" i="3"/>
  <c r="R11" i="3" s="1"/>
  <c r="C14" i="19"/>
  <c r="R11" i="19" s="1"/>
  <c r="D14" i="19" l="1"/>
  <c r="R14" i="19" s="1"/>
  <c r="D14" i="3"/>
  <c r="R14" i="3" s="1"/>
  <c r="F45" i="11" l="1"/>
  <c r="F44" i="11"/>
  <c r="G44" i="11" l="1"/>
  <c r="H44" i="11" s="1"/>
  <c r="I44" i="11" s="1"/>
  <c r="J44" i="11" s="1"/>
  <c r="D44" i="11"/>
  <c r="G45" i="11"/>
  <c r="H45" i="11" s="1"/>
  <c r="I45" i="11" s="1"/>
  <c r="J45" i="11" s="1"/>
  <c r="D45" i="11"/>
  <c r="D101" i="11" l="1"/>
  <c r="H101" i="11"/>
  <c r="I101" i="11" s="1"/>
  <c r="J101" i="11" s="1"/>
  <c r="D100" i="11"/>
  <c r="H100" i="11"/>
  <c r="I100" i="11" s="1"/>
  <c r="J100" i="11" s="1"/>
  <c r="F47" i="11" l="1"/>
  <c r="D47" i="11" s="1"/>
  <c r="F42" i="11"/>
  <c r="D42" i="11" s="1"/>
  <c r="F48" i="11" l="1"/>
  <c r="D48" i="11" s="1"/>
  <c r="D89" i="11"/>
  <c r="Q10" i="17"/>
  <c r="Q17" i="17" s="1"/>
  <c r="F43" i="11"/>
  <c r="D43" i="11" l="1"/>
  <c r="G43" i="11"/>
  <c r="H43" i="11" s="1"/>
  <c r="I43" i="11" s="1"/>
  <c r="J43" i="11" s="1"/>
  <c r="F38" i="11" l="1"/>
  <c r="D38" i="11" s="1"/>
  <c r="F40" i="11" l="1"/>
  <c r="D40" i="11" s="1"/>
  <c r="F41" i="11" l="1"/>
  <c r="D41" i="11" s="1"/>
  <c r="F39" i="11" l="1"/>
  <c r="D39" i="11" s="1"/>
  <c r="F36" i="11" l="1"/>
  <c r="F35" i="11"/>
  <c r="F28" i="11"/>
  <c r="F34" i="11"/>
  <c r="F33" i="11"/>
  <c r="F29" i="11"/>
  <c r="D29" i="11" s="1"/>
  <c r="F31" i="11"/>
  <c r="F27" i="11"/>
  <c r="F11" i="11"/>
  <c r="O13" i="11" l="1"/>
  <c r="G27" i="11"/>
  <c r="D27" i="11"/>
  <c r="F66" i="11"/>
  <c r="D28" i="11"/>
  <c r="F67" i="11"/>
  <c r="F68" i="11"/>
  <c r="G35" i="11"/>
  <c r="H35" i="11" s="1"/>
  <c r="I35" i="11" s="1"/>
  <c r="J35" i="11" s="1"/>
  <c r="D35" i="11"/>
  <c r="F70" i="11"/>
  <c r="F71" i="11"/>
  <c r="F69" i="11"/>
  <c r="F72" i="11"/>
  <c r="F73" i="11"/>
  <c r="D36" i="11"/>
  <c r="G36" i="11"/>
  <c r="H36" i="11" s="1"/>
  <c r="I36" i="11" s="1"/>
  <c r="J36" i="11" s="1"/>
  <c r="G11" i="11"/>
  <c r="D11" i="11"/>
  <c r="F12" i="11"/>
  <c r="D31" i="11"/>
  <c r="G31" i="11"/>
  <c r="D33" i="11"/>
  <c r="G33" i="11"/>
  <c r="H33" i="11" s="1"/>
  <c r="I33" i="11" s="1"/>
  <c r="J33" i="11" s="1"/>
  <c r="F63" i="11"/>
  <c r="G34" i="11"/>
  <c r="H34" i="11" s="1"/>
  <c r="I34" i="11" s="1"/>
  <c r="J34" i="11" s="1"/>
  <c r="D34" i="11"/>
  <c r="F15" i="11"/>
  <c r="F32" i="11"/>
  <c r="D70" i="11" l="1"/>
  <c r="G70" i="11"/>
  <c r="H70" i="11" s="1"/>
  <c r="I70" i="11" s="1"/>
  <c r="J70" i="11" s="1"/>
  <c r="F10" i="11"/>
  <c r="H11" i="11"/>
  <c r="G15" i="11"/>
  <c r="D15" i="11"/>
  <c r="D68" i="11"/>
  <c r="G68" i="11"/>
  <c r="H68" i="11" s="1"/>
  <c r="I68" i="11" s="1"/>
  <c r="J68" i="11" s="1"/>
  <c r="D67" i="11"/>
  <c r="G67" i="11"/>
  <c r="H67" i="11" s="1"/>
  <c r="I67" i="11" s="1"/>
  <c r="J67" i="11" s="1"/>
  <c r="D73" i="11"/>
  <c r="G73" i="11"/>
  <c r="H73" i="11" s="1"/>
  <c r="I73" i="11" s="1"/>
  <c r="J73" i="11" s="1"/>
  <c r="D72" i="11"/>
  <c r="G72" i="11"/>
  <c r="H72" i="11" s="1"/>
  <c r="I72" i="11" s="1"/>
  <c r="J72" i="11" s="1"/>
  <c r="G66" i="11"/>
  <c r="H66" i="11" s="1"/>
  <c r="I66" i="11" s="1"/>
  <c r="J66" i="11" s="1"/>
  <c r="D66" i="11"/>
  <c r="O21" i="11"/>
  <c r="D63" i="11"/>
  <c r="G63" i="11"/>
  <c r="G32" i="11"/>
  <c r="H32" i="11" s="1"/>
  <c r="I32" i="11" s="1"/>
  <c r="J32" i="11" s="1"/>
  <c r="D32" i="11"/>
  <c r="H31" i="11"/>
  <c r="G69" i="11"/>
  <c r="H69" i="11" s="1"/>
  <c r="I69" i="11" s="1"/>
  <c r="J69" i="11" s="1"/>
  <c r="D69" i="11"/>
  <c r="P13" i="11"/>
  <c r="H27" i="11"/>
  <c r="G12" i="11"/>
  <c r="H12" i="11" s="1"/>
  <c r="I12" i="11" s="1"/>
  <c r="J12" i="11" s="1"/>
  <c r="D12" i="11"/>
  <c r="G71" i="11"/>
  <c r="H71" i="11" s="1"/>
  <c r="I71" i="11" s="1"/>
  <c r="J71" i="11" s="1"/>
  <c r="D71" i="11"/>
  <c r="O90" i="11"/>
  <c r="P21" i="11" l="1"/>
  <c r="H63" i="11"/>
  <c r="H15" i="11"/>
  <c r="I31" i="11"/>
  <c r="H102" i="11"/>
  <c r="I102" i="11" s="1"/>
  <c r="J102" i="11" s="1"/>
  <c r="D102" i="11"/>
  <c r="I11" i="11"/>
  <c r="O99" i="11"/>
  <c r="H94" i="11"/>
  <c r="I94" i="11" s="1"/>
  <c r="J94" i="11" s="1"/>
  <c r="D94" i="11"/>
  <c r="G10" i="11"/>
  <c r="D10" i="11"/>
  <c r="Q13" i="11"/>
  <c r="I27" i="11"/>
  <c r="J11" i="11" l="1"/>
  <c r="J31" i="11"/>
  <c r="I15" i="11"/>
  <c r="R13" i="11"/>
  <c r="J27" i="11"/>
  <c r="S13" i="11" s="1"/>
  <c r="I63" i="11"/>
  <c r="Q21" i="11"/>
  <c r="H10" i="11"/>
  <c r="P99" i="11"/>
  <c r="I10" i="11" l="1"/>
  <c r="Q99" i="11"/>
  <c r="J63" i="11"/>
  <c r="S21" i="11" s="1"/>
  <c r="R21" i="11"/>
  <c r="C8" i="19"/>
  <c r="L11" i="19" s="1"/>
  <c r="C8" i="3"/>
  <c r="L11" i="3" s="1"/>
  <c r="J15" i="11"/>
  <c r="R99" i="11" l="1"/>
  <c r="S99" i="11"/>
  <c r="C16" i="19"/>
  <c r="Q11" i="19" s="1"/>
  <c r="C16" i="3"/>
  <c r="Q11" i="3" s="1"/>
  <c r="J10" i="11"/>
  <c r="D16" i="19" l="1"/>
  <c r="Q14" i="19" s="1"/>
  <c r="D16" i="3"/>
  <c r="Q14" i="3" s="1"/>
  <c r="D87" i="11"/>
  <c r="F16" i="11" l="1"/>
  <c r="G16" i="11" l="1"/>
  <c r="D16" i="11"/>
  <c r="H16" i="11" l="1"/>
  <c r="F119" i="11" l="1"/>
  <c r="I16" i="11"/>
  <c r="J16" i="11" l="1"/>
  <c r="Q9" i="17" l="1"/>
  <c r="Q15" i="17" s="1"/>
  <c r="D88" i="11" l="1"/>
  <c r="F14" i="11"/>
  <c r="G14" i="11" l="1"/>
  <c r="D14" i="11"/>
  <c r="H14" i="11" l="1"/>
  <c r="D103" i="11"/>
  <c r="H103" i="11"/>
  <c r="I103" i="11" s="1"/>
  <c r="J103" i="11" s="1"/>
  <c r="I14" i="11" l="1"/>
  <c r="J14" i="11" l="1"/>
  <c r="F30" i="11" l="1"/>
  <c r="D30" i="11" l="1"/>
  <c r="F61" i="11" l="1"/>
  <c r="D61" i="11" l="1"/>
  <c r="G61" i="11"/>
  <c r="O15" i="11"/>
  <c r="H61" i="11" l="1"/>
  <c r="P15" i="11"/>
  <c r="O92" i="11"/>
  <c r="P92" i="11" l="1"/>
  <c r="I61" i="11"/>
  <c r="Q15" i="11"/>
  <c r="Q92" i="11" l="1"/>
  <c r="J61" i="11"/>
  <c r="S15" i="11" s="1"/>
  <c r="R15" i="11"/>
  <c r="R92" i="11" l="1"/>
  <c r="C10" i="19"/>
  <c r="N11" i="19" s="1"/>
  <c r="C10" i="3"/>
  <c r="N11" i="3" s="1"/>
  <c r="S92" i="11"/>
  <c r="D10" i="3" l="1"/>
  <c r="N14" i="3" s="1"/>
  <c r="D10" i="19"/>
  <c r="N14" i="19" s="1"/>
  <c r="F59" i="11" l="1"/>
  <c r="G59" i="11" l="1"/>
  <c r="D59" i="11"/>
  <c r="O11" i="11"/>
  <c r="H59" i="11" l="1"/>
  <c r="P11" i="11"/>
  <c r="P88" i="11" s="1"/>
  <c r="O88" i="11"/>
  <c r="D104" i="11"/>
  <c r="H104" i="11"/>
  <c r="I104" i="11" s="1"/>
  <c r="J104" i="11" s="1"/>
  <c r="I59" i="11" l="1"/>
  <c r="Q11" i="11"/>
  <c r="J59" i="11" l="1"/>
  <c r="S11" i="11" s="1"/>
  <c r="R11" i="11"/>
  <c r="Q88" i="11"/>
  <c r="R88" i="11" l="1"/>
  <c r="C6" i="19"/>
  <c r="J11" i="19" s="1"/>
  <c r="C6" i="3"/>
  <c r="J11" i="3" s="1"/>
  <c r="S88" i="11"/>
  <c r="D6" i="19" l="1"/>
  <c r="J14" i="19" s="1"/>
  <c r="D6" i="3"/>
  <c r="J14" i="3" s="1"/>
  <c r="F62" i="11" l="1"/>
  <c r="D62" i="11" l="1"/>
  <c r="G62" i="11"/>
  <c r="H62" i="11" l="1"/>
  <c r="I62" i="11" l="1"/>
  <c r="J62" i="11" l="1"/>
  <c r="F58" i="11" l="1"/>
  <c r="G58" i="11" l="1"/>
  <c r="H58" i="11" s="1"/>
  <c r="I58" i="11" s="1"/>
  <c r="J58" i="11" s="1"/>
  <c r="D58" i="11"/>
  <c r="O12" i="11"/>
  <c r="Q12" i="11"/>
  <c r="R12" i="11"/>
  <c r="P12" i="11"/>
  <c r="S12" i="11"/>
  <c r="S89" i="11" l="1"/>
  <c r="C7" i="3"/>
  <c r="K11" i="3" s="1"/>
  <c r="C7" i="19"/>
  <c r="K11" i="19" s="1"/>
  <c r="P89" i="11"/>
  <c r="R89" i="11"/>
  <c r="Q89" i="11"/>
  <c r="O89" i="11"/>
  <c r="D7" i="3" l="1"/>
  <c r="K14" i="3" s="1"/>
  <c r="D7" i="19"/>
  <c r="K14" i="19" s="1"/>
  <c r="F60" i="11" l="1"/>
  <c r="O149" i="2"/>
  <c r="D60" i="11" l="1"/>
  <c r="G60" i="11"/>
  <c r="P16" i="11" s="1"/>
  <c r="P93" i="11" s="1"/>
  <c r="O16" i="11"/>
  <c r="O93" i="11" l="1"/>
  <c r="H60" i="11"/>
  <c r="I60" i="11" l="1"/>
  <c r="Q16" i="11"/>
  <c r="J60" i="11" l="1"/>
  <c r="S16" i="11" s="1"/>
  <c r="R16" i="11"/>
  <c r="Q93" i="11"/>
  <c r="R93" i="11" l="1"/>
  <c r="C11" i="19"/>
  <c r="O11" i="19" s="1"/>
  <c r="C11" i="3"/>
  <c r="O11" i="3" s="1"/>
  <c r="S93" i="11"/>
  <c r="D11" i="19" l="1"/>
  <c r="O14" i="19" s="1"/>
  <c r="D11" i="3"/>
  <c r="O14" i="3" s="1"/>
  <c r="H95" i="11" l="1"/>
  <c r="I95" i="11" s="1"/>
  <c r="J95" i="11" s="1"/>
  <c r="D95" i="11"/>
  <c r="F18" i="11"/>
  <c r="F56" i="11" l="1"/>
  <c r="G18" i="11"/>
  <c r="D18" i="11"/>
  <c r="H18" i="11" l="1"/>
  <c r="D93" i="11"/>
  <c r="H93" i="11"/>
  <c r="O9" i="11"/>
  <c r="D56" i="11"/>
  <c r="G56" i="11"/>
  <c r="H56" i="11" s="1"/>
  <c r="I56" i="11" s="1"/>
  <c r="J56" i="11" s="1"/>
  <c r="H96" i="11"/>
  <c r="I96" i="11" s="1"/>
  <c r="J96" i="11" s="1"/>
  <c r="D96" i="11"/>
  <c r="P9" i="11" l="1"/>
  <c r="P86" i="11" s="1"/>
  <c r="I93" i="11"/>
  <c r="O86" i="11"/>
  <c r="I18" i="11"/>
  <c r="Q9" i="11"/>
  <c r="Q86" i="11" l="1"/>
  <c r="J18" i="11"/>
  <c r="S9" i="11" s="1"/>
  <c r="R9" i="11"/>
  <c r="J93" i="11"/>
  <c r="S86" i="11" l="1"/>
  <c r="C4" i="19"/>
  <c r="H11" i="19" s="1"/>
  <c r="Z20" i="19" s="1"/>
  <c r="C4" i="3"/>
  <c r="H11" i="3" s="1"/>
  <c r="Z20" i="3" s="1"/>
  <c r="R86" i="11"/>
  <c r="D4" i="3" l="1"/>
  <c r="H14" i="3" s="1"/>
  <c r="AA20" i="3" s="1"/>
  <c r="D4" i="19"/>
  <c r="H14" i="19" s="1"/>
  <c r="AA20" i="19" s="1"/>
  <c r="F13" i="11"/>
  <c r="G13" i="11" l="1"/>
  <c r="D13" i="11"/>
  <c r="O14" i="11"/>
  <c r="O91" i="11" l="1"/>
  <c r="H13" i="11"/>
  <c r="P14" i="11"/>
  <c r="H98" i="11"/>
  <c r="D98" i="11"/>
  <c r="P91" i="11" l="1"/>
  <c r="I13" i="11"/>
  <c r="Q14" i="11"/>
  <c r="I98" i="11"/>
  <c r="J98" i="11" s="1"/>
  <c r="Q91" i="11" l="1"/>
  <c r="J13" i="11"/>
  <c r="S14" i="11" s="1"/>
  <c r="R14" i="11"/>
  <c r="C9" i="19" l="1"/>
  <c r="M11" i="19" s="1"/>
  <c r="C9" i="3"/>
  <c r="M11" i="3" s="1"/>
  <c r="S91" i="11"/>
  <c r="R91" i="11"/>
  <c r="D9" i="19" l="1"/>
  <c r="M14" i="19" s="1"/>
  <c r="D9" i="3"/>
  <c r="M14" i="3" s="1"/>
  <c r="I13" i="10" l="1"/>
  <c r="H14" i="12" s="1"/>
  <c r="P13" i="10"/>
  <c r="O14" i="12" s="1"/>
  <c r="P90" i="11" l="1"/>
  <c r="H97" i="11"/>
  <c r="D97" i="11"/>
  <c r="G119" i="11"/>
  <c r="Q22" i="17" l="1"/>
  <c r="D119" i="11"/>
  <c r="I97" i="11"/>
  <c r="Q90" i="11"/>
  <c r="H119" i="11"/>
  <c r="J97" i="11" l="1"/>
  <c r="R90" i="11"/>
  <c r="I119" i="11"/>
  <c r="S90" i="11" l="1"/>
  <c r="J119" i="11"/>
  <c r="D8" i="19" l="1"/>
  <c r="L14" i="19" s="1"/>
  <c r="D8" i="3"/>
  <c r="L14" i="3" s="1"/>
  <c r="F17" i="11" l="1"/>
  <c r="F79" i="11" s="1"/>
  <c r="O59" i="2" l="1"/>
  <c r="O160" i="2" s="1"/>
  <c r="O22" i="11"/>
  <c r="G17" i="11"/>
  <c r="D17" i="11"/>
  <c r="D79" i="11" s="1"/>
  <c r="B5" i="11" l="1"/>
  <c r="Q5" i="17"/>
  <c r="Q6" i="17" s="1"/>
  <c r="H17" i="11"/>
  <c r="G79" i="11"/>
  <c r="P22" i="11"/>
  <c r="O95" i="11"/>
  <c r="O100" i="11" s="1"/>
  <c r="O101" i="11" s="1"/>
  <c r="O23" i="11"/>
  <c r="P95" i="11" l="1"/>
  <c r="P23" i="11"/>
  <c r="Q22" i="11"/>
  <c r="I17" i="11"/>
  <c r="H79" i="11"/>
  <c r="P100" i="11" l="1"/>
  <c r="P101" i="11" s="1"/>
  <c r="J17" i="11"/>
  <c r="R22" i="11"/>
  <c r="I79" i="11"/>
  <c r="Q95" i="11"/>
  <c r="Q100" i="11" s="1"/>
  <c r="Q23" i="11"/>
  <c r="Q26" i="17"/>
  <c r="Q27" i="17" l="1"/>
  <c r="Q28" i="17"/>
  <c r="Q101" i="11"/>
  <c r="R23" i="11"/>
  <c r="R95" i="11"/>
  <c r="R100" i="11" s="1"/>
  <c r="J79" i="11"/>
  <c r="S22" i="11"/>
  <c r="C17" i="19" s="1"/>
  <c r="S11" i="19" l="1"/>
  <c r="V20" i="19" s="1"/>
  <c r="C18" i="19"/>
  <c r="C17" i="3"/>
  <c r="S95" i="11"/>
  <c r="S100" i="11" s="1"/>
  <c r="S23" i="11"/>
  <c r="R101" i="11"/>
  <c r="Q29" i="17"/>
  <c r="I25" i="19" l="1"/>
  <c r="T25" i="19" s="1"/>
  <c r="V11" i="19"/>
  <c r="D17" i="19"/>
  <c r="S14" i="19" s="1"/>
  <c r="X20" i="19" s="1"/>
  <c r="D17" i="3"/>
  <c r="S11" i="3"/>
  <c r="C18" i="3"/>
  <c r="Q30" i="17"/>
  <c r="S101" i="11"/>
  <c r="J25" i="19" l="1"/>
  <c r="U25" i="19" s="1"/>
  <c r="V14" i="19"/>
  <c r="D18" i="19"/>
  <c r="V11" i="3"/>
  <c r="V20" i="3"/>
  <c r="W20" i="3" s="1"/>
  <c r="I25" i="3"/>
  <c r="D18" i="3"/>
  <c r="S14" i="3"/>
  <c r="V14" i="3" l="1"/>
  <c r="J25" i="3"/>
  <c r="X20" i="3"/>
  <c r="Y20" i="3" s="1"/>
  <c r="T25" i="3"/>
  <c r="P21" i="10" s="1"/>
  <c r="F21" i="10"/>
  <c r="X11" i="3"/>
  <c r="G21" i="10" l="1"/>
  <c r="U25" i="3"/>
  <c r="Q21" i="10" s="1"/>
  <c r="X14" i="3"/>
  <c r="R21" i="10" l="1"/>
  <c r="T21" i="10"/>
  <c r="J21" i="10"/>
  <c r="H21" i="10"/>
  <c r="J6" i="19" l="1"/>
  <c r="J10" i="19" l="1"/>
  <c r="I6" i="21"/>
  <c r="I10" i="21" s="1"/>
  <c r="J13" i="19"/>
  <c r="J6" i="3"/>
  <c r="I6" i="13" l="1"/>
  <c r="I10" i="13" s="1"/>
  <c r="J13" i="3"/>
  <c r="J10" i="3"/>
  <c r="U6" i="3" l="1"/>
  <c r="U6" i="19" l="1"/>
  <c r="U10" i="19" s="1"/>
  <c r="T6" i="13"/>
  <c r="T10" i="13" s="1"/>
  <c r="U13" i="3"/>
  <c r="U10" i="3"/>
  <c r="T6" i="21" l="1"/>
  <c r="T10" i="21" s="1"/>
  <c r="U13" i="19"/>
  <c r="M6" i="19" l="1"/>
  <c r="M6" i="3" l="1"/>
  <c r="M10" i="3" s="1"/>
  <c r="L6" i="21"/>
  <c r="L10" i="21" s="1"/>
  <c r="M10" i="19"/>
  <c r="M13" i="19"/>
  <c r="L6" i="13" l="1"/>
  <c r="L10" i="13" s="1"/>
  <c r="M13" i="3"/>
  <c r="H6" i="19" l="1"/>
  <c r="H6" i="3"/>
  <c r="H10" i="3" l="1"/>
  <c r="G6" i="13"/>
  <c r="G10" i="13" s="1"/>
  <c r="H13" i="3"/>
  <c r="G6" i="21"/>
  <c r="G10" i="21" s="1"/>
  <c r="H10" i="19"/>
  <c r="H13" i="19"/>
  <c r="AA18" i="20" l="1"/>
  <c r="AA19" i="19"/>
  <c r="AA16" i="20"/>
  <c r="Z19" i="19"/>
  <c r="W20" i="21"/>
  <c r="AA18" i="4"/>
  <c r="AA19" i="3"/>
  <c r="W20" i="13"/>
  <c r="X20" i="13" s="1"/>
  <c r="AA16" i="4"/>
  <c r="Z19" i="3"/>
  <c r="AA9" i="22" l="1"/>
  <c r="AA9" i="14"/>
  <c r="AA14" i="22" l="1"/>
  <c r="AA14" i="14"/>
  <c r="I12" i="10" l="1"/>
  <c r="P12" i="10"/>
  <c r="O13" i="12" l="1"/>
  <c r="N44" i="10"/>
  <c r="N27" i="10"/>
  <c r="N46" i="10"/>
  <c r="N62" i="10"/>
  <c r="N63" i="10"/>
  <c r="N64" i="10"/>
  <c r="N26" i="10"/>
  <c r="O44" i="10"/>
  <c r="N45" i="10"/>
  <c r="N28" i="10"/>
  <c r="O26" i="10"/>
  <c r="O62" i="10"/>
  <c r="D64" i="10"/>
  <c r="E44" i="10"/>
  <c r="D28" i="10"/>
  <c r="D26" i="10"/>
  <c r="D45" i="10"/>
  <c r="E26" i="10"/>
  <c r="E62" i="10"/>
  <c r="D44" i="10"/>
  <c r="D63" i="10"/>
  <c r="D27" i="10"/>
  <c r="D62" i="10"/>
  <c r="H13" i="12"/>
  <c r="D46" i="10" l="1"/>
  <c r="D36" i="12"/>
  <c r="D55" i="12"/>
  <c r="E71" i="12"/>
  <c r="E53" i="12"/>
  <c r="D72" i="12"/>
  <c r="D35" i="12"/>
  <c r="D37" i="12"/>
  <c r="D71" i="12"/>
  <c r="E35" i="12"/>
  <c r="D54" i="12"/>
  <c r="D73" i="12"/>
  <c r="D53" i="12"/>
  <c r="N35" i="12"/>
  <c r="N53" i="12"/>
  <c r="M36" i="12"/>
  <c r="M37" i="12"/>
  <c r="N71" i="12"/>
  <c r="M54" i="12"/>
  <c r="M73" i="12"/>
  <c r="M55" i="12"/>
  <c r="M35" i="12"/>
  <c r="M72" i="12"/>
  <c r="M53" i="12"/>
  <c r="M71" i="12"/>
  <c r="L6" i="19" l="1"/>
  <c r="K6" i="21" l="1"/>
  <c r="K10" i="21" s="1"/>
  <c r="L10" i="19"/>
  <c r="L13" i="19"/>
  <c r="L6" i="3"/>
  <c r="L13" i="3" l="1"/>
  <c r="K6" i="13"/>
  <c r="K10" i="13" s="1"/>
  <c r="L10" i="3"/>
  <c r="R6" i="3" l="1"/>
  <c r="R10" i="3" s="1"/>
  <c r="T6" i="3"/>
  <c r="S6" i="13" s="1"/>
  <c r="S10" i="13" s="1"/>
  <c r="R13" i="3" l="1"/>
  <c r="Q6" i="13"/>
  <c r="Q10" i="13" s="1"/>
  <c r="T13" i="3"/>
  <c r="T10" i="3"/>
  <c r="R6" i="19"/>
  <c r="R10" i="19" s="1"/>
  <c r="T6" i="19"/>
  <c r="T13" i="19" s="1"/>
  <c r="R13" i="19" l="1"/>
  <c r="Q6" i="21"/>
  <c r="Q10" i="21" s="1"/>
  <c r="T10" i="19"/>
  <c r="S6" i="21"/>
  <c r="S10" i="21" s="1"/>
  <c r="S6" i="3" l="1"/>
  <c r="R6" i="13" s="1"/>
  <c r="R10" i="13" s="1"/>
  <c r="S10" i="3" l="1"/>
  <c r="S13" i="3"/>
  <c r="S6" i="19"/>
  <c r="S13" i="19" s="1"/>
  <c r="R6" i="21" l="1"/>
  <c r="R10" i="21" s="1"/>
  <c r="S10" i="19"/>
  <c r="N34" i="22" l="1"/>
  <c r="N35" i="22"/>
  <c r="N37" i="22" l="1"/>
  <c r="N36" i="22"/>
  <c r="O6" i="19" l="1"/>
  <c r="N6" i="21" s="1"/>
  <c r="N10" i="21" s="1"/>
  <c r="O6" i="3"/>
  <c r="O13" i="3" s="1"/>
  <c r="O10" i="3" l="1"/>
  <c r="N6" i="13"/>
  <c r="N10" i="13" s="1"/>
  <c r="O13" i="19"/>
  <c r="O10" i="19"/>
  <c r="Q9" i="14" l="1"/>
  <c r="D32" i="4"/>
  <c r="D32" i="14" s="1"/>
  <c r="R9" i="4"/>
  <c r="R9" i="14" s="1"/>
  <c r="R8" i="4"/>
  <c r="R8" i="14" s="1"/>
  <c r="D34" i="4"/>
  <c r="Q8" i="14"/>
  <c r="R10" i="4"/>
  <c r="R10" i="14" s="1"/>
  <c r="D35" i="4"/>
  <c r="D35" i="14" s="1"/>
  <c r="Q10" i="14"/>
  <c r="D31" i="4" l="1"/>
  <c r="Q7" i="14"/>
  <c r="R7" i="4"/>
  <c r="R7" i="14" s="1"/>
  <c r="Q11" i="14"/>
  <c r="R11" i="4"/>
  <c r="R11" i="14" s="1"/>
  <c r="F94" i="4"/>
  <c r="Q95" i="4"/>
  <c r="F73" i="4"/>
  <c r="Q53" i="4"/>
  <c r="F93" i="4"/>
  <c r="F95" i="4"/>
  <c r="F56" i="4"/>
  <c r="F55" i="4"/>
  <c r="Q94" i="4"/>
  <c r="Q54" i="4"/>
  <c r="Q74" i="4"/>
  <c r="D34" i="14"/>
  <c r="F53" i="4"/>
  <c r="Q76" i="4"/>
  <c r="F96" i="4"/>
  <c r="Q56" i="4"/>
  <c r="Q96" i="4"/>
  <c r="Q73" i="4"/>
  <c r="Q55" i="4"/>
  <c r="F74" i="4"/>
  <c r="F76" i="4"/>
  <c r="F75" i="4"/>
  <c r="Q75" i="4"/>
  <c r="F54" i="4"/>
  <c r="Q93" i="4"/>
  <c r="R12" i="4"/>
  <c r="R12" i="14" s="1"/>
  <c r="Q12" i="14"/>
  <c r="F97" i="4" l="1"/>
  <c r="E75" i="10" s="1"/>
  <c r="E76" i="10" s="1"/>
  <c r="Q77" i="4"/>
  <c r="O57" i="10" s="1"/>
  <c r="O58" i="10" s="1"/>
  <c r="Q97" i="4"/>
  <c r="O75" i="10" s="1"/>
  <c r="O76" i="10" s="1"/>
  <c r="Q57" i="4"/>
  <c r="O39" i="10" s="1"/>
  <c r="O40" i="10" s="1"/>
  <c r="F77" i="4"/>
  <c r="E57" i="10" s="1"/>
  <c r="E58" i="10" s="1"/>
  <c r="F57" i="4"/>
  <c r="E39" i="10" s="1"/>
  <c r="E40" i="10" s="1"/>
  <c r="F95" i="14"/>
  <c r="F54" i="14"/>
  <c r="O73" i="14"/>
  <c r="F94" i="14"/>
  <c r="O53" i="14"/>
  <c r="O93" i="14"/>
  <c r="O96" i="14"/>
  <c r="F74" i="14"/>
  <c r="F73" i="14"/>
  <c r="F53" i="14"/>
  <c r="F57" i="14" s="1"/>
  <c r="E48" i="12" s="1"/>
  <c r="E49" i="12" s="1"/>
  <c r="O94" i="14"/>
  <c r="F93" i="14"/>
  <c r="F97" i="14" s="1"/>
  <c r="E84" i="12" s="1"/>
  <c r="E85" i="12" s="1"/>
  <c r="O56" i="14"/>
  <c r="O55" i="14"/>
  <c r="O95" i="14"/>
  <c r="F76" i="14"/>
  <c r="O75" i="14"/>
  <c r="F55" i="14"/>
  <c r="F56" i="14"/>
  <c r="F75" i="14"/>
  <c r="O54" i="14"/>
  <c r="O76" i="14"/>
  <c r="O74" i="14"/>
  <c r="F96" i="14"/>
  <c r="P55" i="4"/>
  <c r="P76" i="4"/>
  <c r="E76" i="4"/>
  <c r="D31" i="14"/>
  <c r="E56" i="4"/>
  <c r="P75" i="4"/>
  <c r="P96" i="4"/>
  <c r="E74" i="4"/>
  <c r="P74" i="4"/>
  <c r="P53" i="4"/>
  <c r="P54" i="4"/>
  <c r="P73" i="4"/>
  <c r="E54" i="4"/>
  <c r="E94" i="4"/>
  <c r="E96" i="4"/>
  <c r="E93" i="4"/>
  <c r="E73" i="4"/>
  <c r="E55" i="4"/>
  <c r="P94" i="4"/>
  <c r="E75" i="4"/>
  <c r="P95" i="4"/>
  <c r="E95" i="4"/>
  <c r="P56" i="4"/>
  <c r="E53" i="4"/>
  <c r="P93" i="4"/>
  <c r="E97" i="4" l="1"/>
  <c r="E69" i="10" s="1"/>
  <c r="E63" i="10" s="1"/>
  <c r="E53" i="14"/>
  <c r="N54" i="14"/>
  <c r="N53" i="14"/>
  <c r="E93" i="14"/>
  <c r="N76" i="14"/>
  <c r="E54" i="14"/>
  <c r="E75" i="14"/>
  <c r="E74" i="14"/>
  <c r="E95" i="14"/>
  <c r="N93" i="14"/>
  <c r="E76" i="14"/>
  <c r="E96" i="14"/>
  <c r="N74" i="14"/>
  <c r="N75" i="14"/>
  <c r="N94" i="14"/>
  <c r="E73" i="14"/>
  <c r="E77" i="14" s="1"/>
  <c r="E60" i="12" s="1"/>
  <c r="E94" i="14"/>
  <c r="N96" i="14"/>
  <c r="N55" i="14"/>
  <c r="N73" i="14"/>
  <c r="N56" i="14"/>
  <c r="E55" i="14"/>
  <c r="N95" i="14"/>
  <c r="E56" i="14"/>
  <c r="E77" i="4"/>
  <c r="E51" i="10" s="1"/>
  <c r="F77" i="14"/>
  <c r="E66" i="12" s="1"/>
  <c r="E67" i="12" s="1"/>
  <c r="O97" i="14"/>
  <c r="N84" i="12" s="1"/>
  <c r="N85" i="12" s="1"/>
  <c r="O57" i="14"/>
  <c r="N48" i="12" s="1"/>
  <c r="N49" i="12" s="1"/>
  <c r="P77" i="4"/>
  <c r="O51" i="10" s="1"/>
  <c r="O77" i="14"/>
  <c r="N66" i="12" s="1"/>
  <c r="N67" i="12" s="1"/>
  <c r="P57" i="4"/>
  <c r="O33" i="10" s="1"/>
  <c r="P97" i="4"/>
  <c r="O69" i="10" s="1"/>
  <c r="E57" i="4"/>
  <c r="E33" i="10" s="1"/>
  <c r="E70" i="10" l="1"/>
  <c r="E64" i="10" s="1"/>
  <c r="E54" i="12"/>
  <c r="E61" i="12"/>
  <c r="E55" i="12" s="1"/>
  <c r="O45" i="10"/>
  <c r="O52" i="10"/>
  <c r="O46" i="10" s="1"/>
  <c r="N97" i="14"/>
  <c r="N78" i="12" s="1"/>
  <c r="E52" i="10"/>
  <c r="E45" i="10"/>
  <c r="E46" i="10" s="1"/>
  <c r="N77" i="14"/>
  <c r="N60" i="12" s="1"/>
  <c r="E97" i="14"/>
  <c r="E78" i="12" s="1"/>
  <c r="E27" i="10"/>
  <c r="E34" i="10"/>
  <c r="E28" i="10" s="1"/>
  <c r="N57" i="14"/>
  <c r="N42" i="12" s="1"/>
  <c r="O70" i="10"/>
  <c r="O64" i="10" s="1"/>
  <c r="O63" i="10"/>
  <c r="O27" i="10"/>
  <c r="O34" i="10"/>
  <c r="O28" i="10" s="1"/>
  <c r="E57" i="14"/>
  <c r="E42" i="12" s="1"/>
  <c r="N36" i="12" l="1"/>
  <c r="N43" i="12"/>
  <c r="N37" i="12" s="1"/>
  <c r="E72" i="12"/>
  <c r="E79" i="12"/>
  <c r="E73" i="12" s="1"/>
  <c r="N54" i="12"/>
  <c r="N61" i="12"/>
  <c r="N55" i="12" s="1"/>
  <c r="N79" i="12"/>
  <c r="N73" i="12" s="1"/>
  <c r="N72" i="12"/>
  <c r="E43" i="12"/>
  <c r="E37" i="12" s="1"/>
  <c r="E36" i="12"/>
  <c r="N6" i="19" l="1"/>
  <c r="N13" i="19" s="1"/>
  <c r="N6" i="3"/>
  <c r="M6" i="13" s="1"/>
  <c r="M10" i="13" s="1"/>
  <c r="N13" i="3" l="1"/>
  <c r="N10" i="3"/>
  <c r="N10" i="19"/>
  <c r="M6" i="21"/>
  <c r="M10" i="21" s="1"/>
  <c r="G13" i="20" l="1"/>
  <c r="F13" i="22"/>
  <c r="D25" i="20"/>
  <c r="D25" i="22" s="1"/>
  <c r="D23" i="20"/>
  <c r="D23" i="22" s="1"/>
  <c r="G9" i="20"/>
  <c r="F9" i="22"/>
  <c r="G9" i="22" l="1"/>
  <c r="G7" i="20"/>
  <c r="D22" i="20"/>
  <c r="F7" i="22"/>
  <c r="G13" i="22"/>
  <c r="G11" i="20"/>
  <c r="F11" i="22"/>
  <c r="D24" i="20"/>
  <c r="Z8" i="22" l="1"/>
  <c r="F38" i="20"/>
  <c r="E95" i="10" s="1"/>
  <c r="F37" i="20"/>
  <c r="E94" i="10" s="1"/>
  <c r="F36" i="20"/>
  <c r="D24" i="22"/>
  <c r="G11" i="22"/>
  <c r="G7" i="22"/>
  <c r="E37" i="20"/>
  <c r="E88" i="10" s="1"/>
  <c r="D22" i="22"/>
  <c r="E36" i="20"/>
  <c r="E38" i="20"/>
  <c r="E89" i="10" s="1"/>
  <c r="E82" i="10" l="1"/>
  <c r="E83" i="10"/>
  <c r="Z13" i="22"/>
  <c r="E39" i="20"/>
  <c r="E87" i="10"/>
  <c r="E37" i="22"/>
  <c r="E97" i="12" s="1"/>
  <c r="E38" i="22"/>
  <c r="E98" i="12" s="1"/>
  <c r="E36" i="22"/>
  <c r="F37" i="22"/>
  <c r="E103" i="12" s="1"/>
  <c r="F38" i="22"/>
  <c r="E104" i="12" s="1"/>
  <c r="F36" i="22"/>
  <c r="E93" i="10"/>
  <c r="F39" i="20"/>
  <c r="E91" i="12" l="1"/>
  <c r="E102" i="12"/>
  <c r="F39" i="22"/>
  <c r="E39" i="22"/>
  <c r="E96" i="12"/>
  <c r="E90" i="12" s="1"/>
  <c r="E92" i="12"/>
  <c r="E81" i="10"/>
  <c r="Z8" i="14" l="1"/>
  <c r="Q6" i="19"/>
  <c r="Q13" i="19" s="1"/>
  <c r="Q10" i="19" l="1"/>
  <c r="P6" i="21"/>
  <c r="P10" i="21" s="1"/>
  <c r="Q6" i="3"/>
  <c r="Q13" i="3"/>
  <c r="P6" i="13"/>
  <c r="P10" i="13" s="1"/>
  <c r="Q10" i="3"/>
  <c r="Z13" i="14"/>
  <c r="AA9" i="4" l="1"/>
  <c r="AA10" i="4" s="1"/>
  <c r="AA8" i="14"/>
  <c r="AA10" i="14" s="1"/>
  <c r="AA11" i="4"/>
  <c r="AA12" i="4" s="1"/>
  <c r="Y8" i="14" l="1"/>
  <c r="AA8" i="22"/>
  <c r="AA10" i="22" s="1"/>
  <c r="AA11" i="20"/>
  <c r="AA12" i="20" s="1"/>
  <c r="AA9" i="20"/>
  <c r="AA10" i="20" s="1"/>
  <c r="Y8" i="22" l="1"/>
  <c r="AA17" i="4"/>
  <c r="AA19" i="4"/>
  <c r="AA13" i="14"/>
  <c r="Y15" i="4"/>
  <c r="AC12" i="22" l="1"/>
  <c r="E19" i="10"/>
  <c r="E28" i="12" s="1"/>
  <c r="G29" i="13"/>
  <c r="AA15" i="14"/>
  <c r="Y13" i="14"/>
  <c r="O19" i="10" l="1"/>
  <c r="N28" i="12" s="1"/>
  <c r="Q29" i="13"/>
  <c r="E20" i="10"/>
  <c r="E29" i="12" s="1"/>
  <c r="G29" i="21"/>
  <c r="AA17" i="20"/>
  <c r="AA19" i="20"/>
  <c r="AA13" i="22"/>
  <c r="Y15" i="20"/>
  <c r="AA15" i="22" l="1"/>
  <c r="Y13" i="22"/>
  <c r="Q29" i="21"/>
  <c r="O20" i="10"/>
  <c r="N29" i="12" s="1"/>
  <c r="K6" i="19" l="1"/>
  <c r="K10" i="19" s="1"/>
  <c r="K6" i="3"/>
  <c r="K10" i="3" s="1"/>
  <c r="J6" i="21" l="1"/>
  <c r="J10" i="21" s="1"/>
  <c r="K13" i="19"/>
  <c r="J24" i="19" s="1"/>
  <c r="J6" i="13"/>
  <c r="J10" i="13" s="1"/>
  <c r="U10" i="13" s="1"/>
  <c r="K13" i="3"/>
  <c r="J24" i="3" s="1"/>
  <c r="U20" i="13"/>
  <c r="V20" i="13" s="1"/>
  <c r="H29" i="13"/>
  <c r="Z18" i="4"/>
  <c r="Z16" i="4"/>
  <c r="V19" i="3"/>
  <c r="W19" i="3" s="1"/>
  <c r="I24" i="3"/>
  <c r="V10" i="3"/>
  <c r="X10" i="3" s="1"/>
  <c r="U20" i="21"/>
  <c r="U10" i="21"/>
  <c r="H29" i="21"/>
  <c r="Z16" i="20"/>
  <c r="V10" i="19"/>
  <c r="V19" i="19"/>
  <c r="I24" i="19"/>
  <c r="X19" i="19" l="1"/>
  <c r="V13" i="19"/>
  <c r="Z18" i="20"/>
  <c r="X19" i="3"/>
  <c r="Y19" i="3" s="1"/>
  <c r="Z11" i="4" s="1"/>
  <c r="Z12" i="4" s="1"/>
  <c r="V13" i="3"/>
  <c r="X13" i="3" s="1"/>
  <c r="Y11" i="20"/>
  <c r="Y12" i="20" s="1"/>
  <c r="Z11" i="20"/>
  <c r="Z12" i="20" s="1"/>
  <c r="I29" i="21"/>
  <c r="R29" i="21"/>
  <c r="F29" i="12"/>
  <c r="Y9" i="22"/>
  <c r="Y10" i="22" s="1"/>
  <c r="Z9" i="22"/>
  <c r="T24" i="3"/>
  <c r="F19" i="10"/>
  <c r="K24" i="3"/>
  <c r="Z9" i="4"/>
  <c r="Z10" i="4" s="1"/>
  <c r="Y9" i="4"/>
  <c r="Y10" i="4" s="1"/>
  <c r="Y16" i="4"/>
  <c r="Y17" i="4" s="1"/>
  <c r="AD16" i="4" s="1"/>
  <c r="Z17" i="4"/>
  <c r="T24" i="19"/>
  <c r="F20" i="10"/>
  <c r="K24" i="19"/>
  <c r="Z9" i="20"/>
  <c r="Z10" i="20" s="1"/>
  <c r="Y9" i="20"/>
  <c r="Y10" i="20" s="1"/>
  <c r="Z19" i="4"/>
  <c r="Y18" i="4"/>
  <c r="Y19" i="4" s="1"/>
  <c r="AE16" i="4" s="1"/>
  <c r="U24" i="3"/>
  <c r="L24" i="3"/>
  <c r="G19" i="10"/>
  <c r="Y16" i="20"/>
  <c r="Y17" i="20" s="1"/>
  <c r="AD16" i="20" s="1"/>
  <c r="Z17" i="20"/>
  <c r="R29" i="13"/>
  <c r="I29" i="13"/>
  <c r="F28" i="12"/>
  <c r="Y18" i="20"/>
  <c r="Y19" i="20" s="1"/>
  <c r="AE16" i="20" s="1"/>
  <c r="Z19" i="20"/>
  <c r="G20" i="10"/>
  <c r="U24" i="19"/>
  <c r="L24" i="19"/>
  <c r="Y9" i="14"/>
  <c r="Y10" i="14" s="1"/>
  <c r="Z9" i="14"/>
  <c r="Y11" i="4" l="1"/>
  <c r="Y12" i="4" s="1"/>
  <c r="H9" i="20"/>
  <c r="H13" i="20"/>
  <c r="H7" i="20"/>
  <c r="H11" i="20"/>
  <c r="J19" i="10"/>
  <c r="H19" i="10"/>
  <c r="I19" i="10"/>
  <c r="J11" i="4"/>
  <c r="J10" i="4"/>
  <c r="J12" i="4"/>
  <c r="J7" i="4"/>
  <c r="J8" i="4"/>
  <c r="J9" i="4"/>
  <c r="J9" i="20"/>
  <c r="J13" i="20"/>
  <c r="J7" i="20"/>
  <c r="J11" i="20"/>
  <c r="H28" i="12"/>
  <c r="G28" i="12"/>
  <c r="O28" i="12"/>
  <c r="S29" i="13"/>
  <c r="H9" i="4"/>
  <c r="H7" i="4"/>
  <c r="H8" i="4"/>
  <c r="H11" i="4"/>
  <c r="H10" i="4"/>
  <c r="H12" i="4"/>
  <c r="W24" i="3"/>
  <c r="Q19" i="10"/>
  <c r="V24" i="3"/>
  <c r="P19" i="10"/>
  <c r="Z14" i="22"/>
  <c r="Z10" i="22"/>
  <c r="Z14" i="14"/>
  <c r="Z10" i="14"/>
  <c r="H29" i="12"/>
  <c r="G29" i="12"/>
  <c r="S29" i="21"/>
  <c r="O29" i="12"/>
  <c r="W24" i="19"/>
  <c r="Q20" i="10"/>
  <c r="I20" i="10"/>
  <c r="J20" i="10"/>
  <c r="H20" i="10"/>
  <c r="V24" i="19"/>
  <c r="P20" i="10"/>
  <c r="S19" i="10" l="1"/>
  <c r="T19" i="10"/>
  <c r="R19" i="10"/>
  <c r="F25" i="20"/>
  <c r="K13" i="20"/>
  <c r="K9" i="20"/>
  <c r="F23" i="20"/>
  <c r="U9" i="4"/>
  <c r="F23" i="4"/>
  <c r="K9" i="4"/>
  <c r="U8" i="4"/>
  <c r="K8" i="4"/>
  <c r="F25" i="4"/>
  <c r="U7" i="4"/>
  <c r="K7" i="4"/>
  <c r="F22" i="4"/>
  <c r="S12" i="4"/>
  <c r="T12" i="4" s="1"/>
  <c r="I12" i="4"/>
  <c r="E26" i="4"/>
  <c r="I10" i="4"/>
  <c r="S10" i="4"/>
  <c r="K12" i="4"/>
  <c r="U12" i="4"/>
  <c r="V12" i="4" s="1"/>
  <c r="U10" i="4"/>
  <c r="F26" i="4"/>
  <c r="K10" i="4"/>
  <c r="R20" i="10"/>
  <c r="S20" i="10"/>
  <c r="T20" i="10"/>
  <c r="I11" i="4"/>
  <c r="S11" i="4"/>
  <c r="T11" i="4" s="1"/>
  <c r="S8" i="4"/>
  <c r="I8" i="4"/>
  <c r="E25" i="4"/>
  <c r="K11" i="4"/>
  <c r="U11" i="4"/>
  <c r="V11" i="4" s="1"/>
  <c r="P29" i="12"/>
  <c r="Q29" i="12"/>
  <c r="I7" i="4"/>
  <c r="E22" i="4"/>
  <c r="S7" i="4"/>
  <c r="E23" i="4"/>
  <c r="S9" i="4"/>
  <c r="I9" i="4"/>
  <c r="P28" i="12"/>
  <c r="Q28" i="12"/>
  <c r="I11" i="20"/>
  <c r="E24" i="20"/>
  <c r="Z15" i="14"/>
  <c r="Y14" i="14"/>
  <c r="I7" i="20"/>
  <c r="E22" i="20"/>
  <c r="K11" i="20"/>
  <c r="F24" i="20"/>
  <c r="I13" i="20"/>
  <c r="E25" i="20"/>
  <c r="Z15" i="22"/>
  <c r="Y14" i="22"/>
  <c r="F22" i="20"/>
  <c r="K7" i="20"/>
  <c r="I9" i="20"/>
  <c r="E23" i="20"/>
  <c r="H38" i="20" l="1"/>
  <c r="F95" i="10" s="1"/>
  <c r="H37" i="20"/>
  <c r="F94" i="10" s="1"/>
  <c r="H36" i="20"/>
  <c r="T8" i="4"/>
  <c r="E34" i="4"/>
  <c r="T86" i="4"/>
  <c r="T84" i="4"/>
  <c r="I44" i="4"/>
  <c r="I43" i="4"/>
  <c r="I66" i="4"/>
  <c r="I84" i="4"/>
  <c r="T66" i="4"/>
  <c r="T85" i="4"/>
  <c r="I64" i="4"/>
  <c r="I85" i="4"/>
  <c r="I86" i="4"/>
  <c r="T83" i="4"/>
  <c r="I83" i="4"/>
  <c r="I45" i="4"/>
  <c r="T43" i="4"/>
  <c r="I46" i="4"/>
  <c r="T64" i="4"/>
  <c r="T46" i="4"/>
  <c r="T63" i="4"/>
  <c r="I65" i="4"/>
  <c r="I63" i="4"/>
  <c r="T65" i="4"/>
  <c r="T45" i="4"/>
  <c r="T44" i="4"/>
  <c r="F31" i="4"/>
  <c r="V7" i="4"/>
  <c r="U46" i="4"/>
  <c r="J44" i="4"/>
  <c r="U64" i="4"/>
  <c r="J85" i="4"/>
  <c r="J83" i="4"/>
  <c r="U66" i="4"/>
  <c r="J45" i="4"/>
  <c r="J43" i="4"/>
  <c r="J65" i="4"/>
  <c r="J86" i="4"/>
  <c r="U65" i="4"/>
  <c r="J66" i="4"/>
  <c r="U43" i="4"/>
  <c r="U63" i="4"/>
  <c r="J46" i="4"/>
  <c r="U45" i="4"/>
  <c r="J84" i="4"/>
  <c r="U84" i="4"/>
  <c r="U83" i="4"/>
  <c r="U44" i="4"/>
  <c r="U85" i="4"/>
  <c r="U86" i="4"/>
  <c r="J64" i="4"/>
  <c r="J63" i="4"/>
  <c r="I36" i="20"/>
  <c r="I37" i="20"/>
  <c r="G88" i="10" s="1"/>
  <c r="I38" i="20"/>
  <c r="G89" i="10" s="1"/>
  <c r="E32" i="4"/>
  <c r="T9" i="4"/>
  <c r="V8" i="4"/>
  <c r="F34" i="4"/>
  <c r="AD12" i="22"/>
  <c r="Y15" i="22"/>
  <c r="T7" i="4"/>
  <c r="E31" i="4"/>
  <c r="R86" i="4"/>
  <c r="R45" i="4"/>
  <c r="R84" i="4"/>
  <c r="R43" i="4"/>
  <c r="G86" i="4"/>
  <c r="G45" i="4"/>
  <c r="R46" i="4"/>
  <c r="G63" i="4"/>
  <c r="G85" i="4"/>
  <c r="G43" i="4"/>
  <c r="G84" i="4"/>
  <c r="G44" i="4"/>
  <c r="R63" i="4"/>
  <c r="G83" i="4"/>
  <c r="R66" i="4"/>
  <c r="G46" i="4"/>
  <c r="R83" i="4"/>
  <c r="G64" i="4"/>
  <c r="G65" i="4"/>
  <c r="R65" i="4"/>
  <c r="R64" i="4"/>
  <c r="R44" i="4"/>
  <c r="G66" i="4"/>
  <c r="R85" i="4"/>
  <c r="V10" i="4"/>
  <c r="F35" i="4"/>
  <c r="F32" i="4"/>
  <c r="V9" i="4"/>
  <c r="E35" i="4"/>
  <c r="T10" i="4"/>
  <c r="G37" i="20"/>
  <c r="F88" i="10" s="1"/>
  <c r="F82" i="10" s="1"/>
  <c r="G36" i="20"/>
  <c r="G38" i="20"/>
  <c r="F89" i="10" s="1"/>
  <c r="F83" i="10" s="1"/>
  <c r="AD12" i="14"/>
  <c r="H7" i="14" s="1"/>
  <c r="Y15" i="14"/>
  <c r="S45" i="4"/>
  <c r="S66" i="4"/>
  <c r="H84" i="4"/>
  <c r="H66" i="4"/>
  <c r="H44" i="4"/>
  <c r="H43" i="4"/>
  <c r="S64" i="4"/>
  <c r="S63" i="4"/>
  <c r="S43" i="4"/>
  <c r="S84" i="4"/>
  <c r="S65" i="4"/>
  <c r="H64" i="4"/>
  <c r="S86" i="4"/>
  <c r="S83" i="4"/>
  <c r="H83" i="4"/>
  <c r="S85" i="4"/>
  <c r="H63" i="4"/>
  <c r="S44" i="4"/>
  <c r="H85" i="4"/>
  <c r="S46" i="4"/>
  <c r="H45" i="4"/>
  <c r="H46" i="4"/>
  <c r="H65" i="4"/>
  <c r="H86" i="4"/>
  <c r="J37" i="20"/>
  <c r="G94" i="10" s="1"/>
  <c r="J38" i="20"/>
  <c r="G95" i="10" s="1"/>
  <c r="J36" i="20"/>
  <c r="S47" i="4" l="1"/>
  <c r="P38" i="10" s="1"/>
  <c r="I47" i="4"/>
  <c r="G32" i="10" s="1"/>
  <c r="H32" i="10" s="1"/>
  <c r="J67" i="4"/>
  <c r="G56" i="10" s="1"/>
  <c r="H56" i="10" s="1"/>
  <c r="H9" i="22"/>
  <c r="H13" i="22"/>
  <c r="H11" i="22"/>
  <c r="H7" i="22"/>
  <c r="G47" i="4"/>
  <c r="F32" i="10" s="1"/>
  <c r="U54" i="4"/>
  <c r="J95" i="4"/>
  <c r="U95" i="4"/>
  <c r="U74" i="4"/>
  <c r="J54" i="4"/>
  <c r="J56" i="4"/>
  <c r="U56" i="4"/>
  <c r="J55" i="4"/>
  <c r="U55" i="4"/>
  <c r="U94" i="4"/>
  <c r="U93" i="4"/>
  <c r="J93" i="4"/>
  <c r="J75" i="4"/>
  <c r="J76" i="4"/>
  <c r="J73" i="4"/>
  <c r="U75" i="4"/>
  <c r="U53" i="4"/>
  <c r="J94" i="4"/>
  <c r="J96" i="4"/>
  <c r="J53" i="4"/>
  <c r="U96" i="4"/>
  <c r="U76" i="4"/>
  <c r="U73" i="4"/>
  <c r="J74" i="4"/>
  <c r="T95" i="4"/>
  <c r="I56" i="4"/>
  <c r="I75" i="4"/>
  <c r="T53" i="4"/>
  <c r="I93" i="4"/>
  <c r="I95" i="4"/>
  <c r="T74" i="4"/>
  <c r="T55" i="4"/>
  <c r="T93" i="4"/>
  <c r="T73" i="4"/>
  <c r="I55" i="4"/>
  <c r="T76" i="4"/>
  <c r="I53" i="4"/>
  <c r="I73" i="4"/>
  <c r="I94" i="4"/>
  <c r="T56" i="4"/>
  <c r="T96" i="4"/>
  <c r="T94" i="4"/>
  <c r="I96" i="4"/>
  <c r="I76" i="4"/>
  <c r="T54" i="4"/>
  <c r="I54" i="4"/>
  <c r="I74" i="4"/>
  <c r="T75" i="4"/>
  <c r="S67" i="4"/>
  <c r="P56" i="10" s="1"/>
  <c r="H47" i="4"/>
  <c r="F38" i="10" s="1"/>
  <c r="U67" i="4"/>
  <c r="Q56" i="10" s="1"/>
  <c r="G67" i="4"/>
  <c r="F50" i="10" s="1"/>
  <c r="U47" i="4"/>
  <c r="Q38" i="10" s="1"/>
  <c r="G83" i="10"/>
  <c r="I89" i="10"/>
  <c r="H89" i="10"/>
  <c r="J89" i="10"/>
  <c r="I67" i="4"/>
  <c r="G50" i="10" s="1"/>
  <c r="J88" i="10"/>
  <c r="H88" i="10"/>
  <c r="G82" i="10"/>
  <c r="I88" i="10"/>
  <c r="H67" i="4"/>
  <c r="F56" i="10" s="1"/>
  <c r="R47" i="4"/>
  <c r="P32" i="10" s="1"/>
  <c r="G87" i="10"/>
  <c r="I39" i="20"/>
  <c r="T67" i="4"/>
  <c r="Q50" i="10" s="1"/>
  <c r="J47" i="4"/>
  <c r="G38" i="10" s="1"/>
  <c r="H87" i="4"/>
  <c r="F74" i="10" s="1"/>
  <c r="S7" i="14"/>
  <c r="H11" i="14"/>
  <c r="H9" i="14"/>
  <c r="E22" i="14"/>
  <c r="H8" i="14"/>
  <c r="I7" i="14"/>
  <c r="I94" i="10"/>
  <c r="H94" i="10"/>
  <c r="J94" i="10"/>
  <c r="S87" i="4"/>
  <c r="P74" i="10" s="1"/>
  <c r="R87" i="4"/>
  <c r="P68" i="10" s="1"/>
  <c r="S95" i="4"/>
  <c r="H54" i="4"/>
  <c r="S56" i="4"/>
  <c r="S53" i="4"/>
  <c r="S94" i="4"/>
  <c r="H75" i="4"/>
  <c r="H95" i="4"/>
  <c r="S73" i="4"/>
  <c r="H93" i="4"/>
  <c r="H73" i="4"/>
  <c r="S55" i="4"/>
  <c r="H53" i="4"/>
  <c r="H56" i="4"/>
  <c r="H96" i="4"/>
  <c r="S96" i="4"/>
  <c r="S93" i="4"/>
  <c r="H74" i="4"/>
  <c r="S76" i="4"/>
  <c r="S74" i="4"/>
  <c r="H94" i="4"/>
  <c r="H55" i="4"/>
  <c r="S75" i="4"/>
  <c r="H76" i="4"/>
  <c r="S54" i="4"/>
  <c r="G39" i="20"/>
  <c r="F87" i="10"/>
  <c r="J87" i="4"/>
  <c r="G74" i="10" s="1"/>
  <c r="T47" i="4"/>
  <c r="Q32" i="10" s="1"/>
  <c r="F93" i="10"/>
  <c r="H39" i="20"/>
  <c r="G93" i="10"/>
  <c r="J39" i="20"/>
  <c r="G87" i="4"/>
  <c r="F68" i="10" s="1"/>
  <c r="G74" i="4"/>
  <c r="R73" i="4"/>
  <c r="G53" i="4"/>
  <c r="R55" i="4"/>
  <c r="G55" i="4"/>
  <c r="R94" i="4"/>
  <c r="R95" i="4"/>
  <c r="G96" i="4"/>
  <c r="R93" i="4"/>
  <c r="G93" i="4"/>
  <c r="G73" i="4"/>
  <c r="R75" i="4"/>
  <c r="R54" i="4"/>
  <c r="G54" i="4"/>
  <c r="G56" i="4"/>
  <c r="R76" i="4"/>
  <c r="G94" i="4"/>
  <c r="R96" i="4"/>
  <c r="R53" i="4"/>
  <c r="G75" i="4"/>
  <c r="R74" i="4"/>
  <c r="G76" i="4"/>
  <c r="G95" i="4"/>
  <c r="R56" i="4"/>
  <c r="U87" i="4"/>
  <c r="Q74" i="10" s="1"/>
  <c r="I87" i="4"/>
  <c r="G68" i="10" s="1"/>
  <c r="J95" i="10"/>
  <c r="I95" i="10"/>
  <c r="H95" i="10"/>
  <c r="R67" i="4"/>
  <c r="P50" i="10" s="1"/>
  <c r="T87" i="4"/>
  <c r="Q68" i="10" s="1"/>
  <c r="J56" i="10" l="1"/>
  <c r="P26" i="10"/>
  <c r="I56" i="10"/>
  <c r="I32" i="10"/>
  <c r="H57" i="4"/>
  <c r="F39" i="10" s="1"/>
  <c r="F40" i="10" s="1"/>
  <c r="G77" i="4"/>
  <c r="F51" i="10" s="1"/>
  <c r="F52" i="10" s="1"/>
  <c r="F62" i="10"/>
  <c r="F44" i="10"/>
  <c r="P62" i="10"/>
  <c r="S77" i="4"/>
  <c r="P57" i="10" s="1"/>
  <c r="P58" i="10" s="1"/>
  <c r="G57" i="4"/>
  <c r="F33" i="10" s="1"/>
  <c r="G26" i="10"/>
  <c r="H38" i="10"/>
  <c r="J38" i="10"/>
  <c r="I38" i="10"/>
  <c r="U97" i="4"/>
  <c r="Q75" i="10" s="1"/>
  <c r="R57" i="4"/>
  <c r="P33" i="10" s="1"/>
  <c r="S57" i="4"/>
  <c r="P39" i="10" s="1"/>
  <c r="P40" i="10" s="1"/>
  <c r="R77" i="4"/>
  <c r="P51" i="10" s="1"/>
  <c r="H50" i="10"/>
  <c r="I50" i="10"/>
  <c r="G44" i="10"/>
  <c r="J50" i="10"/>
  <c r="R68" i="10"/>
  <c r="S68" i="10"/>
  <c r="T68" i="10"/>
  <c r="S97" i="4"/>
  <c r="P75" i="10" s="1"/>
  <c r="P76" i="10" s="1"/>
  <c r="H93" i="10"/>
  <c r="I93" i="10"/>
  <c r="J93" i="10"/>
  <c r="U77" i="4"/>
  <c r="Q57" i="10" s="1"/>
  <c r="P44" i="10"/>
  <c r="T50" i="10"/>
  <c r="S50" i="10"/>
  <c r="R50" i="10"/>
  <c r="Q44" i="10"/>
  <c r="J83" i="10"/>
  <c r="I83" i="10"/>
  <c r="H83" i="10"/>
  <c r="I77" i="4"/>
  <c r="G51" i="10" s="1"/>
  <c r="R38" i="10"/>
  <c r="T38" i="10"/>
  <c r="S38" i="10"/>
  <c r="I57" i="4"/>
  <c r="G33" i="10" s="1"/>
  <c r="J87" i="10"/>
  <c r="H87" i="10"/>
  <c r="G81" i="10"/>
  <c r="I87" i="10"/>
  <c r="J57" i="4"/>
  <c r="G39" i="10" s="1"/>
  <c r="S56" i="10"/>
  <c r="R56" i="10"/>
  <c r="R32" i="10"/>
  <c r="T32" i="10"/>
  <c r="S32" i="10"/>
  <c r="Q26" i="10"/>
  <c r="G97" i="4"/>
  <c r="F69" i="10" s="1"/>
  <c r="I74" i="10"/>
  <c r="J74" i="10"/>
  <c r="H74" i="10"/>
  <c r="T77" i="4"/>
  <c r="Q51" i="10" s="1"/>
  <c r="Q52" i="10" s="1"/>
  <c r="H68" i="10"/>
  <c r="J68" i="10"/>
  <c r="I68" i="10"/>
  <c r="G62" i="10"/>
  <c r="Q62" i="10"/>
  <c r="S74" i="10"/>
  <c r="T74" i="10"/>
  <c r="R74" i="10"/>
  <c r="R97" i="4"/>
  <c r="P69" i="10" s="1"/>
  <c r="F81" i="10"/>
  <c r="H77" i="4"/>
  <c r="F57" i="10" s="1"/>
  <c r="F58" i="10" s="1"/>
  <c r="E25" i="14"/>
  <c r="I8" i="14"/>
  <c r="S8" i="14"/>
  <c r="T56" i="10"/>
  <c r="T97" i="4"/>
  <c r="Q69" i="10" s="1"/>
  <c r="U57" i="4"/>
  <c r="Q39" i="10" s="1"/>
  <c r="H97" i="4"/>
  <c r="F75" i="10" s="1"/>
  <c r="F76" i="10" s="1"/>
  <c r="P63" i="14"/>
  <c r="G84" i="14"/>
  <c r="G46" i="14"/>
  <c r="G44" i="14"/>
  <c r="P65" i="14"/>
  <c r="G45" i="14"/>
  <c r="P44" i="14"/>
  <c r="P66" i="14"/>
  <c r="G64" i="14"/>
  <c r="P64" i="14"/>
  <c r="G63" i="14"/>
  <c r="P84" i="14"/>
  <c r="P85" i="14"/>
  <c r="P45" i="14"/>
  <c r="G85" i="14"/>
  <c r="G86" i="14"/>
  <c r="G66" i="14"/>
  <c r="G65" i="14"/>
  <c r="J32" i="10"/>
  <c r="F26" i="10"/>
  <c r="H10" i="14"/>
  <c r="S9" i="14"/>
  <c r="E23" i="14"/>
  <c r="G43" i="14" s="1"/>
  <c r="I9" i="14"/>
  <c r="J77" i="4"/>
  <c r="G57" i="10" s="1"/>
  <c r="E22" i="22"/>
  <c r="I7" i="22"/>
  <c r="E24" i="22"/>
  <c r="I11" i="22"/>
  <c r="H12" i="14"/>
  <c r="I11" i="14"/>
  <c r="S11" i="14"/>
  <c r="T11" i="14" s="1"/>
  <c r="E31" i="14"/>
  <c r="T7" i="14"/>
  <c r="J82" i="10"/>
  <c r="I82" i="10"/>
  <c r="H82" i="10"/>
  <c r="I97" i="4"/>
  <c r="G69" i="10" s="1"/>
  <c r="I13" i="22"/>
  <c r="E25" i="22"/>
  <c r="T57" i="4"/>
  <c r="Q33" i="10" s="1"/>
  <c r="Q34" i="10" s="1"/>
  <c r="J97" i="4"/>
  <c r="G75" i="10" s="1"/>
  <c r="G76" i="10" s="1"/>
  <c r="I9" i="22"/>
  <c r="E23" i="22"/>
  <c r="F27" i="10" l="1"/>
  <c r="P45" i="10"/>
  <c r="F34" i="10"/>
  <c r="F28" i="10" s="1"/>
  <c r="F63" i="10"/>
  <c r="S52" i="10"/>
  <c r="R52" i="10"/>
  <c r="I76" i="10"/>
  <c r="H76" i="10"/>
  <c r="J76" i="10"/>
  <c r="S34" i="10"/>
  <c r="R34" i="10"/>
  <c r="T39" i="10"/>
  <c r="R39" i="10"/>
  <c r="S39" i="10"/>
  <c r="I57" i="10"/>
  <c r="H57" i="10"/>
  <c r="J57" i="10"/>
  <c r="G58" i="10"/>
  <c r="R69" i="10"/>
  <c r="T69" i="10"/>
  <c r="S69" i="10"/>
  <c r="Q63" i="10"/>
  <c r="G40" i="10"/>
  <c r="H39" i="10"/>
  <c r="J39" i="10"/>
  <c r="I39" i="10"/>
  <c r="T44" i="10"/>
  <c r="R44" i="10"/>
  <c r="S44" i="10"/>
  <c r="I44" i="10"/>
  <c r="J44" i="10"/>
  <c r="H44" i="10"/>
  <c r="R51" i="10"/>
  <c r="T51" i="10"/>
  <c r="S51" i="10"/>
  <c r="Q45" i="10"/>
  <c r="H81" i="10"/>
  <c r="J81" i="10"/>
  <c r="I81" i="10"/>
  <c r="G47" i="14"/>
  <c r="F41" i="12" s="1"/>
  <c r="T9" i="14"/>
  <c r="E32" i="14"/>
  <c r="P54" i="14" s="1"/>
  <c r="T8" i="14"/>
  <c r="E34" i="14"/>
  <c r="I10" i="14"/>
  <c r="S10" i="14"/>
  <c r="E26" i="14"/>
  <c r="Q83" i="14" s="1"/>
  <c r="G67" i="14"/>
  <c r="F59" i="12" s="1"/>
  <c r="T57" i="10"/>
  <c r="S57" i="10"/>
  <c r="R57" i="10"/>
  <c r="P34" i="10"/>
  <c r="P28" i="10" s="1"/>
  <c r="P27" i="10"/>
  <c r="Q40" i="10"/>
  <c r="Q28" i="10" s="1"/>
  <c r="G76" i="14"/>
  <c r="G53" i="14"/>
  <c r="G74" i="14"/>
  <c r="P94" i="14"/>
  <c r="G96" i="14"/>
  <c r="P95" i="14"/>
  <c r="G55" i="14"/>
  <c r="P73" i="14"/>
  <c r="P75" i="14"/>
  <c r="G75" i="14"/>
  <c r="P76" i="14"/>
  <c r="G95" i="14"/>
  <c r="P74" i="14"/>
  <c r="G73" i="14"/>
  <c r="G94" i="14"/>
  <c r="G83" i="14"/>
  <c r="G87" i="14" s="1"/>
  <c r="F77" i="12" s="1"/>
  <c r="P70" i="10"/>
  <c r="P64" i="10" s="1"/>
  <c r="P63" i="10"/>
  <c r="F70" i="10"/>
  <c r="F64" i="10" s="1"/>
  <c r="S75" i="10"/>
  <c r="R75" i="10"/>
  <c r="T75" i="10"/>
  <c r="Q76" i="10"/>
  <c r="P83" i="14"/>
  <c r="P43" i="14"/>
  <c r="R26" i="10"/>
  <c r="S26" i="10"/>
  <c r="T26" i="10"/>
  <c r="S12" i="14"/>
  <c r="T12" i="14" s="1"/>
  <c r="I12" i="14"/>
  <c r="P86" i="14"/>
  <c r="G52" i="10"/>
  <c r="I51" i="10"/>
  <c r="G45" i="10"/>
  <c r="H51" i="10"/>
  <c r="J51" i="10"/>
  <c r="H33" i="10"/>
  <c r="I33" i="10"/>
  <c r="J33" i="10"/>
  <c r="G27" i="10"/>
  <c r="G34" i="10"/>
  <c r="P46" i="14"/>
  <c r="I26" i="10"/>
  <c r="J26" i="10"/>
  <c r="H26" i="10"/>
  <c r="P52" i="10"/>
  <c r="P46" i="10" s="1"/>
  <c r="H38" i="22"/>
  <c r="F104" i="12" s="1"/>
  <c r="H37" i="22"/>
  <c r="F103" i="12" s="1"/>
  <c r="H36" i="22"/>
  <c r="S62" i="10"/>
  <c r="R62" i="10"/>
  <c r="T62" i="10"/>
  <c r="Q70" i="10"/>
  <c r="G63" i="10"/>
  <c r="H69" i="10"/>
  <c r="I69" i="10"/>
  <c r="J69" i="10"/>
  <c r="H75" i="10"/>
  <c r="I75" i="10"/>
  <c r="J75" i="10"/>
  <c r="P67" i="14"/>
  <c r="O59" i="12" s="1"/>
  <c r="G70" i="10"/>
  <c r="Q58" i="10"/>
  <c r="F45" i="10"/>
  <c r="F46" i="10" s="1"/>
  <c r="Q86" i="14"/>
  <c r="H46" i="14"/>
  <c r="Q45" i="14"/>
  <c r="H43" i="14"/>
  <c r="H85" i="14"/>
  <c r="Q44" i="14"/>
  <c r="H84" i="14"/>
  <c r="Q43" i="14"/>
  <c r="H63" i="14"/>
  <c r="Q85" i="14"/>
  <c r="Q64" i="14"/>
  <c r="Q84" i="14"/>
  <c r="H45" i="14"/>
  <c r="H64" i="14"/>
  <c r="Q66" i="14"/>
  <c r="Q46" i="14"/>
  <c r="Q65" i="14"/>
  <c r="H65" i="14"/>
  <c r="H66" i="14"/>
  <c r="H44" i="14"/>
  <c r="Q63" i="14"/>
  <c r="S33" i="10"/>
  <c r="Q27" i="10"/>
  <c r="R33" i="10"/>
  <c r="T33" i="10"/>
  <c r="G37" i="22"/>
  <c r="F97" i="12" s="1"/>
  <c r="G38" i="22"/>
  <c r="F98" i="12" s="1"/>
  <c r="G36" i="22"/>
  <c r="J62" i="10"/>
  <c r="I62" i="10"/>
  <c r="H62" i="10"/>
  <c r="P93" i="14" l="1"/>
  <c r="P55" i="14"/>
  <c r="G54" i="14"/>
  <c r="P53" i="14"/>
  <c r="P56" i="14"/>
  <c r="G93" i="14"/>
  <c r="G97" i="14" s="1"/>
  <c r="F78" i="12" s="1"/>
  <c r="F79" i="12" s="1"/>
  <c r="P96" i="14"/>
  <c r="P97" i="14" s="1"/>
  <c r="O78" i="12" s="1"/>
  <c r="G56" i="14"/>
  <c r="G57" i="14" s="1"/>
  <c r="F42" i="12" s="1"/>
  <c r="H86" i="14"/>
  <c r="P87" i="14"/>
  <c r="O77" i="12" s="1"/>
  <c r="P77" i="12" s="1"/>
  <c r="H83" i="14"/>
  <c r="Q67" i="14"/>
  <c r="O65" i="12" s="1"/>
  <c r="O53" i="12" s="1"/>
  <c r="Q47" i="14"/>
  <c r="O47" i="12" s="1"/>
  <c r="Q47" i="12" s="1"/>
  <c r="R28" i="10"/>
  <c r="T28" i="10"/>
  <c r="S28" i="10"/>
  <c r="G103" i="12"/>
  <c r="H103" i="12"/>
  <c r="H52" i="10"/>
  <c r="J52" i="10"/>
  <c r="I52" i="10"/>
  <c r="G77" i="12"/>
  <c r="H77" i="12"/>
  <c r="P77" i="14"/>
  <c r="O60" i="12" s="1"/>
  <c r="T10" i="14"/>
  <c r="E35" i="14"/>
  <c r="H54" i="14" s="1"/>
  <c r="H104" i="12"/>
  <c r="G104" i="12"/>
  <c r="R58" i="10"/>
  <c r="S58" i="10"/>
  <c r="T58" i="10"/>
  <c r="F96" i="12"/>
  <c r="G39" i="22"/>
  <c r="I70" i="10"/>
  <c r="J70" i="10"/>
  <c r="G64" i="10"/>
  <c r="H70" i="10"/>
  <c r="Q94" i="14"/>
  <c r="Q53" i="14"/>
  <c r="H53" i="14"/>
  <c r="Q56" i="14"/>
  <c r="Q75" i="14"/>
  <c r="H73" i="14"/>
  <c r="Q54" i="14"/>
  <c r="Q96" i="14"/>
  <c r="H94" i="14"/>
  <c r="H95" i="14"/>
  <c r="H75" i="14"/>
  <c r="Q76" i="14"/>
  <c r="Q74" i="14"/>
  <c r="Q55" i="14"/>
  <c r="H56" i="14"/>
  <c r="H74" i="14"/>
  <c r="Q95" i="14"/>
  <c r="Q73" i="14"/>
  <c r="H55" i="14"/>
  <c r="H76" i="14"/>
  <c r="F92" i="12"/>
  <c r="G98" i="12"/>
  <c r="H98" i="12"/>
  <c r="Q59" i="12"/>
  <c r="P59" i="12"/>
  <c r="P57" i="14"/>
  <c r="O42" i="12" s="1"/>
  <c r="G97" i="12"/>
  <c r="F91" i="12"/>
  <c r="H97" i="12"/>
  <c r="I27" i="10"/>
  <c r="H27" i="10"/>
  <c r="J27" i="10"/>
  <c r="G41" i="12"/>
  <c r="H41" i="12"/>
  <c r="T34" i="10"/>
  <c r="R27" i="10"/>
  <c r="T27" i="10"/>
  <c r="S27" i="10"/>
  <c r="H67" i="14"/>
  <c r="F65" i="12" s="1"/>
  <c r="F53" i="12" s="1"/>
  <c r="G28" i="10"/>
  <c r="I34" i="10"/>
  <c r="H34" i="10"/>
  <c r="J34" i="10"/>
  <c r="P47" i="14"/>
  <c r="O41" i="12" s="1"/>
  <c r="T40" i="10"/>
  <c r="S40" i="10"/>
  <c r="R40" i="10"/>
  <c r="T76" i="10"/>
  <c r="S76" i="10"/>
  <c r="R76" i="10"/>
  <c r="J40" i="10"/>
  <c r="I40" i="10"/>
  <c r="H40" i="10"/>
  <c r="J63" i="10"/>
  <c r="I63" i="10"/>
  <c r="H63" i="10"/>
  <c r="G77" i="14"/>
  <c r="F60" i="12" s="1"/>
  <c r="F61" i="12" s="1"/>
  <c r="R63" i="10"/>
  <c r="S63" i="10"/>
  <c r="T63" i="10"/>
  <c r="S45" i="10"/>
  <c r="T45" i="10"/>
  <c r="R45" i="10"/>
  <c r="H47" i="14"/>
  <c r="F47" i="12" s="1"/>
  <c r="T52" i="10"/>
  <c r="S70" i="10"/>
  <c r="R70" i="10"/>
  <c r="Q64" i="10"/>
  <c r="T70" i="10"/>
  <c r="I45" i="10"/>
  <c r="J45" i="10"/>
  <c r="H45" i="10"/>
  <c r="G59" i="12"/>
  <c r="H59" i="12"/>
  <c r="H58" i="10"/>
  <c r="I58" i="10"/>
  <c r="J58" i="10"/>
  <c r="H39" i="22"/>
  <c r="F102" i="12"/>
  <c r="Q87" i="14"/>
  <c r="O83" i="12" s="1"/>
  <c r="G46" i="10"/>
  <c r="Q46" i="10"/>
  <c r="G78" i="12" l="1"/>
  <c r="P47" i="12"/>
  <c r="Q77" i="12"/>
  <c r="P65" i="12"/>
  <c r="O79" i="12"/>
  <c r="H87" i="14"/>
  <c r="F83" i="12" s="1"/>
  <c r="F71" i="12" s="1"/>
  <c r="G71" i="12" s="1"/>
  <c r="Q65" i="12"/>
  <c r="Q93" i="14"/>
  <c r="Q97" i="14" s="1"/>
  <c r="O84" i="12" s="1"/>
  <c r="O85" i="12" s="1"/>
  <c r="O73" i="12" s="1"/>
  <c r="H78" i="12"/>
  <c r="Q57" i="14"/>
  <c r="O48" i="12" s="1"/>
  <c r="P48" i="12" s="1"/>
  <c r="Q77" i="14"/>
  <c r="O66" i="12" s="1"/>
  <c r="O54" i="12" s="1"/>
  <c r="G65" i="12"/>
  <c r="H65" i="12"/>
  <c r="Q78" i="12"/>
  <c r="P78" i="12"/>
  <c r="H91" i="12"/>
  <c r="G91" i="12"/>
  <c r="H57" i="14"/>
  <c r="F48" i="12" s="1"/>
  <c r="F49" i="12" s="1"/>
  <c r="H53" i="12"/>
  <c r="G53" i="12"/>
  <c r="P60" i="12"/>
  <c r="Q60" i="12"/>
  <c r="P42" i="12"/>
  <c r="Q42" i="12"/>
  <c r="O61" i="12"/>
  <c r="F43" i="12"/>
  <c r="G42" i="12"/>
  <c r="H42" i="12"/>
  <c r="G79" i="12"/>
  <c r="H79" i="12"/>
  <c r="G61" i="12"/>
  <c r="H61" i="12"/>
  <c r="P53" i="12"/>
  <c r="Q53" i="12"/>
  <c r="I64" i="10"/>
  <c r="H64" i="10"/>
  <c r="J64" i="10"/>
  <c r="G60" i="12"/>
  <c r="H60" i="12"/>
  <c r="T46" i="10"/>
  <c r="S46" i="10"/>
  <c r="R46" i="10"/>
  <c r="R64" i="10"/>
  <c r="S64" i="10"/>
  <c r="T64" i="10"/>
  <c r="I46" i="10"/>
  <c r="J46" i="10"/>
  <c r="H46" i="10"/>
  <c r="P41" i="12"/>
  <c r="O43" i="12"/>
  <c r="O35" i="12"/>
  <c r="Q41" i="12"/>
  <c r="G92" i="12"/>
  <c r="H92" i="12"/>
  <c r="H96" i="12"/>
  <c r="F90" i="12"/>
  <c r="G96" i="12"/>
  <c r="P83" i="12"/>
  <c r="Q83" i="12"/>
  <c r="G30" i="21"/>
  <c r="H30" i="21" s="1"/>
  <c r="I30" i="21" s="1"/>
  <c r="L25" i="19"/>
  <c r="K25" i="19"/>
  <c r="G102" i="12"/>
  <c r="H102" i="12"/>
  <c r="K25" i="3"/>
  <c r="E21" i="10"/>
  <c r="G30" i="13"/>
  <c r="H30" i="13" s="1"/>
  <c r="L25" i="3"/>
  <c r="F35" i="12"/>
  <c r="H47" i="12"/>
  <c r="G47" i="12"/>
  <c r="O71" i="12"/>
  <c r="H93" i="14"/>
  <c r="Q79" i="12"/>
  <c r="P79" i="12"/>
  <c r="J28" i="10"/>
  <c r="I28" i="10"/>
  <c r="H28" i="10"/>
  <c r="H96" i="14"/>
  <c r="H77" i="14"/>
  <c r="F66" i="12" s="1"/>
  <c r="H71" i="12" l="1"/>
  <c r="H83" i="12"/>
  <c r="G83" i="12"/>
  <c r="O36" i="12"/>
  <c r="P36" i="12" s="1"/>
  <c r="O49" i="12"/>
  <c r="Q49" i="12" s="1"/>
  <c r="P66" i="12"/>
  <c r="Q48" i="12"/>
  <c r="O67" i="12"/>
  <c r="O55" i="12" s="1"/>
  <c r="Q66" i="12"/>
  <c r="Q73" i="12"/>
  <c r="P73" i="12"/>
  <c r="H35" i="12"/>
  <c r="G35" i="12"/>
  <c r="H66" i="12"/>
  <c r="G66" i="12"/>
  <c r="F30" i="12"/>
  <c r="I30" i="13"/>
  <c r="I21" i="10"/>
  <c r="E30" i="12"/>
  <c r="H90" i="12"/>
  <c r="G90" i="12"/>
  <c r="F36" i="12"/>
  <c r="H48" i="12"/>
  <c r="G48" i="12"/>
  <c r="F54" i="12"/>
  <c r="G43" i="12"/>
  <c r="H43" i="12"/>
  <c r="F37" i="12"/>
  <c r="O21" i="10"/>
  <c r="Q30" i="13"/>
  <c r="R30" i="13" s="1"/>
  <c r="W25" i="3"/>
  <c r="V25" i="3"/>
  <c r="P61" i="12"/>
  <c r="Q61" i="12"/>
  <c r="P84" i="12"/>
  <c r="Q84" i="12"/>
  <c r="O72" i="12"/>
  <c r="Q85" i="12"/>
  <c r="P85" i="12"/>
  <c r="P35" i="12"/>
  <c r="Q35" i="12"/>
  <c r="Q43" i="12"/>
  <c r="P43" i="12"/>
  <c r="O37" i="12"/>
  <c r="P49" i="12"/>
  <c r="F67" i="12"/>
  <c r="H97" i="14"/>
  <c r="F84" i="12" s="1"/>
  <c r="P54" i="12"/>
  <c r="Q54" i="12"/>
  <c r="P71" i="12"/>
  <c r="Q71" i="12"/>
  <c r="H49" i="12"/>
  <c r="G49" i="12"/>
  <c r="W25" i="19"/>
  <c r="Q30" i="21"/>
  <c r="R30" i="21" s="1"/>
  <c r="S30" i="21" s="1"/>
  <c r="V25" i="19"/>
  <c r="Q36" i="12" l="1"/>
  <c r="P67" i="12"/>
  <c r="Q67" i="12"/>
  <c r="G36" i="12"/>
  <c r="H36" i="12"/>
  <c r="Q72" i="12"/>
  <c r="P72" i="12"/>
  <c r="H84" i="12"/>
  <c r="G84" i="12"/>
  <c r="F72" i="12"/>
  <c r="F85" i="12"/>
  <c r="H67" i="12"/>
  <c r="G67" i="12"/>
  <c r="F55" i="12"/>
  <c r="H30" i="12"/>
  <c r="G30" i="12"/>
  <c r="Q37" i="12"/>
  <c r="P37" i="12"/>
  <c r="S30" i="13"/>
  <c r="O30" i="12"/>
  <c r="N30" i="12"/>
  <c r="S21" i="10"/>
  <c r="H37" i="12"/>
  <c r="G37" i="12"/>
  <c r="P55" i="12"/>
  <c r="Q55" i="12"/>
  <c r="H54" i="12"/>
  <c r="G54" i="12"/>
  <c r="G55" i="12" l="1"/>
  <c r="H55" i="12"/>
  <c r="H85" i="12"/>
  <c r="G85" i="12"/>
  <c r="F73" i="12"/>
  <c r="G72" i="12"/>
  <c r="H72" i="12"/>
  <c r="Q30" i="12"/>
  <c r="P30" i="12"/>
  <c r="H73" i="12" l="1"/>
  <c r="G7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Baez, Rachelle R</author>
  </authors>
  <commentList>
    <comment ref="G49" authorId="0" shapeId="0" xr:uid="{7C660A44-8756-4E70-BAD1-66757D78641C}">
      <text>
        <r>
          <rPr>
            <b/>
            <sz val="9"/>
            <color indexed="81"/>
            <rFont val="Tahoma"/>
            <family val="2"/>
          </rPr>
          <t>SDG&amp;E:</t>
        </r>
        <r>
          <rPr>
            <sz val="9"/>
            <color indexed="81"/>
            <rFont val="Tahoma"/>
            <family val="2"/>
          </rPr>
          <t xml:space="preserve">
Demand response is only capture after the fact through a balancing account; so 2023 authorized budget will be spent and recorded in 2023, but put into 2024 rates</t>
        </r>
      </text>
    </comment>
  </commentList>
</comments>
</file>

<file path=xl/sharedStrings.xml><?xml version="1.0" encoding="utf-8"?>
<sst xmlns="http://schemas.openxmlformats.org/spreadsheetml/2006/main" count="2653" uniqueCount="567">
  <si>
    <t>Filing Description</t>
  </si>
  <si>
    <t>Revenue Recovery Mechanism</t>
  </si>
  <si>
    <t>Safety Affordability Reliability Proceedings</t>
  </si>
  <si>
    <t>Generation</t>
  </si>
  <si>
    <t>Authority for Revenue Requirement</t>
  </si>
  <si>
    <t>Distribution</t>
  </si>
  <si>
    <t xml:space="preserve">   Subtotal Safety Affordability Reliability</t>
  </si>
  <si>
    <t>Public Policy Proceedings</t>
  </si>
  <si>
    <t xml:space="preserve">   Subtotal Public Policy </t>
  </si>
  <si>
    <t>Non-CPUC Jurisdictional Proceedings</t>
  </si>
  <si>
    <t>Transmission</t>
  </si>
  <si>
    <t xml:space="preserve">   Subtotal Non-CPUC Jurisidictional</t>
  </si>
  <si>
    <t>Total Authorized Revenue</t>
  </si>
  <si>
    <t>Notes:</t>
  </si>
  <si>
    <t>CTC</t>
  </si>
  <si>
    <t xml:space="preserve">Balancing Account </t>
  </si>
  <si>
    <t xml:space="preserve">Authorized Revenue Requirement       ($000) </t>
  </si>
  <si>
    <t>Revenue Requirement Date:</t>
  </si>
  <si>
    <t>Advice Letter:</t>
  </si>
  <si>
    <t>SDG&amp;E General Rate Case (GRC) Attrition Year</t>
  </si>
  <si>
    <t>Energy Efficiency Savings Performance Incentive (ESPI) Award</t>
  </si>
  <si>
    <t>Vehicle Grid Integration (VGI)</t>
  </si>
  <si>
    <t>Distributed Generation Renewable (DGR) Time Metered Under/(Over) Collection</t>
  </si>
  <si>
    <t>FF&amp;U Associated with Public Purpose Programs (PPP)</t>
  </si>
  <si>
    <t>N</t>
  </si>
  <si>
    <t>Electric Distribution Fixed Cost Account (EDFCA)</t>
  </si>
  <si>
    <t>Y</t>
  </si>
  <si>
    <t>Tree Trimming Balancing Account (TTBA)</t>
  </si>
  <si>
    <t xml:space="preserve">Advanced Metering and Demand Response (AMDRMA) </t>
  </si>
  <si>
    <t>Rewards and Penalties Balancing Account (RPBA) before Transfer</t>
  </si>
  <si>
    <t>Pension Balancing Account (PBA)</t>
  </si>
  <si>
    <t>Streamlining Residual Account (SRA)</t>
  </si>
  <si>
    <t>Baseline Balancing Account (BBA)</t>
  </si>
  <si>
    <t>Common Area Balancing Account (CABA)</t>
  </si>
  <si>
    <t>Hazardous Substance Cleanup Cost Account (HSCCA)</t>
  </si>
  <si>
    <t>Master Metering Balancing Account (MMBA)</t>
  </si>
  <si>
    <t>Direct Participation Demand Response Memorandum Account (DPDRMA)</t>
  </si>
  <si>
    <t>Clean Transportation Priority Balancing Account (CTPBA)</t>
  </si>
  <si>
    <t>Distribution Performance Based Ratemaking (PBR) Incentives Reward/ Penalty</t>
  </si>
  <si>
    <t>Post Retirement Benefits other than Pensions Balancing Account (PBOPBA)</t>
  </si>
  <si>
    <t>Energy Resource Recovery Account (ERRA) Revenue Requirement</t>
  </si>
  <si>
    <t>Energy Resource Recovery Account (ERRA) Trigger</t>
  </si>
  <si>
    <t>Department of Water Resources (DWR)  Power Charge Credit</t>
  </si>
  <si>
    <t>Critical Peak Pricing Default (CPP-D) Under/ (Over) Collection - Small Commercial</t>
  </si>
  <si>
    <t xml:space="preserve">Generation </t>
  </si>
  <si>
    <t>Critical Peak Pricing Default (CPP-D) Under/ (Over) Collection - Medium/Large Commercial</t>
  </si>
  <si>
    <t>Critical Peak Pricing Default (CPP-D) Under/ (Over) Collection - Agriculture</t>
  </si>
  <si>
    <t>Distributed Generation Renewable (DGR) Time Metered Under/(Over) Collection - Commodity</t>
  </si>
  <si>
    <t>Smart Pricing Program (SPP) Under/Over Collection - Residential</t>
  </si>
  <si>
    <t>Smart Pricing Program (SPP) Under/Over Collection - Small Commercial</t>
  </si>
  <si>
    <t>Smart Pricing Program (SPP) Under/Over Collection - Agriculture</t>
  </si>
  <si>
    <t>San Onofre Nuclear Generating Station (SONGS)</t>
  </si>
  <si>
    <t>Solar Energy Project (SEP)</t>
  </si>
  <si>
    <t>Amortization - NGBA Balance</t>
  </si>
  <si>
    <t>Energy Resource Recovery Account (ERRA) Balancing Account</t>
  </si>
  <si>
    <t>GHG Small Business Volumetric Return</t>
  </si>
  <si>
    <t>GHG California Climate Credit (CCC)</t>
  </si>
  <si>
    <t>CTC Revenue Requirement</t>
  </si>
  <si>
    <t>Amortization - Transition Cost Balancing Account (TCBA)</t>
  </si>
  <si>
    <t>LG Revenue Requirement</t>
  </si>
  <si>
    <t>LGC</t>
  </si>
  <si>
    <t>Amortization - Local Generating Balancing Account (LGBA)</t>
  </si>
  <si>
    <t>Low Income Energy Efficiency (LIEE)/Energy Savings Assistance Programs (ESAP)</t>
  </si>
  <si>
    <t>Electric Program Investment Charge (EPIC)</t>
  </si>
  <si>
    <t>Family Electric Rate Assistance (FERA)</t>
  </si>
  <si>
    <t>Self-Generation Incentive Program (SGIP)</t>
  </si>
  <si>
    <t>California Solar Initiative (CSI)</t>
  </si>
  <si>
    <t>Food Bank</t>
  </si>
  <si>
    <t>California Alternative Rates for Energy Balancing Account (CAREBA)</t>
  </si>
  <si>
    <t>Low Income Energy Efficiency Balancing Account (LIEEBA)</t>
  </si>
  <si>
    <t>Post-1997 Electric Energy Efficiency Balancing Account (PEEEBA)</t>
  </si>
  <si>
    <t>Electric Program Investment Charge Balancing Account (EPICBA)</t>
  </si>
  <si>
    <t>Electric Procurement Energy Efficiency Bal. Acct. (EPEEBA)</t>
  </si>
  <si>
    <t>Family Electric Rate Assistance Balancing Account (FERABA)</t>
  </si>
  <si>
    <t>Energy Savings Assistance Programs Memo Account (ESAPMA)</t>
  </si>
  <si>
    <t>Self-Generation Program Memorandum Account (SGPMA)</t>
  </si>
  <si>
    <t>California Solar Initiative Balancing Account (CSIBA)</t>
  </si>
  <si>
    <t>Food Bank Balance Account (FBBA)</t>
  </si>
  <si>
    <t>Total Rate Adjustment Component (TRAC)</t>
  </si>
  <si>
    <t>TRAC</t>
  </si>
  <si>
    <t>ND Revenue Requirement</t>
  </si>
  <si>
    <t>ND</t>
  </si>
  <si>
    <t>Amortization - Nuclear Decommissioning Adjustment Mechanism</t>
  </si>
  <si>
    <t>Department of Water Resources Bond Charge (DWR-BC)</t>
  </si>
  <si>
    <t>Base Transmission Revenue Requirement (BTRR)</t>
  </si>
  <si>
    <t>Transmission Access Charge Balancing Account Adjustment (TACBAA)</t>
  </si>
  <si>
    <t>Transmission Revenue Balancing Account Adjustment (TRBAA)</t>
  </si>
  <si>
    <t>Reliability Services</t>
  </si>
  <si>
    <t>RS</t>
  </si>
  <si>
    <t>Current Revenue Requirement ($000):</t>
  </si>
  <si>
    <t>Current Revenue Requirement Effective:</t>
  </si>
  <si>
    <t>Approved Application(s), Implemented Since Jan 1 or To Be Implemented</t>
  </si>
  <si>
    <t>Proceeding</t>
  </si>
  <si>
    <t>Existing or New Item (if existing, use delta from prior for rate impact)</t>
  </si>
  <si>
    <t>General Rate Case</t>
  </si>
  <si>
    <t>Existing</t>
  </si>
  <si>
    <t>Nuclear Decommissioning (ND)</t>
  </si>
  <si>
    <t>SONGS</t>
  </si>
  <si>
    <t>DWR BC</t>
  </si>
  <si>
    <t xml:space="preserve">DWR Credit </t>
  </si>
  <si>
    <t>GHG Revenue</t>
  </si>
  <si>
    <t>SGIP</t>
  </si>
  <si>
    <t>Public Purpose Program</t>
  </si>
  <si>
    <t>Energy Efficiency</t>
  </si>
  <si>
    <t>SB 350 Priority Projects</t>
  </si>
  <si>
    <t>EPIC (Electric Program Investment Charge)</t>
  </si>
  <si>
    <t>Under/Over Collections</t>
  </si>
  <si>
    <t>Distributed Generation Renewable (DGR) Time Metered Under/(Over) Collection - Distribution</t>
  </si>
  <si>
    <t>Total Approved, Implemented Since Jan 1 or To Be Implemented</t>
  </si>
  <si>
    <t>Proposed Revenue Requirement ($000)</t>
  </si>
  <si>
    <t>Proposed Revenue Recovery Mechanism</t>
  </si>
  <si>
    <t>PYD 2.0</t>
  </si>
  <si>
    <t>New</t>
  </si>
  <si>
    <t>AB 1054</t>
  </si>
  <si>
    <t>MDHD</t>
  </si>
  <si>
    <t>AB 1082/1083</t>
  </si>
  <si>
    <t>Total</t>
  </si>
  <si>
    <t>V2G Pilot</t>
  </si>
  <si>
    <t>Total Pending, Filed but not Approved</t>
  </si>
  <si>
    <t>Applications Projected to be Filed, Next 12 Months</t>
  </si>
  <si>
    <t>Estimated Filing Date</t>
  </si>
  <si>
    <t>Filing Basis</t>
  </si>
  <si>
    <t>Projected Authorized Revenue Requirement ($000) - Breakout by Year</t>
  </si>
  <si>
    <t>FF&amp;U associated with PPP</t>
  </si>
  <si>
    <t>Authorized Revenue Requirement with FF&amp;U ($000)</t>
  </si>
  <si>
    <t>Authorized Revenue Requirement with FF&amp;U ($000) - Breakout by Year</t>
  </si>
  <si>
    <t>Proposed Revenue Requirement with FF&amp;U ($000)</t>
  </si>
  <si>
    <t>Inputs:</t>
  </si>
  <si>
    <t>Assumptions:</t>
  </si>
  <si>
    <t>Current Effective Rates</t>
  </si>
  <si>
    <t>Baseline Region - (Residential bill)</t>
  </si>
  <si>
    <t>Coastal</t>
  </si>
  <si>
    <t>Sales Forecast</t>
  </si>
  <si>
    <t xml:space="preserve">Residential bill calculated using </t>
  </si>
  <si>
    <t xml:space="preserve">Non-CARE bill impact calculated with average summer usage of </t>
  </si>
  <si>
    <t>kWh per month</t>
  </si>
  <si>
    <t>Pending Proceedings</t>
  </si>
  <si>
    <t>Include in Impact (Y)</t>
  </si>
  <si>
    <t>Applicable Year(s)</t>
  </si>
  <si>
    <t xml:space="preserve">Non-CARE bill impact calculated with average winter usage of </t>
  </si>
  <si>
    <t xml:space="preserve">CARE bill impact calculated with average summer usage of </t>
  </si>
  <si>
    <t xml:space="preserve">CARE bill impact calculated with average winter usage of </t>
  </si>
  <si>
    <t>Average monthly usage is for all customers (Non-CARE and CARE) based on seasonal usage in</t>
  </si>
  <si>
    <t>Summer season</t>
  </si>
  <si>
    <t>months</t>
  </si>
  <si>
    <t>Winter Season</t>
  </si>
  <si>
    <t>Outputs:</t>
  </si>
  <si>
    <t>(A)</t>
  </si>
  <si>
    <t>(B)</t>
  </si>
  <si>
    <t>(C)</t>
  </si>
  <si>
    <t>(D)</t>
  </si>
  <si>
    <t>(D)/(A)</t>
  </si>
  <si>
    <t>(D)/(B)</t>
  </si>
  <si>
    <t>(D)/(C)</t>
  </si>
  <si>
    <t>Bundled Average Rates - ¢/kWh</t>
  </si>
  <si>
    <t>Total System (Bundled and Unbundled) Average Rates - ¢/kWh</t>
  </si>
  <si>
    <t>Customer Group</t>
  </si>
  <si>
    <t>% Change over Authorized</t>
  </si>
  <si>
    <t>Residential</t>
  </si>
  <si>
    <t>Total Residential (RAR)</t>
  </si>
  <si>
    <t>System</t>
  </si>
  <si>
    <t>Total System (SAR)</t>
  </si>
  <si>
    <t>Non-CARE</t>
  </si>
  <si>
    <t>CARE</t>
  </si>
  <si>
    <t>AL 3500-E</t>
  </si>
  <si>
    <t>Basis of Revenue Requirement Forecast:  Application, Amended Application , Amended Testimony,  Proposed Settlement Agreement, Proposed Decision</t>
  </si>
  <si>
    <t>Include in Impact</t>
  </si>
  <si>
    <t>Authorized</t>
  </si>
  <si>
    <t>Authorized + Pending</t>
  </si>
  <si>
    <t>Incremental Revenues</t>
  </si>
  <si>
    <t>Revenue Change ($000)</t>
  </si>
  <si>
    <t>w/ Pending</t>
  </si>
  <si>
    <t>Allocation</t>
  </si>
  <si>
    <t>Revenue Change ($000) - System</t>
  </si>
  <si>
    <t>Total System</t>
  </si>
  <si>
    <t>w/Pending</t>
  </si>
  <si>
    <t>% of CARE Sales (Bundled)</t>
  </si>
  <si>
    <t>Revenue Split - Bundled</t>
  </si>
  <si>
    <t>Bundled Revenue Change</t>
  </si>
  <si>
    <t>CARE Effective Discount</t>
  </si>
  <si>
    <t>CARE Adj</t>
  </si>
  <si>
    <t>Bundled</t>
  </si>
  <si>
    <t>System (Bundled and Unbundled)</t>
  </si>
  <si>
    <t>Proposed Avg Rates (Authorized)</t>
  </si>
  <si>
    <t>Proposed Avg Rates (w/Pending)</t>
  </si>
  <si>
    <t>% Change (Authorized)</t>
  </si>
  <si>
    <t>% Change (w/Pending)</t>
  </si>
  <si>
    <t>Proposed</t>
  </si>
  <si>
    <t>Rates</t>
  </si>
  <si>
    <t>Revenue</t>
  </si>
  <si>
    <t>Authorized Rates</t>
  </si>
  <si>
    <t>Authorized Revenue</t>
  </si>
  <si>
    <t>w/Pending Rates</t>
  </si>
  <si>
    <t>w/Pending Revenue</t>
  </si>
  <si>
    <t>Baseline - Summer</t>
  </si>
  <si>
    <t xml:space="preserve">Bundled Residential Rev Req </t>
  </si>
  <si>
    <t>- Winter</t>
  </si>
  <si>
    <t>Current</t>
  </si>
  <si>
    <t>101% - 400% of Baseline - Summer</t>
  </si>
  <si>
    <t>Change (Authorized)</t>
  </si>
  <si>
    <t>Proposed (Authorized)</t>
  </si>
  <si>
    <t>401% of Baseline - Summer</t>
  </si>
  <si>
    <t>Change (w/Pending)</t>
  </si>
  <si>
    <t>Proposed (w/Pending)</t>
  </si>
  <si>
    <t>Climate Zone</t>
  </si>
  <si>
    <t>Summer</t>
  </si>
  <si>
    <t>Winter</t>
  </si>
  <si>
    <t>Tier 1</t>
  </si>
  <si>
    <t>Tier 2</t>
  </si>
  <si>
    <t>Population Weight</t>
  </si>
  <si>
    <t>Mountain</t>
  </si>
  <si>
    <t>Desert</t>
  </si>
  <si>
    <t>Inland</t>
  </si>
  <si>
    <t>AL 3514-E</t>
  </si>
  <si>
    <t>Tree Mortality Non-Bypassable Charge Balancing Account (TMNBCBA)</t>
  </si>
  <si>
    <t>Power Adjustment Balancing Account (PABA) Balancing Account</t>
  </si>
  <si>
    <t>Tax Cut Job Act (TCJA)</t>
  </si>
  <si>
    <t>Officer Compensation Memorandum Account 2019 (OCMA2019)</t>
  </si>
  <si>
    <t>General Rate Case Memorandum Account (GRCMA)</t>
  </si>
  <si>
    <t>Energy Efficiency Savings Performance Incentive (ESPI)</t>
  </si>
  <si>
    <t>Pending Application(s) Not Yet Approved</t>
  </si>
  <si>
    <t>Schedule DR</t>
  </si>
  <si>
    <t>Schedule DR [CARE]</t>
  </si>
  <si>
    <t>131% - 400% of Baseline - Summer</t>
  </si>
  <si>
    <t>SCHEDULE DR RATES ($/kWh)</t>
  </si>
  <si>
    <t>SCHEDULE DR [CARE] ($/kWh)</t>
  </si>
  <si>
    <t>CARE Res Allocation Factor</t>
  </si>
  <si>
    <t>ALL</t>
  </si>
  <si>
    <t>AL 3535-E</t>
  </si>
  <si>
    <t>(C)/(A)</t>
  </si>
  <si>
    <t>(C)/(B)</t>
  </si>
  <si>
    <t>w/Proposed</t>
  </si>
  <si>
    <t>Proposed Avg Rates</t>
  </si>
  <si>
    <t>% Change</t>
  </si>
  <si>
    <t>AL 3619-E</t>
  </si>
  <si>
    <t>Wildfire Fund NBC</t>
  </si>
  <si>
    <t>Desert - Hot</t>
  </si>
  <si>
    <t>Coastal - Mild</t>
  </si>
  <si>
    <t>Inland - Warm</t>
  </si>
  <si>
    <t>Mountain - Extreme</t>
  </si>
  <si>
    <t>Application</t>
  </si>
  <si>
    <t>System Usage</t>
  </si>
  <si>
    <t>Total kWh</t>
  </si>
  <si>
    <t>Authorized System Sales</t>
  </si>
  <si>
    <t>% of CARE Sales</t>
  </si>
  <si>
    <t>Res CARE Authorized kWh Usage*</t>
  </si>
  <si>
    <t>AL 3669-E-A</t>
  </si>
  <si>
    <t>21st Century Energy Systems Balancing Account (CES-21BA)</t>
  </si>
  <si>
    <t>Liability Insurance Premium Balancing Account (LIPBA)</t>
  </si>
  <si>
    <t>Rate Reform Memo Account - Commodity</t>
  </si>
  <si>
    <t>Rate Reform Memo Account - Distribution</t>
  </si>
  <si>
    <t>Port Energy Management Plan (PEMP)</t>
  </si>
  <si>
    <t>San Diego Unified Port District (SDUPD)</t>
  </si>
  <si>
    <t>Net Energy Metering Measurement and Evaluation (NEMME)</t>
  </si>
  <si>
    <t>Port Energy Management Plan Balancing Account (PEMPBA)</t>
  </si>
  <si>
    <t>San Diego Unified Port District Balancing Account (SDUPDBA)</t>
  </si>
  <si>
    <t>Net Energy Metering Measurement and Evaluation Balancing Account (NEMMEBA)</t>
  </si>
  <si>
    <t>New Environmental Regulatory Balancing Account (NERBA)</t>
  </si>
  <si>
    <t>Gains/Loss On Sale Memorandum Account</t>
  </si>
  <si>
    <t>Reliability Services (RSBA)</t>
  </si>
  <si>
    <t>CARE Discount</t>
  </si>
  <si>
    <t>CPUC Fee</t>
  </si>
  <si>
    <t>Total With CPUC Fee</t>
  </si>
  <si>
    <t>SCHEDULE DR-LI [CARE] ($/kWh)</t>
  </si>
  <si>
    <t>AL 3696-E-A-B</t>
  </si>
  <si>
    <t>Revenue Split - Bundled Customer</t>
  </si>
  <si>
    <t>Power Adjustment Balancing Account (PABA) Balancing Account - Departed Load</t>
  </si>
  <si>
    <t>PCIA</t>
  </si>
  <si>
    <t>ERRA Balancing Accounts (PABA) - Departed Load</t>
  </si>
  <si>
    <t>w/Pending Total UDC</t>
  </si>
  <si>
    <t>Authorized Commodity</t>
  </si>
  <si>
    <t>w/Pending Commodity</t>
  </si>
  <si>
    <t>Total Revenue Requirement</t>
  </si>
  <si>
    <t>400 kWh Monthly Usage - Non-CARE</t>
  </si>
  <si>
    <t>400 kWh Monthly Usage - CARE</t>
  </si>
  <si>
    <t>400kWh Monthly Usage - CARE</t>
  </si>
  <si>
    <t>400kWh Monthly Usage - Non-CARE</t>
  </si>
  <si>
    <t xml:space="preserve">Authorized </t>
  </si>
  <si>
    <t>Total UDC w/Proposed</t>
  </si>
  <si>
    <t>Commodity w/Proposed</t>
  </si>
  <si>
    <t>Note: Bill inserts include CPUC fee in the calculations</t>
  </si>
  <si>
    <t>System Sales Forecast</t>
  </si>
  <si>
    <t>Change (Proposed)</t>
  </si>
  <si>
    <t>Proposed (w/ Current Revenues)</t>
  </si>
  <si>
    <t>AL 3756-E</t>
  </si>
  <si>
    <t>CARE Surcharge and Administration</t>
  </si>
  <si>
    <t>Monthly Essential Baseline Allowance -ALL-ELECTRIC (kWh)</t>
  </si>
  <si>
    <t>Monthly Essential Baseline Allowance -BASIC (kWh)</t>
  </si>
  <si>
    <t>Essential Usage Basic Bundled Non-CARE Customer</t>
  </si>
  <si>
    <t>Essential Usage Basic Bundled CARE Customer</t>
  </si>
  <si>
    <t>400 Kwh Monthly Basic Bundled Non-CARE Customer</t>
  </si>
  <si>
    <t>400 Kwh Monthly All-Electric Bundled Non-CARE Customer</t>
  </si>
  <si>
    <t>400 Kwh Monthly All-Electric Bundled CARE Customer</t>
  </si>
  <si>
    <t>Monthly Tier 1 Baseline Allowance -ALL-ELECTRIC (kWh)</t>
  </si>
  <si>
    <t>Monthly Tier 1 Baseline Allowance -BASIC (kWh)</t>
  </si>
  <si>
    <t>Monthly Tier 1 Baseline Allowance - ALL-ELECTRIC (kWh)</t>
  </si>
  <si>
    <t>Essential Usage All-Electric Bundled Non-CARE Customer</t>
  </si>
  <si>
    <t>Essential Usage All-Electric Bundled CARE Customer</t>
  </si>
  <si>
    <t xml:space="preserve">Typical Monthly Usage Basic Bundled Non-CARE Customer </t>
  </si>
  <si>
    <t xml:space="preserve">Typical Monthly Usage Basic Bundled CARE Customer </t>
  </si>
  <si>
    <t xml:space="preserve">Typical Monthly Usage All-Electric Bundled Non-CARE Customer </t>
  </si>
  <si>
    <t xml:space="preserve">Typical Monthly Usage All-Electric Bundled CARE Customer </t>
  </si>
  <si>
    <t>Basic Bundled Residential Monthly Average Bills</t>
  </si>
  <si>
    <t>Basic Bundled Residential Monthly Average Bills - Summer</t>
  </si>
  <si>
    <t>Basic Bundled Residential Monthly Average Bills - Winter</t>
  </si>
  <si>
    <t>All-Electric Bundled Residential Monthly Average Bills</t>
  </si>
  <si>
    <t>All-Electric Bundled Residential Monthly Average Bills - Summer</t>
  </si>
  <si>
    <t>Essential Usage Basic Bundled Non-CARE Customer Bill</t>
  </si>
  <si>
    <t>Essential Usage Basic Bundled CARE Customer Bill</t>
  </si>
  <si>
    <t>Essential Use  - Non-CARE</t>
  </si>
  <si>
    <t>Essential Use - CARE</t>
  </si>
  <si>
    <t>Schedule DR, All-Electric, Bundled, Single Family</t>
  </si>
  <si>
    <t>Schedule DR, Basic, Bundled, Single Family</t>
  </si>
  <si>
    <t>All-Electric Bundled Residential Monthly Average Bills - Winter</t>
  </si>
  <si>
    <t>Basic Bundled Essential Use Residential Monthly Average Bills - Winter</t>
  </si>
  <si>
    <t>Basic Bundled Essential Use Residential Monthly Average Bills - Summer</t>
  </si>
  <si>
    <t>Basic Bundled Typical Residential Monthly Average Bills - Summer</t>
  </si>
  <si>
    <t>Basic Bundled Typical Residential Monthly Average Bills - Winter</t>
  </si>
  <si>
    <t>All-Electric Bundled Typical Residential Monthly Average Bills - Winter</t>
  </si>
  <si>
    <t>All-Electric Bundled Typical Residential Monthly Average Bills - Summer</t>
  </si>
  <si>
    <t>All-Electric Bundled Typical Residential Monthly Average Bills</t>
  </si>
  <si>
    <t>All-Electric Bundled Essential Use Residential Monthly Average Bills - Summer</t>
  </si>
  <si>
    <t>All-Electric Bundled Essential Use Residential Monthly Average Bills - Winter</t>
  </si>
  <si>
    <t>All-Electric Bundled Essential Use Residential Monthly Average Bills</t>
  </si>
  <si>
    <t>Basic Bundled Essential Use Residential Monthly Average Bills</t>
  </si>
  <si>
    <t>Basic Bundled Typical Residential Monthly Average Bills</t>
  </si>
  <si>
    <t>AL 3855-E</t>
  </si>
  <si>
    <t>School Energy Efficiency Stimulus Program (SEESPBA)</t>
  </si>
  <si>
    <t>Wildfire and Natural Disaster Resiliency Rebuild Program (WNDRR)</t>
  </si>
  <si>
    <t>Total w/ CARE Adj</t>
  </si>
  <si>
    <t>Residential Uncollectable Balancing Account (RUBA) - Distribution</t>
  </si>
  <si>
    <t>Cap Balancing Account Balance (CAPBA) Trigger -Departed Load</t>
  </si>
  <si>
    <t>CAPBA Undercollection Balancing Account - Departed Load - ERRA Trigger</t>
  </si>
  <si>
    <t>CAPBA Undercollection Balancing Account - Departed Load - ERRA Forecast</t>
  </si>
  <si>
    <t>Residential Uncollectible Balancing Account (RUBA)</t>
  </si>
  <si>
    <t>Flex Alert Balancing Account (FABA)</t>
  </si>
  <si>
    <t>Economic Development Rate (EDR)</t>
  </si>
  <si>
    <t>Advanced Metering and Demand Response (AMDRMA) - Generation</t>
  </si>
  <si>
    <t>Distribution Resources Plan Demonstration (DRPDBA)</t>
  </si>
  <si>
    <t>Emergency Load Reduction (ELRBA)</t>
  </si>
  <si>
    <t>Residential Uncollectible Balancing Account (RUBA) Amortization</t>
  </si>
  <si>
    <t>Flex Alert Balancing Account (FABA) Amortization</t>
  </si>
  <si>
    <t>School Energy Efficiency Stimulus Program Bal. Acct. (SEESPBA)</t>
  </si>
  <si>
    <t>Economic Development Rate Balancing Account (EDRBA)</t>
  </si>
  <si>
    <t>Liability Insurance Premium Balancing Account (LIPBA) 2019</t>
  </si>
  <si>
    <t>Residential Uncollectable Balancing Account (RUBA) - Generation</t>
  </si>
  <si>
    <t>PABA Revenue Requirement- Bundled Customers</t>
  </si>
  <si>
    <t>Cap Balancing Account Balance (CAPBA) Trigger - Bundled Customers</t>
  </si>
  <si>
    <t>Cap Balancing Account Balance (CAPBA) Revenue Requirement - Bundled Customers</t>
  </si>
  <si>
    <t>PABA Revenue Requirement - Departed Load</t>
  </si>
  <si>
    <t>AL 3928-E</t>
  </si>
  <si>
    <t>UDC</t>
  </si>
  <si>
    <t>Current Rate</t>
  </si>
  <si>
    <t>% Change in Authorized</t>
  </si>
  <si>
    <t xml:space="preserve">in Total Rate </t>
  </si>
  <si>
    <t>% Change in Pending</t>
  </si>
  <si>
    <t>AL 4004-E</t>
  </si>
  <si>
    <t>2024 General Rate Case</t>
  </si>
  <si>
    <t>A.22-05-016</t>
  </si>
  <si>
    <t>2024-2027</t>
  </si>
  <si>
    <t>Power Adjustment Balancing Account (PABA) Revenue Requirement</t>
  </si>
  <si>
    <t>Power Adjustment Balancing Account (PABA) - Revenue Requirement Departed Load</t>
  </si>
  <si>
    <t>Catastrophic Events Memorandum Account (CEMA)</t>
  </si>
  <si>
    <t>A.22-10-021</t>
  </si>
  <si>
    <t>SYSTEM NET</t>
  </si>
  <si>
    <t>SYSTEM DELIVERED</t>
  </si>
  <si>
    <t>BUNDLED</t>
  </si>
  <si>
    <t>CARE Discounts</t>
  </si>
  <si>
    <t>* Methodology authorized in 2019 GRC Phase II; updated annually with new sales forecasts</t>
  </si>
  <si>
    <t>Incremental Rev Req</t>
  </si>
  <si>
    <t>Customer Information System Balancing Account (CISBA)</t>
  </si>
  <si>
    <t>Transition, Stabilization, and Organizational Change Management Balancing Account (TSOBA)</t>
  </si>
  <si>
    <t>GRC Private Letter Ruling (GRC PLR)</t>
  </si>
  <si>
    <t>Disadvantaged Communities – Green Tariff Balancing Account (DACGTBA)</t>
  </si>
  <si>
    <t>Community Solar Green Tariff Balancing Account (CSGTBA)</t>
  </si>
  <si>
    <t>Tree Trimming Balancing Account (TTBA) - 2019</t>
  </si>
  <si>
    <t>Advanced Metering and Demand Response - Targeted Summer Reliability Phase 2 Subaccount</t>
  </si>
  <si>
    <t>Wildfire and Natural Disaster Resiliency Rebuild Program (WNDRR) Amortization</t>
  </si>
  <si>
    <t>Transportation Electrification (TEF)</t>
  </si>
  <si>
    <t>AL 4128-E</t>
  </si>
  <si>
    <t>N/A</t>
  </si>
  <si>
    <t>2020-2021 Tree Trimming Balancing Account (TTBA)</t>
  </si>
  <si>
    <t>Power Your Drive Extension Program (PYD 2.0)</t>
  </si>
  <si>
    <t xml:space="preserve"> Requirement</t>
  </si>
  <si>
    <t>Current total system-level revenue requirement that is used for defining the reporting threshold:</t>
  </si>
  <si>
    <t>A</t>
  </si>
  <si>
    <t>One-percent reporting threshold</t>
  </si>
  <si>
    <t>List of currently open proceedings that exceed the threshold for use of the affordability metrics (proceedings shaded gray filed prior to D.22-08-023):</t>
  </si>
  <si>
    <t>B</t>
  </si>
  <si>
    <t>C</t>
  </si>
  <si>
    <t>D</t>
  </si>
  <si>
    <t>E</t>
  </si>
  <si>
    <t>List of currently open proceedings for which affordability metrics have been filed:</t>
  </si>
  <si>
    <t>List of currently open proceedings that do not exceed the threshold for use of the affordability metrics (proceedings shaded gray filed prior to D.22-08-023):</t>
  </si>
  <si>
    <t>Total system-level revenue requirement if all pending revenue were granted in full:
requests were granted in full</t>
  </si>
  <si>
    <t>YE 2024</t>
  </si>
  <si>
    <t>YE 2025</t>
  </si>
  <si>
    <t>Bundled residential average rate (RAR) if all pending revenue were granted in full (from Cost and Rate Tracker (CRT) as submitted by utility):</t>
  </si>
  <si>
    <t>cents/kWh</t>
  </si>
  <si>
    <t>($000)</t>
  </si>
  <si>
    <t xml:space="preserve">2022 Recorded Average Basic Bundled Non-CARE Customer </t>
  </si>
  <si>
    <t xml:space="preserve">2022 Recorded Average Basic All-Electric Non-CARE Customer </t>
  </si>
  <si>
    <t xml:space="preserve">2022 Recorded Average Basic Bundled CARE Customer </t>
  </si>
  <si>
    <t xml:space="preserve">2022 Recorded Average Basic All-Electric CARE Customer </t>
  </si>
  <si>
    <t>2024 GRC</t>
  </si>
  <si>
    <t>YE 2026</t>
  </si>
  <si>
    <t>YE 2027</t>
  </si>
  <si>
    <t>A.22-12-008</t>
  </si>
  <si>
    <t>Real Time Pricing (RTP) Pilot</t>
  </si>
  <si>
    <t>2024 SALES DETERMINANTS</t>
  </si>
  <si>
    <t>Bundled Residential Rate (cents/kWh)</t>
  </si>
  <si>
    <t>Current - Calculated</t>
  </si>
  <si>
    <t>Bundled residential weighted average monthly bill corresponding to RAR above for typical customer in Coastal climate zone using 400 kWh on Basic service (from CRT as submitted by utility):</t>
  </si>
  <si>
    <t>Transportation Electrification Advisory Services (TEAS)</t>
  </si>
  <si>
    <t>Rate design proceeding which does not request incremental revenues; however, pursuant to D.22-08-023, OP 7, the Commission required SDG&amp;E to submit affordability metrics.</t>
  </si>
  <si>
    <t>ERRA Forecast + GHG Costs</t>
  </si>
  <si>
    <t>*</t>
  </si>
  <si>
    <t>2024 GRC P2*</t>
  </si>
  <si>
    <t>Residential Allocation</t>
  </si>
  <si>
    <t>WMPMA</t>
  </si>
  <si>
    <t>A.22-05-016 Track 2</t>
  </si>
  <si>
    <t>Balancing Account Balances frozen at current values</t>
  </si>
  <si>
    <t>Incremental Revenue Requirement with FF&amp;U ($000) - Breakout by Year
Note: values for outer years are held constant for items that request changes only one year in advance</t>
  </si>
  <si>
    <t>AL 4103-E</t>
  </si>
  <si>
    <t>2023 Recorded Average Basic Bundled Non-CARE Customer Bill</t>
  </si>
  <si>
    <t xml:space="preserve">2023 Recorded Average All-Electric Bundled Non-CARE Customer </t>
  </si>
  <si>
    <t>2023 Recorded Data - Average Monthly Usage - BASIC kWh</t>
  </si>
  <si>
    <t>2023 Recorded Data - Average Monthly Usage - ALL-ELECTRIC kWh</t>
  </si>
  <si>
    <t>Current - 2024 Sales</t>
  </si>
  <si>
    <t>Percentage of Income Payment Plan Balancing Account (PIPPBA) - Bundled</t>
  </si>
  <si>
    <t>Percentage of Income Payment Plan Balancing Account (PIPPBA) - CCA</t>
  </si>
  <si>
    <t>BioMat Non-Bypassable Charge Balancing Account (BNBCBA)</t>
  </si>
  <si>
    <t>CT O&amp;M Advisory Program (TEAS)</t>
  </si>
  <si>
    <t>MCAM</t>
  </si>
  <si>
    <t>Microgrid Balancing Account (MGBA)</t>
  </si>
  <si>
    <t>Microgrid Reservation Capacity Component-Standby Charge Suspension Account (MSSA)</t>
  </si>
  <si>
    <t>Essential Use Study Balancing Account (EUSBA)</t>
  </si>
  <si>
    <t>2025 ERRA Forecast</t>
  </si>
  <si>
    <t>2025 Public Purpose Program (PPP)</t>
  </si>
  <si>
    <t>2025 Regulatory Accounts</t>
  </si>
  <si>
    <t>Annual</t>
  </si>
  <si>
    <t>RSBA</t>
  </si>
  <si>
    <t>TACBAA</t>
  </si>
  <si>
    <t>BTRR</t>
  </si>
  <si>
    <t>TRBAA</t>
  </si>
  <si>
    <t>2024 GRC Track 2 - Wildfire Mitigation Costs (WMPMA)</t>
  </si>
  <si>
    <t>AL 4344-E</t>
  </si>
  <si>
    <t>1/1/2024</t>
  </si>
  <si>
    <t>3/1/2024</t>
  </si>
  <si>
    <t>Small Commercial</t>
  </si>
  <si>
    <t>Schedule TOU-A</t>
  </si>
  <si>
    <t>On-Peak Summer - Secondary</t>
  </si>
  <si>
    <t xml:space="preserve">Bundled Small Commercial Rev Req </t>
  </si>
  <si>
    <t>Off-Peak Summer - Secondary</t>
  </si>
  <si>
    <t>On-Peak Winter - Secondary</t>
  </si>
  <si>
    <t>Off-Peak Winter - Secondary</t>
  </si>
  <si>
    <t>Bundled Small Commercial Rate (cents/kWh)</t>
  </si>
  <si>
    <t>SCHEDULE TOU-A RATES ($/kWh)</t>
  </si>
  <si>
    <t>2022 Recorded Data</t>
  </si>
  <si>
    <t>NAICS</t>
  </si>
  <si>
    <t>On-Peak - Secondary</t>
  </si>
  <si>
    <t>kWh</t>
  </si>
  <si>
    <t>On-Peak</t>
  </si>
  <si>
    <t>Off-Peak</t>
  </si>
  <si>
    <t>Average Max Demand</t>
  </si>
  <si>
    <t>Off-Peak - Secondary</t>
  </si>
  <si>
    <t>NAICS 531</t>
  </si>
  <si>
    <t>NAICS 621</t>
  </si>
  <si>
    <t>NAICS 722</t>
  </si>
  <si>
    <t>Note: Bill estimates include CPUC fee in the calculations</t>
  </si>
  <si>
    <t>SCHEDULE TOU-A</t>
  </si>
  <si>
    <t>Basic Service Fee</t>
  </si>
  <si>
    <t xml:space="preserve">            0-5 kW</t>
  </si>
  <si>
    <t xml:space="preserve">          5-20 kW</t>
  </si>
  <si>
    <t xml:space="preserve">          20-50 kW</t>
  </si>
  <si>
    <t xml:space="preserve">          &gt;50 kW</t>
  </si>
  <si>
    <t>Small Commercial Allocation</t>
  </si>
  <si>
    <t>2023 Recorded Data</t>
  </si>
  <si>
    <t>Rate Impact for Year (2024-2028)</t>
  </si>
  <si>
    <t>Small Commercial Monthly Average Bills</t>
  </si>
  <si>
    <t>Small Commercial Monthly Average Bills - Summer</t>
  </si>
  <si>
    <t>Small Commercial Monthly Average Bills - Winter</t>
  </si>
  <si>
    <t>Small Commercial (TOU-A)</t>
  </si>
  <si>
    <t xml:space="preserve">2023 Recorded Average Basic Bundled Non-CARE Customer </t>
  </si>
  <si>
    <t>Annual Period 2024</t>
  </si>
  <si>
    <t>YE 2028</t>
  </si>
  <si>
    <t>A.23-01-008</t>
  </si>
  <si>
    <t>D.23-12-021, AL 4344-E,AL 4300-E, D.22-12-042, A.23-05-013</t>
  </si>
  <si>
    <t>ERRA BA/Trigger - Departed Load</t>
  </si>
  <si>
    <t>Energy Efficiency (EE) / (Post-1997 Electric Energy Efficiency (PEEE)</t>
  </si>
  <si>
    <t>2023 Recorded Average Basic Bundled CARE Customer Bill</t>
  </si>
  <si>
    <t xml:space="preserve">2023 Recorded Average All-Electric Bundled CARE Customer </t>
  </si>
  <si>
    <t>D.22-12-042, AL 4344-E, A.23-05-013, AL 4300-E</t>
  </si>
  <si>
    <t>D.22-12-042, AL 4344-E, Resolution E-5217, AL 4300-E</t>
  </si>
  <si>
    <t>AL 4344-E, Resolution E-5217</t>
  </si>
  <si>
    <t>D.19-09-051, AL 3352-E, AL 3669-E-A, AL-3808-E, AL 4344-E, Resolution E-5217, A.22-12-008</t>
  </si>
  <si>
    <t>D.23-12-021, AL 4344-E, Resolution E-5217</t>
  </si>
  <si>
    <t>AL 4291-E, AL 4344-E, Resolution E-5217</t>
  </si>
  <si>
    <t>D.14-06-029, AL 4344-E, Resolution E-5217</t>
  </si>
  <si>
    <t>cpuc fee</t>
  </si>
  <si>
    <t>2025-2028</t>
  </si>
  <si>
    <t>July 2024 Update Filing</t>
  </si>
  <si>
    <t>2023-2027 Demand Response (incremental to what is in current balancing accounts)</t>
  </si>
  <si>
    <t>D.23-12-005</t>
  </si>
  <si>
    <t>GRC Track 2 – 2019-2022 WMPMA**</t>
  </si>
  <si>
    <t>**</t>
  </si>
  <si>
    <t>D.23-11-006</t>
  </si>
  <si>
    <t>Bundled small commercial average rate (TOU-A) if all pending revenue were granted in full (from Cost and Rate Tracker (CRT) as submitted by utility):</t>
  </si>
  <si>
    <t>Bundled small commercial weighted average monthly bill corresponding to TOU-A above for typical customer in Coastal climate zone using 400 kWh on Basic service (from CRT as submitted by utility):</t>
  </si>
  <si>
    <t>Residential Bi-annual Climate Credit</t>
  </si>
  <si>
    <t>California Climate Credit</t>
  </si>
  <si>
    <t>A.24-03-018</t>
  </si>
  <si>
    <t>Diablo Canyon Power Plant NBC</t>
  </si>
  <si>
    <t xml:space="preserve">ERRA 2025 </t>
  </si>
  <si>
    <t>A.24-05-010</t>
  </si>
  <si>
    <t>Incremental revenue requirement from 2026-2028.</t>
  </si>
  <si>
    <t>2025 SALES DETERMINANTS</t>
  </si>
  <si>
    <t>Reporting Date: Quarter Ended September 30</t>
  </si>
  <si>
    <t>D.24-06-003</t>
  </si>
  <si>
    <t>D.24-07-013</t>
  </si>
  <si>
    <t>SD REN</t>
  </si>
  <si>
    <t>D.24-08-003</t>
  </si>
  <si>
    <t>D.21-05-003, D.22-12-031, AL 4310-E/3246-G, AL 4300-E</t>
  </si>
  <si>
    <t>D.21-05-003, D.22-12-031, AL 4092-E,AL 4300-E</t>
  </si>
  <si>
    <t>D.19-09-051, AL 3450-E</t>
  </si>
  <si>
    <t>D.19-09-051, AL 3352-E, AL 3669-E-A, AL-3808-E</t>
  </si>
  <si>
    <t>D.23-12-021, AL 4344-E</t>
  </si>
  <si>
    <t>D.21-02-014, D.21-12-040, D.22-12-042, AL 4344-E</t>
  </si>
  <si>
    <t>D.22-12-042, AL 4344-E, A.23-05-013</t>
  </si>
  <si>
    <t>D.22-12-042</t>
  </si>
  <si>
    <t>D.22-12-042, AL 4344-E, Resolution E-5217</t>
  </si>
  <si>
    <t>D.21-05-003, AL 4092-E</t>
  </si>
  <si>
    <t>D.23-12-021</t>
  </si>
  <si>
    <t>D.22-12-042, D.23-12-021, Resolution E-5217</t>
  </si>
  <si>
    <t>AL 3934-E</t>
  </si>
  <si>
    <t>D.23-11-090</t>
  </si>
  <si>
    <t>D. 18-08-008, D.22-12-031, AL 3991-E</t>
  </si>
  <si>
    <t>Resolution E-5214, AL 3900-E</t>
  </si>
  <si>
    <t>AL 4055-E</t>
  </si>
  <si>
    <t>D.22-03-009</t>
  </si>
  <si>
    <t>AL 4233-E, Resolution E-5300</t>
  </si>
  <si>
    <t>D.24-02-010</t>
  </si>
  <si>
    <t>D.16-01-045, D.22-12-031, AL 3762-E</t>
  </si>
  <si>
    <t>D.19-09-051, D.22-12-031, AL 4078-E, AL 4078-E-A,AL 4300-E</t>
  </si>
  <si>
    <t>D.19-08-026, D.22-12-031, AL 3489-E-A, AL 4300-E</t>
  </si>
  <si>
    <t>D.19-11-017, D.22-12-031, AL 3480-E-A,AL 4300-E</t>
  </si>
  <si>
    <t>D.19-08-026, D.22-12-031, AL 3489-E-A,AL 4300-E</t>
  </si>
  <si>
    <t>D.18-01-024, AL 3219-E</t>
  </si>
  <si>
    <t>D.21-04-014, D.22-12-031, AL 3765-E, AL 3765-E-A, AL 4300-E</t>
  </si>
  <si>
    <t>D.08-02-034, AL 2209-E, AL 4319-E</t>
  </si>
  <si>
    <t>D.08-02-034, AL 2069-E, AL 4319-E</t>
  </si>
  <si>
    <t>D.14-01-002, AL 4319-E</t>
  </si>
  <si>
    <t>D.12-12-004, AL 2816-E, AL 4319-E</t>
  </si>
  <si>
    <t>AL 4291-E</t>
  </si>
  <si>
    <t>AL 4285-E, AL 4344-E, Resolution E-5217</t>
  </si>
  <si>
    <t>A.23-05-013, AL 4291-E</t>
  </si>
  <si>
    <t>ER24-524-000</t>
  </si>
  <si>
    <t>ER24-370-000</t>
  </si>
  <si>
    <t>ER24-212-000</t>
  </si>
  <si>
    <t>ER24-593-000</t>
  </si>
  <si>
    <t>SDG&amp;E Electric Revenue Requirement List</t>
  </si>
  <si>
    <t>Submitted: September 1, 2024</t>
  </si>
  <si>
    <r>
      <t>Tree Mortality Non-Bypassable Charge (TMNBC)</t>
    </r>
    <r>
      <rPr>
        <sz val="11"/>
        <color theme="1"/>
        <rFont val="Arial"/>
        <family val="2"/>
      </rPr>
      <t>¹</t>
    </r>
  </si>
  <si>
    <t>1) Tree Mortality Non-Bypassable Charge revenues are confidential.</t>
  </si>
  <si>
    <t>2) This column represents the current authorized revenue requirements as of this submission.</t>
  </si>
  <si>
    <r>
      <t>AL 4366-E</t>
    </r>
    <r>
      <rPr>
        <sz val="11"/>
        <color theme="1"/>
        <rFont val="Arial"/>
        <family val="2"/>
      </rPr>
      <t>²</t>
    </r>
  </si>
  <si>
    <r>
      <t>2025 ERRA Forecast</t>
    </r>
    <r>
      <rPr>
        <sz val="11"/>
        <color theme="1"/>
        <rFont val="Arial"/>
        <family val="2"/>
      </rPr>
      <t>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</si>
</sst>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.0%"/>
    <numFmt numFmtId="166" formatCode="#.00"/>
    <numFmt numFmtId="167" formatCode="#,##0."/>
    <numFmt numFmtId="168" formatCode="&quot;$&quot;#."/>
    <numFmt numFmtId="169" formatCode="0.00_)"/>
    <numFmt numFmtId="170" formatCode="#,##0.00&quot; $&quot;;\-#,##0.00&quot; $&quot;"/>
    <numFmt numFmtId="171" formatCode="m\-d\-yy"/>
    <numFmt numFmtId="172" formatCode="_(* #,##0_);_(* \(#,##0\);_(* &quot;-&quot;??_);_(@_)"/>
    <numFmt numFmtId="173" formatCode="_(&quot;$&quot;* #,##0_);_(&quot;$&quot;* \(#,##0\);_(&quot;$&quot;* &quot;-&quot;??_);_(@_)"/>
    <numFmt numFmtId="174" formatCode="#,##0.0"/>
    <numFmt numFmtId="175" formatCode="_(* #,##0.000000_);_(* \(#,##0.000000\);_(* &quot;-&quot;??_);_(@_)"/>
    <numFmt numFmtId="176" formatCode="#,##0.00000_);[Red]\(#,##0.00000\)"/>
    <numFmt numFmtId="177" formatCode="0.00000"/>
    <numFmt numFmtId="178" formatCode="0.0"/>
    <numFmt numFmtId="179" formatCode="_(* #,##0.000_);_(* \(#,##0.000\);_(* &quot;-&quot;??_);_(@_)"/>
    <numFmt numFmtId="180" formatCode="General_)"/>
    <numFmt numFmtId="181" formatCode="0.000%"/>
    <numFmt numFmtId="182" formatCode="&quot;$&quot;#,##0.00000"/>
    <numFmt numFmtId="183" formatCode="#,##0.00000_);\(#,##0.00000\)"/>
    <numFmt numFmtId="184" formatCode="_(* #,##0.00000_);_(* \(#,##0.00000\);_(* &quot;-&quot;??_);_(@_)"/>
    <numFmt numFmtId="185" formatCode="0.000"/>
    <numFmt numFmtId="186" formatCode="0.0000"/>
    <numFmt numFmtId="187" formatCode="0.00_);\(0.00\)"/>
    <numFmt numFmtId="188" formatCode="[$-F800]dddd\,\ mmmm\ dd\,\ yyyy"/>
    <numFmt numFmtId="189" formatCode="0.0000000000"/>
    <numFmt numFmtId="190" formatCode="_-* #,##0.0_-;\-* #,##0.0_-;_-* &quot;-&quot;??_-;_-@_-"/>
    <numFmt numFmtId="191" formatCode="&quot;$&quot;#,##0.00"/>
    <numFmt numFmtId="192" formatCode="&quot;$&quot;#,##0"/>
    <numFmt numFmtId="193" formatCode="#,##0.000_);[Red]\(#,##0.000\)"/>
    <numFmt numFmtId="194" formatCode="#,##0.000"/>
    <numFmt numFmtId="195" formatCode="#,##0.000_);\(#,##0.000\)"/>
  </numFmts>
  <fonts count="6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sz val="8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color indexed="12"/>
      <name val="Arial"/>
      <family val="2"/>
    </font>
    <font>
      <sz val="12"/>
      <name val="Garamond"/>
      <family val="1"/>
    </font>
    <font>
      <b/>
      <sz val="12"/>
      <name val="Garamond"/>
      <family val="1"/>
    </font>
    <font>
      <sz val="10"/>
      <name val="Garamond"/>
      <family val="1"/>
    </font>
    <font>
      <sz val="11"/>
      <color theme="1"/>
      <name val="Garamond"/>
      <family val="1"/>
    </font>
    <font>
      <b/>
      <sz val="10"/>
      <name val="Garamond"/>
      <family val="1"/>
    </font>
    <font>
      <sz val="10"/>
      <color indexed="10"/>
      <name val="Garamond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Garamond"/>
      <family val="1"/>
    </font>
    <font>
      <b/>
      <sz val="11"/>
      <name val="Garamond"/>
      <family val="1"/>
    </font>
    <font>
      <b/>
      <sz val="11"/>
      <color theme="1"/>
      <name val="Garamond"/>
      <family val="1"/>
    </font>
    <font>
      <sz val="11"/>
      <color rgb="FF3333FF"/>
      <name val="Garamond"/>
      <family val="1"/>
    </font>
    <font>
      <b/>
      <sz val="11"/>
      <color rgb="FF008AF2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2"/>
      <color rgb="FFFF0000"/>
      <name val="Garamond"/>
      <family val="1"/>
    </font>
    <font>
      <b/>
      <sz val="12"/>
      <color rgb="FF3333FF"/>
      <name val="Garamond"/>
      <family val="1"/>
    </font>
    <font>
      <sz val="12"/>
      <color theme="1"/>
      <name val="Garamond"/>
      <family val="1"/>
    </font>
    <font>
      <b/>
      <sz val="11"/>
      <color rgb="FF3333FF"/>
      <name val="Garamond"/>
      <family val="1"/>
    </font>
    <font>
      <sz val="12"/>
      <color rgb="FFFF0000"/>
      <name val="Garamond"/>
      <family val="1"/>
    </font>
    <font>
      <u/>
      <sz val="10"/>
      <name val="Garamond"/>
      <family val="1"/>
    </font>
    <font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rgb="FFFF0000"/>
      <name val="Arial"/>
      <family val="2"/>
    </font>
    <font>
      <sz val="11"/>
      <color rgb="FFFF0000"/>
      <name val="Garamond"/>
      <family val="1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rgb="FF0000FF"/>
      <name val="Arial"/>
      <family val="2"/>
    </font>
    <font>
      <sz val="14"/>
      <color rgb="FFFF0000"/>
      <name val="Garamond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i/>
      <sz val="16"/>
      <name val="Helv"/>
      <family val="2"/>
    </font>
    <font>
      <sz val="10"/>
      <name val="Geneva"/>
      <family val="2"/>
    </font>
    <font>
      <sz val="11"/>
      <name val="??"/>
      <family val="3"/>
      <charset val="129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b/>
      <sz val="11"/>
      <color theme="9" tint="-0.249977111117893"/>
      <name val="Garamond"/>
      <family val="1"/>
    </font>
    <font>
      <sz val="11"/>
      <color theme="9" tint="-0.249977111117893"/>
      <name val="Garamond"/>
      <family val="1"/>
    </font>
    <font>
      <b/>
      <sz val="12"/>
      <color theme="9" tint="-0.249977111117893"/>
      <name val="Garamond"/>
      <family val="1"/>
    </font>
    <font>
      <sz val="11"/>
      <color theme="2" tint="-9.9978637043366805E-2"/>
      <name val="Garamond"/>
      <family val="1"/>
    </font>
    <font>
      <sz val="11"/>
      <color theme="2" tint="-9.9978637043366805E-2"/>
      <name val="Calibri"/>
      <family val="2"/>
      <scheme val="minor"/>
    </font>
    <font>
      <b/>
      <sz val="8"/>
      <name val="Arial"/>
      <family val="2"/>
    </font>
    <font>
      <sz val="10"/>
      <color rgb="FFFF0000"/>
      <name val="Garamond"/>
      <family val="1"/>
    </font>
    <font>
      <b/>
      <sz val="11"/>
      <color rgb="FFFF0000"/>
      <name val="Garamond"/>
      <family val="1"/>
    </font>
    <font>
      <sz val="11"/>
      <color theme="0" tint="-0.34998626667073579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63">
    <xf numFmtId="0" fontId="0" fillId="0" borderId="0"/>
    <xf numFmtId="0" fontId="2" fillId="0" borderId="0"/>
    <xf numFmtId="171" fontId="3" fillId="2" borderId="2">
      <alignment horizontal="center" vertical="center"/>
    </xf>
    <xf numFmtId="43" fontId="2" fillId="0" borderId="0" applyFont="0" applyFill="0" applyBorder="0" applyAlignment="0" applyProtection="0"/>
    <xf numFmtId="167" fontId="5" fillId="0" borderId="0"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8" fontId="5" fillId="0" borderId="0">
      <protection locked="0"/>
    </xf>
    <xf numFmtId="0" fontId="5" fillId="0" borderId="0">
      <protection locked="0"/>
    </xf>
    <xf numFmtId="166" fontId="5" fillId="0" borderId="0">
      <protection locked="0"/>
    </xf>
    <xf numFmtId="38" fontId="6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5" fillId="0" borderId="0">
      <protection locked="0"/>
    </xf>
    <xf numFmtId="0" fontId="5" fillId="0" borderId="0">
      <protection locked="0"/>
    </xf>
    <xf numFmtId="170" fontId="2" fillId="0" borderId="0">
      <protection locked="0"/>
    </xf>
    <xf numFmtId="170" fontId="2" fillId="0" borderId="0">
      <protection locked="0"/>
    </xf>
    <xf numFmtId="0" fontId="8" fillId="0" borderId="3" applyNumberFormat="0" applyFill="0" applyAlignment="0" applyProtection="0"/>
    <xf numFmtId="10" fontId="6" fillId="4" borderId="4" applyNumberFormat="0" applyBorder="0" applyAlignment="0" applyProtection="0"/>
    <xf numFmtId="37" fontId="9" fillId="0" borderId="0"/>
    <xf numFmtId="169" fontId="1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5">
      <protection locked="0"/>
    </xf>
    <xf numFmtId="37" fontId="6" fillId="5" borderId="0" applyNumberFormat="0" applyBorder="0" applyAlignment="0" applyProtection="0"/>
    <xf numFmtId="37" fontId="6" fillId="0" borderId="0"/>
    <xf numFmtId="37" fontId="6" fillId="5" borderId="0" applyNumberFormat="0" applyBorder="0" applyAlignment="0" applyProtection="0"/>
    <xf numFmtId="3" fontId="11" fillId="0" borderId="3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44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0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" fillId="0" borderId="0"/>
    <xf numFmtId="0" fontId="2" fillId="0" borderId="0"/>
    <xf numFmtId="180" fontId="6" fillId="0" borderId="0"/>
    <xf numFmtId="9" fontId="46" fillId="0" borderId="0" applyFont="0" applyFill="0" applyBorder="0" applyAlignment="0" applyProtection="0"/>
    <xf numFmtId="44" fontId="20" fillId="0" borderId="0" applyFont="0" applyFill="0" applyBorder="0" applyAlignment="0" applyProtection="0"/>
    <xf numFmtId="42" fontId="46" fillId="0" borderId="0" applyFont="0" applyFill="0" applyBorder="0" applyAlignment="0" applyProtection="0"/>
    <xf numFmtId="43" fontId="20" fillId="0" borderId="0" applyFont="0" applyFill="0" applyBorder="0" applyAlignment="0" applyProtection="0"/>
    <xf numFmtId="41" fontId="46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4" applyNumberFormat="0" applyBorder="0" applyAlignment="0" applyProtection="0"/>
    <xf numFmtId="169" fontId="48" fillId="0" borderId="0"/>
    <xf numFmtId="0" fontId="6" fillId="5" borderId="0" applyNumberFormat="0" applyBorder="0" applyAlignment="0" applyProtection="0"/>
    <xf numFmtId="0" fontId="20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189" fontId="49" fillId="2" borderId="2">
      <alignment horizontal="center" vertical="center"/>
    </xf>
    <xf numFmtId="6" fontId="50" fillId="0" borderId="0">
      <protection locked="0"/>
    </xf>
    <xf numFmtId="190" fontId="2" fillId="0" borderId="0">
      <protection locked="0"/>
    </xf>
    <xf numFmtId="0" fontId="2" fillId="0" borderId="0"/>
    <xf numFmtId="0" fontId="2" fillId="0" borderId="0"/>
    <xf numFmtId="180" fontId="6" fillId="0" borderId="0"/>
  </cellStyleXfs>
  <cellXfs count="561">
    <xf numFmtId="0" fontId="0" fillId="0" borderId="0" xfId="0"/>
    <xf numFmtId="0" fontId="12" fillId="0" borderId="0" xfId="0" applyFont="1"/>
    <xf numFmtId="43" fontId="12" fillId="0" borderId="0" xfId="0" applyNumberFormat="1" applyFont="1"/>
    <xf numFmtId="3" fontId="12" fillId="0" borderId="0" xfId="0" applyNumberFormat="1" applyFont="1" applyAlignment="1">
      <alignment horizontal="center"/>
    </xf>
    <xf numFmtId="38" fontId="12" fillId="0" borderId="0" xfId="0" applyNumberFormat="1" applyFont="1" applyAlignment="1">
      <alignment horizontal="center"/>
    </xf>
    <xf numFmtId="10" fontId="12" fillId="0" borderId="0" xfId="25" applyNumberFormat="1" applyFont="1" applyAlignment="1">
      <alignment horizontal="center"/>
    </xf>
    <xf numFmtId="0" fontId="15" fillId="0" borderId="0" xfId="0" applyFont="1"/>
    <xf numFmtId="0" fontId="14" fillId="0" borderId="0" xfId="20" applyFont="1"/>
    <xf numFmtId="44" fontId="15" fillId="0" borderId="0" xfId="6" applyFont="1" applyBorder="1"/>
    <xf numFmtId="165" fontId="15" fillId="0" borderId="0" xfId="24" applyNumberFormat="1" applyFont="1" applyBorder="1"/>
    <xf numFmtId="0" fontId="15" fillId="0" borderId="0" xfId="0" applyFont="1" applyAlignment="1">
      <alignment horizontal="left" vertical="top"/>
    </xf>
    <xf numFmtId="0" fontId="0" fillId="0" borderId="1" xfId="0" applyBorder="1" applyAlignment="1">
      <alignment wrapText="1"/>
    </xf>
    <xf numFmtId="37" fontId="0" fillId="0" borderId="0" xfId="0" applyNumberFormat="1"/>
    <xf numFmtId="5" fontId="0" fillId="0" borderId="0" xfId="0" applyNumberFormat="1"/>
    <xf numFmtId="5" fontId="21" fillId="0" borderId="0" xfId="0" applyNumberFormat="1" applyFont="1"/>
    <xf numFmtId="3" fontId="0" fillId="0" borderId="0" xfId="0" applyNumberFormat="1"/>
    <xf numFmtId="164" fontId="0" fillId="0" borderId="0" xfId="0" applyNumberFormat="1" applyAlignment="1">
      <alignment horizontal="left"/>
    </xf>
    <xf numFmtId="164" fontId="0" fillId="0" borderId="0" xfId="0" applyNumberFormat="1"/>
    <xf numFmtId="0" fontId="1" fillId="0" borderId="0" xfId="0" applyFont="1"/>
    <xf numFmtId="0" fontId="0" fillId="0" borderId="1" xfId="0" applyBorder="1"/>
    <xf numFmtId="0" fontId="12" fillId="0" borderId="0" xfId="0" applyFont="1" applyAlignment="1">
      <alignment horizontal="center"/>
    </xf>
    <xf numFmtId="3" fontId="1" fillId="0" borderId="0" xfId="0" applyNumberFormat="1" applyFont="1"/>
    <xf numFmtId="14" fontId="1" fillId="0" borderId="0" xfId="0" applyNumberFormat="1" applyFont="1" applyAlignment="1">
      <alignment horizontal="right"/>
    </xf>
    <xf numFmtId="172" fontId="0" fillId="0" borderId="0" xfId="0" applyNumberFormat="1"/>
    <xf numFmtId="172" fontId="0" fillId="0" borderId="0" xfId="39" applyNumberFormat="1" applyFont="1"/>
    <xf numFmtId="172" fontId="0" fillId="0" borderId="0" xfId="39" applyNumberFormat="1" applyFont="1" applyFill="1"/>
    <xf numFmtId="41" fontId="0" fillId="0" borderId="0" xfId="0" applyNumberFormat="1"/>
    <xf numFmtId="0" fontId="0" fillId="0" borderId="0" xfId="0" applyAlignment="1">
      <alignment horizontal="right"/>
    </xf>
    <xf numFmtId="173" fontId="0" fillId="0" borderId="0" xfId="35" applyNumberFormat="1" applyFont="1"/>
    <xf numFmtId="172" fontId="0" fillId="0" borderId="0" xfId="39" applyNumberFormat="1" applyFont="1" applyBorder="1"/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0" xfId="0" applyAlignment="1">
      <alignment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17" fontId="0" fillId="0" borderId="0" xfId="0" applyNumberFormat="1"/>
    <xf numFmtId="41" fontId="0" fillId="0" borderId="0" xfId="0" applyNumberFormat="1" applyAlignment="1">
      <alignment horizontal="center"/>
    </xf>
    <xf numFmtId="173" fontId="0" fillId="0" borderId="0" xfId="35" applyNumberFormat="1" applyFont="1" applyBorder="1"/>
    <xf numFmtId="37" fontId="1" fillId="0" borderId="0" xfId="0" applyNumberFormat="1" applyFont="1"/>
    <xf numFmtId="0" fontId="26" fillId="0" borderId="0" xfId="1" applyFont="1" applyAlignment="1">
      <alignment horizontal="center"/>
    </xf>
    <xf numFmtId="0" fontId="27" fillId="0" borderId="0" xfId="1" applyFont="1"/>
    <xf numFmtId="0" fontId="26" fillId="0" borderId="0" xfId="1" applyFont="1"/>
    <xf numFmtId="0" fontId="26" fillId="0" borderId="0" xfId="1" applyFont="1" applyAlignment="1">
      <alignment horizontal="right"/>
    </xf>
    <xf numFmtId="15" fontId="26" fillId="0" borderId="0" xfId="1" applyNumberFormat="1" applyFont="1"/>
    <xf numFmtId="49" fontId="26" fillId="0" borderId="4" xfId="1" quotePrefix="1" applyNumberFormat="1" applyFont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right"/>
    </xf>
    <xf numFmtId="1" fontId="26" fillId="6" borderId="4" xfId="1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0" borderId="8" xfId="1" applyFont="1" applyBorder="1"/>
    <xf numFmtId="0" fontId="15" fillId="0" borderId="0" xfId="0" applyFont="1" applyAlignment="1">
      <alignment horizontal="center"/>
    </xf>
    <xf numFmtId="0" fontId="28" fillId="0" borderId="7" xfId="0" applyFont="1" applyBorder="1"/>
    <xf numFmtId="0" fontId="28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9" fontId="15" fillId="0" borderId="0" xfId="40" applyFont="1" applyFill="1" applyBorder="1" applyAlignment="1">
      <alignment horizontal="center"/>
    </xf>
    <xf numFmtId="0" fontId="15" fillId="0" borderId="0" xfId="0" applyFont="1" applyAlignment="1">
      <alignment horizontal="right"/>
    </xf>
    <xf numFmtId="0" fontId="15" fillId="0" borderId="4" xfId="0" applyFont="1" applyBorder="1"/>
    <xf numFmtId="0" fontId="29" fillId="0" borderId="0" xfId="0" applyFont="1" applyAlignment="1">
      <alignment horizontal="center"/>
    </xf>
    <xf numFmtId="14" fontId="26" fillId="0" borderId="4" xfId="1" quotePrefix="1" applyNumberFormat="1" applyFont="1" applyBorder="1" applyAlignment="1">
      <alignment horizontal="center" wrapText="1"/>
    </xf>
    <xf numFmtId="0" fontId="26" fillId="0" borderId="4" xfId="1" applyFont="1" applyBorder="1" applyAlignment="1">
      <alignment horizontal="center" wrapText="1"/>
    </xf>
    <xf numFmtId="0" fontId="26" fillId="0" borderId="17" xfId="1" applyFont="1" applyBorder="1" applyAlignment="1">
      <alignment horizontal="center" wrapText="1"/>
    </xf>
    <xf numFmtId="174" fontId="26" fillId="0" borderId="21" xfId="1" applyNumberFormat="1" applyFont="1" applyBorder="1" applyAlignment="1">
      <alignment horizontal="center"/>
    </xf>
    <xf numFmtId="165" fontId="26" fillId="0" borderId="22" xfId="25" applyNumberFormat="1" applyFont="1" applyFill="1" applyBorder="1" applyAlignment="1">
      <alignment horizontal="center"/>
    </xf>
    <xf numFmtId="165" fontId="26" fillId="0" borderId="23" xfId="25" applyNumberFormat="1" applyFont="1" applyFill="1" applyBorder="1" applyAlignment="1">
      <alignment horizontal="center"/>
    </xf>
    <xf numFmtId="174" fontId="26" fillId="0" borderId="27" xfId="1" applyNumberFormat="1" applyFont="1" applyBorder="1" applyAlignment="1">
      <alignment horizontal="center"/>
    </xf>
    <xf numFmtId="165" fontId="26" fillId="0" borderId="27" xfId="25" applyNumberFormat="1" applyFont="1" applyFill="1" applyBorder="1" applyAlignment="1">
      <alignment horizontal="center"/>
    </xf>
    <xf numFmtId="165" fontId="26" fillId="0" borderId="28" xfId="25" applyNumberFormat="1" applyFont="1" applyFill="1" applyBorder="1" applyAlignment="1">
      <alignment horizontal="center"/>
    </xf>
    <xf numFmtId="174" fontId="15" fillId="0" borderId="0" xfId="0" applyNumberFormat="1" applyFont="1"/>
    <xf numFmtId="0" fontId="26" fillId="0" borderId="18" xfId="1" applyFont="1" applyBorder="1" applyAlignment="1">
      <alignment horizontal="center"/>
    </xf>
    <xf numFmtId="0" fontId="26" fillId="0" borderId="1" xfId="1" applyFont="1" applyBorder="1" applyAlignment="1">
      <alignment horizontal="center"/>
    </xf>
    <xf numFmtId="165" fontId="26" fillId="0" borderId="22" xfId="22" applyNumberFormat="1" applyFont="1" applyFill="1" applyBorder="1" applyAlignment="1">
      <alignment horizontal="center"/>
    </xf>
    <xf numFmtId="165" fontId="26" fillId="0" borderId="21" xfId="22" applyNumberFormat="1" applyFont="1" applyFill="1" applyBorder="1" applyAlignment="1">
      <alignment horizontal="center"/>
    </xf>
    <xf numFmtId="165" fontId="26" fillId="0" borderId="23" xfId="22" applyNumberFormat="1" applyFont="1" applyFill="1" applyBorder="1" applyAlignment="1">
      <alignment horizontal="center"/>
    </xf>
    <xf numFmtId="165" fontId="26" fillId="0" borderId="27" xfId="22" applyNumberFormat="1" applyFont="1" applyFill="1" applyBorder="1" applyAlignment="1">
      <alignment horizontal="center"/>
    </xf>
    <xf numFmtId="165" fontId="26" fillId="0" borderId="28" xfId="22" applyNumberFormat="1" applyFont="1" applyFill="1" applyBorder="1" applyAlignment="1">
      <alignment horizontal="center"/>
    </xf>
    <xf numFmtId="0" fontId="0" fillId="7" borderId="0" xfId="0" applyFill="1"/>
    <xf numFmtId="0" fontId="1" fillId="7" borderId="0" xfId="0" applyFont="1" applyFill="1"/>
    <xf numFmtId="3" fontId="1" fillId="7" borderId="6" xfId="0" applyNumberFormat="1" applyFont="1" applyFill="1" applyBorder="1"/>
    <xf numFmtId="37" fontId="0" fillId="6" borderId="0" xfId="0" applyNumberFormat="1" applyFill="1"/>
    <xf numFmtId="0" fontId="0" fillId="6" borderId="0" xfId="0" applyFill="1"/>
    <xf numFmtId="5" fontId="21" fillId="6" borderId="0" xfId="0" applyNumberFormat="1" applyFont="1" applyFill="1"/>
    <xf numFmtId="0" fontId="0" fillId="0" borderId="0" xfId="0" applyAlignment="1">
      <alignment horizontal="left" wrapText="1"/>
    </xf>
    <xf numFmtId="0" fontId="31" fillId="6" borderId="0" xfId="0" applyFont="1" applyFill="1" applyAlignment="1">
      <alignment horizontal="right"/>
    </xf>
    <xf numFmtId="0" fontId="32" fillId="0" borderId="0" xfId="0" applyFont="1" applyAlignment="1">
      <alignment horizontal="center" wrapText="1"/>
    </xf>
    <xf numFmtId="0" fontId="27" fillId="0" borderId="0" xfId="1" applyFont="1" applyAlignment="1">
      <alignment horizontal="right"/>
    </xf>
    <xf numFmtId="0" fontId="27" fillId="0" borderId="7" xfId="1" applyFont="1" applyBorder="1" applyAlignment="1">
      <alignment horizontal="center"/>
    </xf>
    <xf numFmtId="0" fontId="15" fillId="0" borderId="0" xfId="0" applyFont="1" applyAlignment="1">
      <alignment vertical="top" wrapText="1"/>
    </xf>
    <xf numFmtId="172" fontId="26" fillId="0" borderId="0" xfId="3" applyNumberFormat="1" applyFont="1" applyFill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31" xfId="0" applyFont="1" applyBorder="1" applyAlignment="1">
      <alignment horizontal="center" wrapText="1"/>
    </xf>
    <xf numFmtId="10" fontId="12" fillId="8" borderId="0" xfId="24" applyNumberFormat="1" applyFont="1" applyFill="1" applyAlignment="1">
      <alignment horizontal="center"/>
    </xf>
    <xf numFmtId="165" fontId="12" fillId="0" borderId="0" xfId="24" applyNumberFormat="1" applyFont="1" applyAlignment="1">
      <alignment horizontal="center"/>
    </xf>
    <xf numFmtId="0" fontId="14" fillId="0" borderId="0" xfId="1" applyFont="1"/>
    <xf numFmtId="0" fontId="33" fillId="0" borderId="0" xfId="0" applyFont="1"/>
    <xf numFmtId="172" fontId="12" fillId="0" borderId="0" xfId="0" applyNumberFormat="1" applyFont="1" applyAlignment="1">
      <alignment horizontal="center"/>
    </xf>
    <xf numFmtId="172" fontId="12" fillId="0" borderId="0" xfId="3" applyNumberFormat="1" applyFont="1" applyFill="1"/>
    <xf numFmtId="172" fontId="26" fillId="0" borderId="0" xfId="3" applyNumberFormat="1" applyFont="1" applyBorder="1" applyAlignment="1">
      <alignment horizontal="center" wrapText="1"/>
    </xf>
    <xf numFmtId="0" fontId="33" fillId="0" borderId="0" xfId="0" applyFont="1" applyAlignment="1">
      <alignment horizontal="center"/>
    </xf>
    <xf numFmtId="9" fontId="34" fillId="0" borderId="0" xfId="40" applyFont="1" applyAlignment="1">
      <alignment horizontal="right"/>
    </xf>
    <xf numFmtId="0" fontId="12" fillId="0" borderId="32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172" fontId="12" fillId="0" borderId="32" xfId="3" applyNumberFormat="1" applyFont="1" applyBorder="1"/>
    <xf numFmtId="172" fontId="12" fillId="0" borderId="30" xfId="3" applyNumberFormat="1" applyFont="1" applyBorder="1"/>
    <xf numFmtId="172" fontId="12" fillId="8" borderId="0" xfId="0" applyNumberFormat="1" applyFont="1" applyFill="1" applyAlignment="1">
      <alignment horizontal="center"/>
    </xf>
    <xf numFmtId="43" fontId="15" fillId="0" borderId="0" xfId="0" applyNumberFormat="1" applyFont="1"/>
    <xf numFmtId="172" fontId="12" fillId="0" borderId="0" xfId="3" applyNumberFormat="1" applyFont="1" applyFill="1" applyBorder="1"/>
    <xf numFmtId="175" fontId="15" fillId="0" borderId="0" xfId="0" applyNumberFormat="1" applyFont="1"/>
    <xf numFmtId="43" fontId="12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/>
    <xf numFmtId="4" fontId="14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/>
    </xf>
    <xf numFmtId="10" fontId="12" fillId="0" borderId="0" xfId="24" applyNumberFormat="1" applyFont="1"/>
    <xf numFmtId="172" fontId="12" fillId="0" borderId="0" xfId="3" applyNumberFormat="1" applyFont="1"/>
    <xf numFmtId="0" fontId="14" fillId="0" borderId="0" xfId="0" applyFont="1" applyAlignment="1">
      <alignment horizontal="right" vertical="center"/>
    </xf>
    <xf numFmtId="0" fontId="28" fillId="0" borderId="0" xfId="0" applyFont="1"/>
    <xf numFmtId="0" fontId="27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176" fontId="26" fillId="0" borderId="0" xfId="41" applyNumberFormat="1" applyFont="1" applyAlignment="1" applyProtection="1">
      <alignment horizontal="left"/>
      <protection locked="0"/>
    </xf>
    <xf numFmtId="176" fontId="27" fillId="0" borderId="0" xfId="42" applyNumberFormat="1" applyFont="1" applyAlignment="1">
      <alignment horizontal="right"/>
    </xf>
    <xf numFmtId="177" fontId="12" fillId="8" borderId="0" xfId="0" applyNumberFormat="1" applyFont="1" applyFill="1"/>
    <xf numFmtId="173" fontId="12" fillId="0" borderId="0" xfId="35" applyNumberFormat="1" applyFont="1"/>
    <xf numFmtId="178" fontId="12" fillId="0" borderId="0" xfId="0" applyNumberFormat="1" applyFont="1" applyAlignment="1">
      <alignment horizontal="center"/>
    </xf>
    <xf numFmtId="176" fontId="26" fillId="0" borderId="0" xfId="42" quotePrefix="1" applyNumberFormat="1" applyFont="1" applyAlignment="1">
      <alignment horizontal="right"/>
    </xf>
    <xf numFmtId="3" fontId="15" fillId="0" borderId="0" xfId="0" applyNumberFormat="1" applyFont="1"/>
    <xf numFmtId="178" fontId="36" fillId="0" borderId="0" xfId="0" applyNumberFormat="1" applyFont="1"/>
    <xf numFmtId="177" fontId="12" fillId="0" borderId="0" xfId="0" applyNumberFormat="1" applyFont="1"/>
    <xf numFmtId="178" fontId="12" fillId="0" borderId="0" xfId="0" applyNumberFormat="1" applyFont="1"/>
    <xf numFmtId="177" fontId="12" fillId="0" borderId="0" xfId="0" applyNumberFormat="1" applyFont="1" applyAlignment="1">
      <alignment horizontal="center"/>
    </xf>
    <xf numFmtId="176" fontId="26" fillId="0" borderId="0" xfId="41" applyNumberFormat="1" applyFont="1" applyAlignment="1" applyProtection="1">
      <alignment horizontal="right"/>
      <protection locked="0"/>
    </xf>
    <xf numFmtId="178" fontId="15" fillId="0" borderId="0" xfId="0" applyNumberFormat="1" applyFont="1"/>
    <xf numFmtId="0" fontId="37" fillId="0" borderId="0" xfId="20" applyFont="1"/>
    <xf numFmtId="17" fontId="16" fillId="0" borderId="0" xfId="20" applyNumberFormat="1" applyFont="1" applyAlignment="1">
      <alignment horizontal="center" wrapText="1"/>
    </xf>
    <xf numFmtId="0" fontId="15" fillId="0" borderId="4" xfId="0" applyFont="1" applyBorder="1" applyAlignment="1">
      <alignment wrapText="1"/>
    </xf>
    <xf numFmtId="0" fontId="15" fillId="0" borderId="4" xfId="0" applyFont="1" applyBorder="1" applyAlignment="1">
      <alignment horizontal="center" vertical="top" wrapText="1"/>
    </xf>
    <xf numFmtId="0" fontId="14" fillId="0" borderId="7" xfId="20" applyFont="1" applyBorder="1" applyAlignment="1">
      <alignment horizontal="right"/>
    </xf>
    <xf numFmtId="14" fontId="16" fillId="0" borderId="7" xfId="20" quotePrefix="1" applyNumberFormat="1" applyFont="1" applyBorder="1" applyAlignment="1">
      <alignment horizontal="right"/>
    </xf>
    <xf numFmtId="17" fontId="16" fillId="0" borderId="7" xfId="20" applyNumberFormat="1" applyFont="1" applyBorder="1" applyAlignment="1">
      <alignment horizontal="center" wrapText="1"/>
    </xf>
    <xf numFmtId="0" fontId="15" fillId="0" borderId="7" xfId="0" applyFont="1" applyBorder="1"/>
    <xf numFmtId="0" fontId="14" fillId="0" borderId="0" xfId="20" applyFont="1" applyAlignment="1">
      <alignment horizontal="right"/>
    </xf>
    <xf numFmtId="177" fontId="15" fillId="8" borderId="0" xfId="6" applyNumberFormat="1" applyFont="1" applyFill="1"/>
    <xf numFmtId="177" fontId="15" fillId="0" borderId="0" xfId="6" applyNumberFormat="1" applyFont="1" applyFill="1"/>
    <xf numFmtId="177" fontId="15" fillId="0" borderId="0" xfId="6" applyNumberFormat="1" applyFont="1"/>
    <xf numFmtId="0" fontId="15" fillId="0" borderId="21" xfId="0" applyFont="1" applyBorder="1"/>
    <xf numFmtId="1" fontId="15" fillId="8" borderId="22" xfId="0" applyNumberFormat="1" applyFont="1" applyFill="1" applyBorder="1"/>
    <xf numFmtId="165" fontId="0" fillId="0" borderId="0" xfId="40" applyNumberFormat="1" applyFont="1" applyFill="1"/>
    <xf numFmtId="0" fontId="15" fillId="0" borderId="22" xfId="0" applyFont="1" applyBorder="1"/>
    <xf numFmtId="165" fontId="0" fillId="0" borderId="0" xfId="40" applyNumberFormat="1" applyFont="1" applyFill="1" applyBorder="1"/>
    <xf numFmtId="44" fontId="15" fillId="0" borderId="0" xfId="6" applyFont="1" applyFill="1" applyBorder="1"/>
    <xf numFmtId="0" fontId="15" fillId="0" borderId="9" xfId="0" applyFont="1" applyBorder="1"/>
    <xf numFmtId="1" fontId="15" fillId="8" borderId="9" xfId="0" applyNumberFormat="1" applyFont="1" applyFill="1" applyBorder="1"/>
    <xf numFmtId="1" fontId="17" fillId="0" borderId="0" xfId="20" applyNumberFormat="1" applyFont="1"/>
    <xf numFmtId="1" fontId="14" fillId="0" borderId="0" xfId="20" applyNumberFormat="1" applyFont="1"/>
    <xf numFmtId="1" fontId="27" fillId="0" borderId="0" xfId="0" applyNumberFormat="1" applyFont="1" applyAlignment="1">
      <alignment horizontal="center" wrapText="1"/>
    </xf>
    <xf numFmtId="165" fontId="0" fillId="0" borderId="0" xfId="40" applyNumberFormat="1" applyFont="1" applyFill="1" applyAlignment="1">
      <alignment horizontal="right"/>
    </xf>
    <xf numFmtId="1" fontId="15" fillId="0" borderId="0" xfId="0" applyNumberFormat="1" applyFont="1"/>
    <xf numFmtId="14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172" fontId="1" fillId="7" borderId="6" xfId="39" applyNumberFormat="1" applyFont="1" applyFill="1" applyBorder="1"/>
    <xf numFmtId="10" fontId="12" fillId="0" borderId="0" xfId="24" applyNumberFormat="1" applyFont="1" applyAlignment="1">
      <alignment horizontal="center"/>
    </xf>
    <xf numFmtId="9" fontId="15" fillId="0" borderId="0" xfId="40" applyFont="1"/>
    <xf numFmtId="179" fontId="12" fillId="8" borderId="0" xfId="39" applyNumberFormat="1" applyFont="1" applyFill="1" applyAlignment="1">
      <alignment horizontal="center"/>
    </xf>
    <xf numFmtId="179" fontId="12" fillId="8" borderId="0" xfId="0" applyNumberFormat="1" applyFont="1" applyFill="1" applyAlignment="1">
      <alignment horizontal="center"/>
    </xf>
    <xf numFmtId="172" fontId="26" fillId="10" borderId="0" xfId="3" applyNumberFormat="1" applyFont="1" applyFill="1" applyBorder="1" applyAlignment="1">
      <alignment horizontal="center"/>
    </xf>
    <xf numFmtId="3" fontId="15" fillId="10" borderId="0" xfId="0" applyNumberFormat="1" applyFont="1" applyFill="1"/>
    <xf numFmtId="1" fontId="15" fillId="10" borderId="0" xfId="0" applyNumberFormat="1" applyFont="1" applyFill="1"/>
    <xf numFmtId="44" fontId="28" fillId="0" borderId="0" xfId="6" applyFont="1" applyFill="1" applyBorder="1"/>
    <xf numFmtId="165" fontId="15" fillId="0" borderId="0" xfId="24" applyNumberFormat="1" applyFont="1" applyFill="1" applyBorder="1"/>
    <xf numFmtId="44" fontId="15" fillId="11" borderId="0" xfId="6" applyFont="1" applyFill="1" applyBorder="1"/>
    <xf numFmtId="44" fontId="26" fillId="0" borderId="22" xfId="1" applyNumberFormat="1" applyFont="1" applyBorder="1" applyAlignment="1">
      <alignment horizontal="center"/>
    </xf>
    <xf numFmtId="44" fontId="26" fillId="0" borderId="30" xfId="1" applyNumberFormat="1" applyFont="1" applyBorder="1" applyAlignment="1">
      <alignment horizontal="center"/>
    </xf>
    <xf numFmtId="44" fontId="26" fillId="0" borderId="27" xfId="1" applyNumberFormat="1" applyFont="1" applyBorder="1" applyAlignment="1">
      <alignment horizontal="center"/>
    </xf>
    <xf numFmtId="44" fontId="26" fillId="0" borderId="25" xfId="1" applyNumberFormat="1" applyFont="1" applyBorder="1" applyAlignment="1">
      <alignment horizontal="center"/>
    </xf>
    <xf numFmtId="1" fontId="15" fillId="0" borderId="9" xfId="0" applyNumberFormat="1" applyFont="1" applyBorder="1"/>
    <xf numFmtId="1" fontId="15" fillId="0" borderId="4" xfId="0" applyNumberFormat="1" applyFont="1" applyBorder="1"/>
    <xf numFmtId="10" fontId="12" fillId="8" borderId="0" xfId="40" applyNumberFormat="1" applyFont="1" applyFill="1" applyAlignment="1">
      <alignment horizontal="center"/>
    </xf>
    <xf numFmtId="10" fontId="15" fillId="0" borderId="0" xfId="40" applyNumberFormat="1" applyFont="1"/>
    <xf numFmtId="6" fontId="12" fillId="0" borderId="0" xfId="0" applyNumberFormat="1" applyFont="1"/>
    <xf numFmtId="0" fontId="15" fillId="9" borderId="0" xfId="0" applyFont="1" applyFill="1"/>
    <xf numFmtId="179" fontId="12" fillId="0" borderId="0" xfId="3" applyNumberFormat="1" applyFont="1" applyFill="1"/>
    <xf numFmtId="0" fontId="0" fillId="12" borderId="0" xfId="0" applyFill="1"/>
    <xf numFmtId="172" fontId="15" fillId="0" borderId="0" xfId="39" applyNumberFormat="1" applyFont="1" applyFill="1"/>
    <xf numFmtId="177" fontId="12" fillId="0" borderId="0" xfId="0" applyNumberFormat="1" applyFont="1" applyAlignment="1">
      <alignment horizontal="right"/>
    </xf>
    <xf numFmtId="0" fontId="14" fillId="9" borderId="0" xfId="20" applyFont="1" applyFill="1" applyAlignment="1">
      <alignment horizontal="right"/>
    </xf>
    <xf numFmtId="177" fontId="15" fillId="9" borderId="0" xfId="6" applyNumberFormat="1" applyFont="1" applyFill="1"/>
    <xf numFmtId="172" fontId="41" fillId="0" borderId="0" xfId="0" applyNumberFormat="1" applyFont="1"/>
    <xf numFmtId="0" fontId="41" fillId="0" borderId="0" xfId="0" applyFont="1" applyAlignment="1">
      <alignment horizontal="center"/>
    </xf>
    <xf numFmtId="14" fontId="27" fillId="0" borderId="0" xfId="0" applyNumberFormat="1" applyFont="1" applyAlignment="1">
      <alignment horizontal="center" wrapText="1"/>
    </xf>
    <xf numFmtId="49" fontId="26" fillId="0" borderId="4" xfId="1" quotePrefix="1" applyNumberFormat="1" applyFont="1" applyBorder="1" applyAlignment="1">
      <alignment horizontal="center" wrapText="1"/>
    </xf>
    <xf numFmtId="0" fontId="27" fillId="0" borderId="0" xfId="1" applyFont="1" applyAlignment="1">
      <alignment horizontal="center"/>
    </xf>
    <xf numFmtId="172" fontId="15" fillId="0" borderId="0" xfId="0" applyNumberFormat="1" applyFont="1"/>
    <xf numFmtId="14" fontId="0" fillId="0" borderId="0" xfId="0" applyNumberFormat="1" applyAlignment="1">
      <alignment horizontal="left"/>
    </xf>
    <xf numFmtId="3" fontId="1" fillId="0" borderId="6" xfId="0" applyNumberFormat="1" applyFont="1" applyBorder="1"/>
    <xf numFmtId="173" fontId="0" fillId="0" borderId="0" xfId="35" applyNumberFormat="1" applyFont="1" applyFill="1"/>
    <xf numFmtId="5" fontId="24" fillId="0" borderId="0" xfId="0" applyNumberFormat="1" applyFont="1"/>
    <xf numFmtId="37" fontId="0" fillId="0" borderId="0" xfId="0" applyNumberFormat="1" applyAlignment="1">
      <alignment horizontal="center"/>
    </xf>
    <xf numFmtId="172" fontId="20" fillId="0" borderId="0" xfId="39" applyNumberFormat="1" applyFont="1" applyFill="1"/>
    <xf numFmtId="43" fontId="0" fillId="6" borderId="0" xfId="39" applyFont="1" applyFill="1" applyAlignment="1">
      <alignment horizontal="right"/>
    </xf>
    <xf numFmtId="0" fontId="0" fillId="6" borderId="0" xfId="0" applyFill="1" applyAlignment="1">
      <alignment horizontal="right"/>
    </xf>
    <xf numFmtId="5" fontId="21" fillId="6" borderId="0" xfId="0" applyNumberFormat="1" applyFont="1" applyFill="1" applyAlignment="1">
      <alignment horizontal="right"/>
    </xf>
    <xf numFmtId="172" fontId="26" fillId="0" borderId="0" xfId="3" applyNumberFormat="1" applyFont="1" applyAlignment="1">
      <alignment horizontal="center"/>
    </xf>
    <xf numFmtId="9" fontId="15" fillId="0" borderId="0" xfId="40" applyFont="1" applyAlignment="1">
      <alignment horizontal="center"/>
    </xf>
    <xf numFmtId="0" fontId="29" fillId="0" borderId="26" xfId="0" applyFont="1" applyBorder="1" applyAlignment="1">
      <alignment horizontal="center"/>
    </xf>
    <xf numFmtId="0" fontId="27" fillId="0" borderId="29" xfId="1" applyFont="1" applyBorder="1"/>
    <xf numFmtId="0" fontId="26" fillId="0" borderId="36" xfId="1" applyFont="1" applyBorder="1" applyAlignment="1">
      <alignment horizontal="center" wrapText="1"/>
    </xf>
    <xf numFmtId="0" fontId="26" fillId="0" borderId="29" xfId="1" applyFont="1" applyBorder="1" applyAlignment="1">
      <alignment horizontal="center" wrapText="1"/>
    </xf>
    <xf numFmtId="0" fontId="26" fillId="0" borderId="0" xfId="1" applyFont="1" applyAlignment="1">
      <alignment horizontal="center" wrapText="1"/>
    </xf>
    <xf numFmtId="165" fontId="26" fillId="0" borderId="22" xfId="25" applyNumberFormat="1" applyFont="1" applyBorder="1" applyAlignment="1">
      <alignment horizontal="center"/>
    </xf>
    <xf numFmtId="165" fontId="26" fillId="0" borderId="32" xfId="25" applyNumberFormat="1" applyFont="1" applyBorder="1" applyAlignment="1">
      <alignment horizontal="center"/>
    </xf>
    <xf numFmtId="165" fontId="26" fillId="0" borderId="29" xfId="25" applyNumberFormat="1" applyFont="1" applyBorder="1" applyAlignment="1">
      <alignment horizontal="center"/>
    </xf>
    <xf numFmtId="165" fontId="26" fillId="0" borderId="0" xfId="25" applyNumberFormat="1" applyFont="1" applyAlignment="1">
      <alignment horizontal="center"/>
    </xf>
    <xf numFmtId="165" fontId="26" fillId="0" borderId="27" xfId="25" applyNumberFormat="1" applyFont="1" applyBorder="1" applyAlignment="1">
      <alignment horizontal="center"/>
    </xf>
    <xf numFmtId="165" fontId="26" fillId="0" borderId="37" xfId="25" applyNumberFormat="1" applyFont="1" applyBorder="1" applyAlignment="1">
      <alignment horizontal="center"/>
    </xf>
    <xf numFmtId="165" fontId="26" fillId="0" borderId="38" xfId="25" applyNumberFormat="1" applyFont="1" applyBorder="1" applyAlignment="1">
      <alignment horizontal="center"/>
    </xf>
    <xf numFmtId="172" fontId="26" fillId="0" borderId="7" xfId="3" applyNumberFormat="1" applyFont="1" applyBorder="1" applyAlignment="1">
      <alignment horizontal="center"/>
    </xf>
    <xf numFmtId="172" fontId="26" fillId="0" borderId="0" xfId="3" applyNumberFormat="1" applyFont="1" applyAlignment="1">
      <alignment horizontal="center" wrapText="1"/>
    </xf>
    <xf numFmtId="10" fontId="12" fillId="8" borderId="32" xfId="40" applyNumberFormat="1" applyFont="1" applyFill="1" applyBorder="1" applyAlignment="1">
      <alignment horizontal="center"/>
    </xf>
    <xf numFmtId="0" fontId="15" fillId="13" borderId="0" xfId="0" applyFont="1" applyFill="1"/>
    <xf numFmtId="9" fontId="34" fillId="13" borderId="0" xfId="40" applyFont="1" applyFill="1" applyAlignment="1">
      <alignment horizontal="right"/>
    </xf>
    <xf numFmtId="43" fontId="12" fillId="0" borderId="0" xfId="3" applyFont="1"/>
    <xf numFmtId="0" fontId="12" fillId="0" borderId="32" xfId="0" applyFont="1" applyBorder="1"/>
    <xf numFmtId="181" fontId="12" fillId="0" borderId="0" xfId="3" applyNumberFormat="1" applyFont="1"/>
    <xf numFmtId="172" fontId="15" fillId="0" borderId="0" xfId="39" applyNumberFormat="1" applyFont="1"/>
    <xf numFmtId="165" fontId="0" fillId="0" borderId="0" xfId="40" applyNumberFormat="1" applyFont="1" applyAlignment="1">
      <alignment horizontal="right"/>
    </xf>
    <xf numFmtId="0" fontId="14" fillId="13" borderId="0" xfId="20" applyFont="1" applyFill="1" applyAlignment="1">
      <alignment horizontal="right"/>
    </xf>
    <xf numFmtId="177" fontId="15" fillId="13" borderId="0" xfId="6" applyNumberFormat="1" applyFont="1" applyFill="1"/>
    <xf numFmtId="165" fontId="0" fillId="0" borderId="0" xfId="40" applyNumberFormat="1" applyFont="1"/>
    <xf numFmtId="44" fontId="15" fillId="0" borderId="0" xfId="6" applyFont="1"/>
    <xf numFmtId="165" fontId="15" fillId="0" borderId="0" xfId="24" applyNumberFormat="1" applyFont="1"/>
    <xf numFmtId="44" fontId="15" fillId="11" borderId="0" xfId="6" applyFont="1" applyFill="1"/>
    <xf numFmtId="44" fontId="28" fillId="0" borderId="0" xfId="6" applyFont="1"/>
    <xf numFmtId="9" fontId="34" fillId="0" borderId="0" xfId="40" applyFont="1" applyFill="1" applyAlignment="1">
      <alignment horizontal="right"/>
    </xf>
    <xf numFmtId="174" fontId="26" fillId="0" borderId="20" xfId="1" applyNumberFormat="1" applyFont="1" applyBorder="1" applyAlignment="1">
      <alignment horizontal="center"/>
    </xf>
    <xf numFmtId="174" fontId="26" fillId="0" borderId="25" xfId="1" applyNumberFormat="1" applyFont="1" applyBorder="1" applyAlignment="1">
      <alignment horizontal="center"/>
    </xf>
    <xf numFmtId="14" fontId="26" fillId="0" borderId="21" xfId="1" quotePrefix="1" applyNumberFormat="1" applyFont="1" applyBorder="1" applyAlignment="1">
      <alignment horizontal="center" wrapText="1"/>
    </xf>
    <xf numFmtId="174" fontId="26" fillId="0" borderId="35" xfId="1" applyNumberFormat="1" applyFont="1" applyBorder="1" applyAlignment="1">
      <alignment horizontal="center"/>
    </xf>
    <xf numFmtId="174" fontId="26" fillId="0" borderId="37" xfId="1" applyNumberFormat="1" applyFont="1" applyBorder="1" applyAlignment="1">
      <alignment horizontal="center"/>
    </xf>
    <xf numFmtId="0" fontId="15" fillId="0" borderId="21" xfId="0" applyFont="1" applyBorder="1" applyAlignment="1">
      <alignment horizontal="right"/>
    </xf>
    <xf numFmtId="0" fontId="15" fillId="0" borderId="22" xfId="0" applyFont="1" applyBorder="1" applyAlignment="1">
      <alignment horizontal="right"/>
    </xf>
    <xf numFmtId="0" fontId="15" fillId="0" borderId="9" xfId="0" applyFont="1" applyBorder="1" applyAlignment="1">
      <alignment horizontal="right"/>
    </xf>
    <xf numFmtId="172" fontId="36" fillId="0" borderId="0" xfId="39" applyNumberFormat="1" applyFont="1"/>
    <xf numFmtId="37" fontId="15" fillId="0" borderId="0" xfId="0" applyNumberFormat="1" applyFont="1"/>
    <xf numFmtId="0" fontId="42" fillId="6" borderId="0" xfId="0" applyFont="1" applyFill="1"/>
    <xf numFmtId="43" fontId="42" fillId="0" borderId="0" xfId="0" applyNumberFormat="1" applyFont="1"/>
    <xf numFmtId="17" fontId="0" fillId="0" borderId="0" xfId="0" applyNumberFormat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72" fontId="44" fillId="0" borderId="9" xfId="3" applyNumberFormat="1" applyFont="1" applyFill="1" applyBorder="1" applyAlignment="1">
      <alignment horizontal="right"/>
    </xf>
    <xf numFmtId="5" fontId="2" fillId="0" borderId="0" xfId="38" applyNumberFormat="1" applyFont="1" applyAlignment="1">
      <alignment horizontal="left" vertical="center"/>
    </xf>
    <xf numFmtId="43" fontId="0" fillId="0" borderId="0" xfId="39" applyFont="1" applyFill="1"/>
    <xf numFmtId="10" fontId="12" fillId="8" borderId="0" xfId="40" applyNumberFormat="1" applyFont="1" applyFill="1" applyAlignment="1">
      <alignment horizontal="right"/>
    </xf>
    <xf numFmtId="172" fontId="12" fillId="0" borderId="32" xfId="0" applyNumberFormat="1" applyFont="1" applyBorder="1" applyAlignment="1">
      <alignment horizontal="center"/>
    </xf>
    <xf numFmtId="177" fontId="15" fillId="8" borderId="31" xfId="6" applyNumberFormat="1" applyFont="1" applyFill="1" applyBorder="1"/>
    <xf numFmtId="2" fontId="15" fillId="0" borderId="0" xfId="24" applyNumberFormat="1" applyFont="1" applyFill="1" applyBorder="1"/>
    <xf numFmtId="0" fontId="14" fillId="0" borderId="39" xfId="20" applyFont="1" applyBorder="1" applyAlignment="1">
      <alignment horizontal="center"/>
    </xf>
    <xf numFmtId="182" fontId="15" fillId="0" borderId="0" xfId="0" applyNumberFormat="1" applyFont="1"/>
    <xf numFmtId="37" fontId="1" fillId="7" borderId="6" xfId="0" applyNumberFormat="1" applyFont="1" applyFill="1" applyBorder="1"/>
    <xf numFmtId="177" fontId="1" fillId="0" borderId="0" xfId="0" applyNumberFormat="1" applyFont="1"/>
    <xf numFmtId="177" fontId="0" fillId="0" borderId="0" xfId="0" applyNumberFormat="1"/>
    <xf numFmtId="183" fontId="0" fillId="0" borderId="0" xfId="0" applyNumberFormat="1"/>
    <xf numFmtId="184" fontId="12" fillId="0" borderId="0" xfId="0" applyNumberFormat="1" applyFont="1"/>
    <xf numFmtId="177" fontId="15" fillId="0" borderId="0" xfId="0" applyNumberFormat="1" applyFont="1"/>
    <xf numFmtId="172" fontId="12" fillId="0" borderId="0" xfId="0" applyNumberFormat="1" applyFont="1"/>
    <xf numFmtId="0" fontId="15" fillId="14" borderId="0" xfId="0" applyFont="1" applyFill="1"/>
    <xf numFmtId="9" fontId="34" fillId="14" borderId="0" xfId="40" applyFont="1" applyFill="1" applyAlignment="1">
      <alignment horizontal="right"/>
    </xf>
    <xf numFmtId="172" fontId="12" fillId="0" borderId="0" xfId="39" applyNumberFormat="1" applyFont="1" applyFill="1" applyAlignment="1">
      <alignment horizontal="center"/>
    </xf>
    <xf numFmtId="0" fontId="12" fillId="0" borderId="21" xfId="0" applyFont="1" applyBorder="1" applyAlignment="1">
      <alignment horizontal="center"/>
    </xf>
    <xf numFmtId="172" fontId="12" fillId="0" borderId="22" xfId="3" applyNumberFormat="1" applyFont="1" applyFill="1" applyBorder="1"/>
    <xf numFmtId="179" fontId="12" fillId="14" borderId="0" xfId="3" applyNumberFormat="1" applyFont="1" applyFill="1"/>
    <xf numFmtId="43" fontId="15" fillId="6" borderId="0" xfId="39" applyFont="1" applyFill="1"/>
    <xf numFmtId="0" fontId="15" fillId="6" borderId="0" xfId="0" applyFont="1" applyFill="1"/>
    <xf numFmtId="5" fontId="26" fillId="6" borderId="0" xfId="0" applyNumberFormat="1" applyFont="1" applyFill="1"/>
    <xf numFmtId="0" fontId="26" fillId="0" borderId="8" xfId="1" applyFont="1" applyBorder="1" applyAlignment="1">
      <alignment horizontal="center"/>
    </xf>
    <xf numFmtId="14" fontId="26" fillId="0" borderId="4" xfId="1" applyNumberFormat="1" applyFont="1" applyBorder="1" applyAlignment="1">
      <alignment horizontal="center" wrapText="1"/>
    </xf>
    <xf numFmtId="165" fontId="26" fillId="0" borderId="22" xfId="40" applyNumberFormat="1" applyFont="1" applyBorder="1" applyAlignment="1">
      <alignment horizontal="center"/>
    </xf>
    <xf numFmtId="165" fontId="26" fillId="0" borderId="27" xfId="40" applyNumberFormat="1" applyFont="1" applyBorder="1" applyAlignment="1">
      <alignment horizontal="center"/>
    </xf>
    <xf numFmtId="0" fontId="45" fillId="0" borderId="0" xfId="0" applyFont="1"/>
    <xf numFmtId="0" fontId="45" fillId="0" borderId="0" xfId="20" applyFont="1"/>
    <xf numFmtId="185" fontId="12" fillId="0" borderId="0" xfId="0" applyNumberFormat="1" applyFont="1"/>
    <xf numFmtId="186" fontId="12" fillId="0" borderId="0" xfId="0" applyNumberFormat="1" applyFont="1"/>
    <xf numFmtId="172" fontId="12" fillId="0" borderId="0" xfId="39" applyNumberFormat="1" applyFont="1" applyFill="1"/>
    <xf numFmtId="38" fontId="15" fillId="0" borderId="0" xfId="0" applyNumberFormat="1" applyFont="1"/>
    <xf numFmtId="165" fontId="26" fillId="0" borderId="30" xfId="40" applyNumberFormat="1" applyFont="1" applyBorder="1" applyAlignment="1">
      <alignment horizontal="center"/>
    </xf>
    <xf numFmtId="165" fontId="26" fillId="0" borderId="25" xfId="40" applyNumberFormat="1" applyFont="1" applyBorder="1" applyAlignment="1">
      <alignment horizontal="center"/>
    </xf>
    <xf numFmtId="0" fontId="35" fillId="0" borderId="0" xfId="0" applyFont="1"/>
    <xf numFmtId="177" fontId="15" fillId="0" borderId="0" xfId="6" applyNumberFormat="1" applyFont="1" applyFill="1" applyBorder="1"/>
    <xf numFmtId="44" fontId="15" fillId="0" borderId="0" xfId="6" applyFont="1" applyFill="1"/>
    <xf numFmtId="44" fontId="28" fillId="0" borderId="0" xfId="6" applyFont="1" applyFill="1"/>
    <xf numFmtId="0" fontId="28" fillId="0" borderId="0" xfId="0" applyFont="1" applyAlignment="1">
      <alignment wrapText="1"/>
    </xf>
    <xf numFmtId="182" fontId="15" fillId="0" borderId="0" xfId="0" applyNumberFormat="1" applyFont="1" applyAlignment="1">
      <alignment horizontal="center"/>
    </xf>
    <xf numFmtId="6" fontId="0" fillId="0" borderId="0" xfId="0" applyNumberFormat="1"/>
    <xf numFmtId="0" fontId="26" fillId="0" borderId="29" xfId="1" applyFont="1" applyBorder="1" applyAlignment="1">
      <alignment horizontal="right"/>
    </xf>
    <xf numFmtId="0" fontId="26" fillId="0" borderId="30" xfId="1" applyFont="1" applyBorder="1" applyAlignment="1">
      <alignment horizontal="right"/>
    </xf>
    <xf numFmtId="17" fontId="15" fillId="0" borderId="0" xfId="6" applyNumberFormat="1" applyFont="1" applyAlignment="1">
      <alignment horizontal="center"/>
    </xf>
    <xf numFmtId="17" fontId="15" fillId="0" borderId="0" xfId="6" quotePrefix="1" applyNumberFormat="1" applyFont="1" applyAlignment="1">
      <alignment horizontal="center"/>
    </xf>
    <xf numFmtId="44" fontId="15" fillId="0" borderId="0" xfId="0" applyNumberFormat="1" applyFont="1"/>
    <xf numFmtId="165" fontId="26" fillId="0" borderId="40" xfId="22" applyNumberFormat="1" applyFont="1" applyFill="1" applyBorder="1" applyAlignment="1">
      <alignment horizontal="center"/>
    </xf>
    <xf numFmtId="0" fontId="26" fillId="0" borderId="41" xfId="1" applyFont="1" applyBorder="1" applyAlignment="1">
      <alignment horizontal="center" wrapText="1"/>
    </xf>
    <xf numFmtId="165" fontId="26" fillId="0" borderId="30" xfId="40" applyNumberFormat="1" applyFont="1" applyFill="1" applyBorder="1" applyAlignment="1">
      <alignment horizontal="center"/>
    </xf>
    <xf numFmtId="165" fontId="26" fillId="0" borderId="42" xfId="22" applyNumberFormat="1" applyFont="1" applyFill="1" applyBorder="1" applyAlignment="1">
      <alignment horizontal="center"/>
    </xf>
    <xf numFmtId="165" fontId="26" fillId="0" borderId="25" xfId="40" applyNumberFormat="1" applyFont="1" applyFill="1" applyBorder="1" applyAlignment="1">
      <alignment horizontal="center"/>
    </xf>
    <xf numFmtId="165" fontId="26" fillId="0" borderId="38" xfId="22" applyNumberFormat="1" applyFont="1" applyFill="1" applyBorder="1" applyAlignment="1">
      <alignment horizontal="center"/>
    </xf>
    <xf numFmtId="165" fontId="26" fillId="0" borderId="27" xfId="40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/>
    </xf>
    <xf numFmtId="2" fontId="15" fillId="0" borderId="0" xfId="0" applyNumberFormat="1" applyFont="1"/>
    <xf numFmtId="187" fontId="15" fillId="0" borderId="0" xfId="0" applyNumberFormat="1" applyFont="1"/>
    <xf numFmtId="39" fontId="15" fillId="0" borderId="0" xfId="0" applyNumberFormat="1" applyFont="1"/>
    <xf numFmtId="9" fontId="12" fillId="0" borderId="0" xfId="40" applyFont="1"/>
    <xf numFmtId="10" fontId="12" fillId="0" borderId="0" xfId="40" applyNumberFormat="1" applyFont="1"/>
    <xf numFmtId="10" fontId="14" fillId="0" borderId="0" xfId="40" applyNumberFormat="1" applyFont="1"/>
    <xf numFmtId="2" fontId="15" fillId="0" borderId="0" xfId="40" applyNumberFormat="1" applyFont="1" applyBorder="1"/>
    <xf numFmtId="10" fontId="15" fillId="0" borderId="0" xfId="40" applyNumberFormat="1" applyFont="1" applyBorder="1"/>
    <xf numFmtId="43" fontId="12" fillId="0" borderId="0" xfId="0" applyNumberFormat="1" applyFont="1" applyAlignment="1">
      <alignment horizontal="right"/>
    </xf>
    <xf numFmtId="43" fontId="15" fillId="0" borderId="0" xfId="39" applyFont="1"/>
    <xf numFmtId="185" fontId="15" fillId="0" borderId="0" xfId="0" applyNumberFormat="1" applyFont="1"/>
    <xf numFmtId="178" fontId="26" fillId="0" borderId="27" xfId="35" applyNumberFormat="1" applyFont="1" applyBorder="1" applyAlignment="1">
      <alignment horizontal="center"/>
    </xf>
    <xf numFmtId="0" fontId="13" fillId="0" borderId="0" xfId="0" applyFont="1"/>
    <xf numFmtId="0" fontId="26" fillId="10" borderId="4" xfId="1" applyFont="1" applyFill="1" applyBorder="1" applyAlignment="1">
      <alignment horizontal="center"/>
    </xf>
    <xf numFmtId="0" fontId="15" fillId="10" borderId="0" xfId="0" applyFont="1" applyFill="1" applyAlignment="1">
      <alignment horizontal="right"/>
    </xf>
    <xf numFmtId="0" fontId="15" fillId="10" borderId="7" xfId="0" applyFont="1" applyFill="1" applyBorder="1" applyAlignment="1">
      <alignment horizontal="right"/>
    </xf>
    <xf numFmtId="172" fontId="12" fillId="10" borderId="0" xfId="3" applyNumberFormat="1" applyFont="1" applyFill="1"/>
    <xf numFmtId="172" fontId="12" fillId="10" borderId="32" xfId="3" applyNumberFormat="1" applyFont="1" applyFill="1" applyBorder="1"/>
    <xf numFmtId="0" fontId="42" fillId="0" borderId="0" xfId="0" applyFont="1" applyAlignment="1">
      <alignment horizontal="center"/>
    </xf>
    <xf numFmtId="44" fontId="42" fillId="0" borderId="0" xfId="0" applyNumberFormat="1" applyFont="1" applyAlignment="1">
      <alignment horizontal="center"/>
    </xf>
    <xf numFmtId="0" fontId="0" fillId="0" borderId="7" xfId="0" applyBorder="1" applyAlignment="1">
      <alignment horizontal="left" wrapText="1"/>
    </xf>
    <xf numFmtId="3" fontId="42" fillId="0" borderId="0" xfId="0" applyNumberFormat="1" applyFont="1"/>
    <xf numFmtId="0" fontId="39" fillId="0" borderId="0" xfId="0" applyFont="1" applyAlignment="1">
      <alignment vertical="center"/>
    </xf>
    <xf numFmtId="172" fontId="38" fillId="0" borderId="0" xfId="0" applyNumberFormat="1" applyFont="1" applyAlignment="1">
      <alignment vertical="center"/>
    </xf>
    <xf numFmtId="188" fontId="26" fillId="0" borderId="4" xfId="1" applyNumberFormat="1" applyFont="1" applyBorder="1" applyAlignment="1">
      <alignment horizontal="center" wrapText="1"/>
    </xf>
    <xf numFmtId="164" fontId="51" fillId="0" borderId="0" xfId="0" applyNumberFormat="1" applyFont="1" applyAlignment="1">
      <alignment wrapText="1"/>
    </xf>
    <xf numFmtId="0" fontId="1" fillId="0" borderId="0" xfId="0" applyFont="1" applyAlignment="1">
      <alignment horizontal="center"/>
    </xf>
    <xf numFmtId="6" fontId="1" fillId="0" borderId="7" xfId="0" quotePrefix="1" applyNumberFormat="1" applyFont="1" applyBorder="1" applyAlignment="1">
      <alignment horizontal="center"/>
    </xf>
    <xf numFmtId="174" fontId="26" fillId="0" borderId="26" xfId="1" applyNumberFormat="1" applyFont="1" applyBorder="1" applyAlignment="1">
      <alignment horizontal="center"/>
    </xf>
    <xf numFmtId="174" fontId="26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0" fontId="0" fillId="7" borderId="0" xfId="0" applyFill="1" applyAlignment="1">
      <alignment horizontal="right"/>
    </xf>
    <xf numFmtId="5" fontId="0" fillId="7" borderId="0" xfId="0" applyNumberFormat="1" applyFill="1"/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center"/>
    </xf>
    <xf numFmtId="0" fontId="42" fillId="0" borderId="0" xfId="0" applyFont="1"/>
    <xf numFmtId="192" fontId="0" fillId="0" borderId="0" xfId="0" applyNumberFormat="1"/>
    <xf numFmtId="0" fontId="52" fillId="0" borderId="0" xfId="0" applyFont="1"/>
    <xf numFmtId="0" fontId="22" fillId="0" borderId="0" xfId="0" applyFont="1"/>
    <xf numFmtId="5" fontId="42" fillId="0" borderId="0" xfId="0" applyNumberFormat="1" applyFont="1"/>
    <xf numFmtId="0" fontId="0" fillId="0" borderId="8" xfId="0" applyBorder="1" applyAlignment="1">
      <alignment horizontal="left" wrapText="1"/>
    </xf>
    <xf numFmtId="14" fontId="0" fillId="0" borderId="0" xfId="0" applyNumberFormat="1"/>
    <xf numFmtId="10" fontId="12" fillId="0" borderId="0" xfId="24" applyNumberFormat="1" applyFont="1" applyFill="1" applyAlignment="1">
      <alignment horizontal="center"/>
    </xf>
    <xf numFmtId="10" fontId="12" fillId="0" borderId="0" xfId="40" applyNumberFormat="1" applyFont="1" applyFill="1" applyAlignment="1">
      <alignment horizontal="right"/>
    </xf>
    <xf numFmtId="172" fontId="12" fillId="0" borderId="0" xfId="39" applyNumberFormat="1" applyFont="1" applyFill="1" applyBorder="1" applyAlignment="1">
      <alignment horizontal="center"/>
    </xf>
    <xf numFmtId="10" fontId="12" fillId="0" borderId="0" xfId="25" applyNumberFormat="1" applyFont="1" applyFill="1" applyAlignment="1">
      <alignment horizontal="center"/>
    </xf>
    <xf numFmtId="193" fontId="12" fillId="0" borderId="0" xfId="0" applyNumberFormat="1" applyFont="1" applyAlignment="1">
      <alignment horizontal="center"/>
    </xf>
    <xf numFmtId="193" fontId="12" fillId="0" borderId="0" xfId="0" applyNumberFormat="1" applyFont="1"/>
    <xf numFmtId="194" fontId="15" fillId="0" borderId="0" xfId="0" applyNumberFormat="1" applyFont="1"/>
    <xf numFmtId="193" fontId="15" fillId="0" borderId="0" xfId="0" applyNumberFormat="1" applyFont="1"/>
    <xf numFmtId="43" fontId="12" fillId="0" borderId="0" xfId="0" applyNumberFormat="1" applyFont="1" applyAlignment="1">
      <alignment horizontal="center" wrapText="1"/>
    </xf>
    <xf numFmtId="165" fontId="12" fillId="0" borderId="0" xfId="3" applyNumberFormat="1" applyFont="1"/>
    <xf numFmtId="10" fontId="15" fillId="0" borderId="0" xfId="40" applyNumberFormat="1" applyFont="1" applyFill="1"/>
    <xf numFmtId="185" fontId="15" fillId="0" borderId="0" xfId="40" applyNumberFormat="1" applyFont="1" applyBorder="1"/>
    <xf numFmtId="10" fontId="12" fillId="0" borderId="0" xfId="24" applyNumberFormat="1" applyFont="1" applyFill="1"/>
    <xf numFmtId="0" fontId="12" fillId="0" borderId="35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10" fontId="12" fillId="8" borderId="0" xfId="24" applyNumberFormat="1" applyFont="1" applyFill="1" applyBorder="1" applyAlignment="1">
      <alignment horizontal="center"/>
    </xf>
    <xf numFmtId="10" fontId="12" fillId="8" borderId="30" xfId="24" applyNumberFormat="1" applyFont="1" applyFill="1" applyBorder="1" applyAlignment="1">
      <alignment horizontal="center"/>
    </xf>
    <xf numFmtId="10" fontId="12" fillId="8" borderId="32" xfId="24" applyNumberFormat="1" applyFont="1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43" fontId="0" fillId="0" borderId="0" xfId="0" applyNumberFormat="1"/>
    <xf numFmtId="9" fontId="0" fillId="0" borderId="0" xfId="40" applyFont="1"/>
    <xf numFmtId="9" fontId="0" fillId="0" borderId="0" xfId="35" applyNumberFormat="1" applyFont="1"/>
    <xf numFmtId="9" fontId="53" fillId="0" borderId="0" xfId="35" applyNumberFormat="1" applyFont="1"/>
    <xf numFmtId="178" fontId="53" fillId="0" borderId="0" xfId="0" applyNumberFormat="1" applyFont="1"/>
    <xf numFmtId="9" fontId="53" fillId="0" borderId="0" xfId="40" applyFont="1"/>
    <xf numFmtId="175" fontId="12" fillId="0" borderId="0" xfId="0" applyNumberFormat="1" applyFont="1"/>
    <xf numFmtId="37" fontId="42" fillId="0" borderId="0" xfId="0" applyNumberFormat="1" applyFont="1"/>
    <xf numFmtId="172" fontId="42" fillId="0" borderId="0" xfId="39" applyNumberFormat="1" applyFont="1" applyAlignment="1">
      <alignment horizontal="center"/>
    </xf>
    <xf numFmtId="37" fontId="42" fillId="0" borderId="0" xfId="0" applyNumberFormat="1" applyFont="1" applyAlignment="1">
      <alignment horizontal="center"/>
    </xf>
    <xf numFmtId="195" fontId="42" fillId="0" borderId="0" xfId="0" applyNumberFormat="1" applyFont="1"/>
    <xf numFmtId="195" fontId="0" fillId="0" borderId="0" xfId="0" applyNumberFormat="1"/>
    <xf numFmtId="0" fontId="26" fillId="0" borderId="26" xfId="1" applyFont="1" applyBorder="1" applyAlignment="1">
      <alignment horizontal="right"/>
    </xf>
    <xf numFmtId="0" fontId="15" fillId="0" borderId="1" xfId="0" applyFont="1" applyBorder="1" applyAlignment="1">
      <alignment horizontal="center"/>
    </xf>
    <xf numFmtId="172" fontId="0" fillId="0" borderId="0" xfId="39" applyNumberFormat="1" applyFont="1" applyFill="1" applyBorder="1"/>
    <xf numFmtId="173" fontId="0" fillId="0" borderId="0" xfId="35" applyNumberFormat="1" applyFont="1" applyFill="1" applyBorder="1"/>
    <xf numFmtId="49" fontId="16" fillId="0" borderId="7" xfId="20" quotePrefix="1" applyNumberFormat="1" applyFont="1" applyBorder="1" applyAlignment="1">
      <alignment horizontal="right"/>
    </xf>
    <xf numFmtId="0" fontId="54" fillId="0" borderId="0" xfId="0" applyFont="1"/>
    <xf numFmtId="10" fontId="12" fillId="0" borderId="0" xfId="40" applyNumberFormat="1" applyFont="1" applyFill="1" applyAlignment="1">
      <alignment horizontal="center"/>
    </xf>
    <xf numFmtId="172" fontId="12" fillId="0" borderId="30" xfId="3" applyNumberFormat="1" applyFont="1" applyFill="1" applyBorder="1"/>
    <xf numFmtId="0" fontId="15" fillId="0" borderId="36" xfId="0" applyFont="1" applyBorder="1"/>
    <xf numFmtId="0" fontId="15" fillId="0" borderId="8" xfId="0" applyFont="1" applyBorder="1"/>
    <xf numFmtId="0" fontId="12" fillId="15" borderId="0" xfId="0" applyFont="1" applyFill="1" applyAlignment="1">
      <alignment horizontal="center" wrapText="1"/>
    </xf>
    <xf numFmtId="172" fontId="12" fillId="0" borderId="0" xfId="39" applyNumberFormat="1" applyFont="1" applyFill="1" applyBorder="1"/>
    <xf numFmtId="173" fontId="12" fillId="0" borderId="0" xfId="35" applyNumberFormat="1" applyFont="1" applyFill="1" applyBorder="1"/>
    <xf numFmtId="176" fontId="55" fillId="0" borderId="0" xfId="42" quotePrefix="1" applyNumberFormat="1" applyFont="1" applyAlignment="1">
      <alignment horizontal="right"/>
    </xf>
    <xf numFmtId="0" fontId="56" fillId="0" borderId="0" xfId="0" applyFont="1"/>
    <xf numFmtId="0" fontId="57" fillId="0" borderId="0" xfId="0" applyFont="1"/>
    <xf numFmtId="0" fontId="57" fillId="0" borderId="0" xfId="0" applyFont="1" applyAlignment="1">
      <alignment wrapText="1"/>
    </xf>
    <xf numFmtId="0" fontId="57" fillId="0" borderId="0" xfId="0" applyFont="1" applyAlignment="1">
      <alignment horizontal="center" vertical="top" wrapText="1"/>
    </xf>
    <xf numFmtId="0" fontId="57" fillId="0" borderId="0" xfId="0" applyFont="1" applyAlignment="1">
      <alignment horizontal="center"/>
    </xf>
    <xf numFmtId="0" fontId="15" fillId="0" borderId="4" xfId="0" applyFont="1" applyBorder="1" applyAlignment="1">
      <alignment horizontal="center"/>
    </xf>
    <xf numFmtId="0" fontId="57" fillId="0" borderId="0" xfId="0" applyFont="1" applyAlignment="1">
      <alignment horizontal="right"/>
    </xf>
    <xf numFmtId="1" fontId="57" fillId="0" borderId="0" xfId="0" applyNumberFormat="1" applyFont="1"/>
    <xf numFmtId="165" fontId="58" fillId="0" borderId="0" xfId="40" applyNumberFormat="1" applyFont="1" applyFill="1" applyBorder="1" applyAlignment="1">
      <alignment horizontal="right"/>
    </xf>
    <xf numFmtId="0" fontId="15" fillId="0" borderId="32" xfId="0" applyFont="1" applyBorder="1"/>
    <xf numFmtId="1" fontId="15" fillId="10" borderId="21" xfId="6" applyNumberFormat="1" applyFont="1" applyFill="1" applyBorder="1"/>
    <xf numFmtId="165" fontId="0" fillId="0" borderId="22" xfId="40" applyNumberFormat="1" applyFont="1" applyFill="1" applyBorder="1"/>
    <xf numFmtId="1" fontId="0" fillId="0" borderId="22" xfId="40" applyNumberFormat="1" applyFont="1" applyFill="1" applyBorder="1"/>
    <xf numFmtId="1" fontId="15" fillId="10" borderId="22" xfId="6" applyNumberFormat="1" applyFont="1" applyFill="1" applyBorder="1"/>
    <xf numFmtId="0" fontId="15" fillId="0" borderId="33" xfId="0" applyFont="1" applyBorder="1"/>
    <xf numFmtId="1" fontId="15" fillId="10" borderId="9" xfId="6" applyNumberFormat="1" applyFont="1" applyFill="1" applyBorder="1"/>
    <xf numFmtId="165" fontId="0" fillId="0" borderId="9" xfId="40" applyNumberFormat="1" applyFont="1" applyFill="1" applyBorder="1"/>
    <xf numFmtId="1" fontId="0" fillId="0" borderId="9" xfId="40" applyNumberFormat="1" applyFont="1" applyFill="1" applyBorder="1"/>
    <xf numFmtId="0" fontId="14" fillId="0" borderId="0" xfId="20" quotePrefix="1" applyFont="1" applyAlignment="1">
      <alignment horizontal="right"/>
    </xf>
    <xf numFmtId="180" fontId="2" fillId="0" borderId="0" xfId="62" applyFont="1"/>
    <xf numFmtId="180" fontId="6" fillId="0" borderId="0" xfId="62" applyAlignment="1">
      <alignment horizontal="left"/>
    </xf>
    <xf numFmtId="180" fontId="59" fillId="0" borderId="0" xfId="62" applyFont="1" applyAlignment="1">
      <alignment horizontal="center"/>
    </xf>
    <xf numFmtId="14" fontId="27" fillId="0" borderId="7" xfId="0" applyNumberFormat="1" applyFont="1" applyBorder="1" applyAlignment="1">
      <alignment horizontal="center" wrapText="1"/>
    </xf>
    <xf numFmtId="37" fontId="6" fillId="0" borderId="0" xfId="62" applyNumberFormat="1"/>
    <xf numFmtId="165" fontId="6" fillId="0" borderId="0" xfId="24" applyNumberFormat="1" applyFont="1" applyFill="1" applyBorder="1"/>
    <xf numFmtId="165" fontId="6" fillId="0" borderId="0" xfId="24" applyNumberFormat="1" applyFont="1" applyFill="1" applyBorder="1" applyAlignment="1">
      <alignment horizontal="right"/>
    </xf>
    <xf numFmtId="40" fontId="15" fillId="0" borderId="0" xfId="0" applyNumberFormat="1" applyFont="1"/>
    <xf numFmtId="180" fontId="6" fillId="0" borderId="0" xfId="62"/>
    <xf numFmtId="9" fontId="6" fillId="0" borderId="0" xfId="24" applyFont="1" applyFill="1" applyBorder="1" applyProtection="1"/>
    <xf numFmtId="14" fontId="16" fillId="0" borderId="0" xfId="0" applyNumberFormat="1" applyFont="1" applyAlignment="1">
      <alignment horizontal="center" wrapText="1"/>
    </xf>
    <xf numFmtId="9" fontId="34" fillId="0" borderId="0" xfId="40" applyFont="1" applyFill="1" applyBorder="1" applyAlignment="1">
      <alignment horizontal="right"/>
    </xf>
    <xf numFmtId="10" fontId="12" fillId="0" borderId="0" xfId="40" applyNumberFormat="1" applyFont="1" applyFill="1" applyBorder="1" applyAlignment="1">
      <alignment horizontal="center"/>
    </xf>
    <xf numFmtId="10" fontId="12" fillId="0" borderId="0" xfId="24" applyNumberFormat="1" applyFont="1" applyFill="1" applyBorder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vertical="top" wrapText="1"/>
    </xf>
    <xf numFmtId="0" fontId="15" fillId="0" borderId="30" xfId="0" applyFont="1" applyBorder="1"/>
    <xf numFmtId="0" fontId="15" fillId="0" borderId="1" xfId="0" applyFont="1" applyBorder="1"/>
    <xf numFmtId="165" fontId="0" fillId="0" borderId="0" xfId="40" applyNumberFormat="1" applyFont="1" applyFill="1" applyBorder="1" applyAlignment="1">
      <alignment horizontal="right"/>
    </xf>
    <xf numFmtId="14" fontId="16" fillId="0" borderId="0" xfId="20" quotePrefix="1" applyNumberFormat="1" applyFont="1" applyAlignment="1">
      <alignment horizontal="right"/>
    </xf>
    <xf numFmtId="0" fontId="60" fillId="0" borderId="0" xfId="20" applyFont="1" applyAlignment="1">
      <alignment horizontal="right"/>
    </xf>
    <xf numFmtId="44" fontId="41" fillId="0" borderId="0" xfId="6" applyFont="1"/>
    <xf numFmtId="0" fontId="26" fillId="0" borderId="29" xfId="1" applyFont="1" applyBorder="1"/>
    <xf numFmtId="0" fontId="26" fillId="0" borderId="24" xfId="1" applyFont="1" applyBorder="1"/>
    <xf numFmtId="0" fontId="61" fillId="0" borderId="0" xfId="0" applyFont="1" applyAlignment="1">
      <alignment horizontal="right"/>
    </xf>
    <xf numFmtId="44" fontId="41" fillId="0" borderId="0" xfId="0" applyNumberFormat="1" applyFont="1"/>
    <xf numFmtId="174" fontId="26" fillId="0" borderId="22" xfId="1" applyNumberFormat="1" applyFont="1" applyBorder="1" applyAlignment="1">
      <alignment horizontal="center"/>
    </xf>
    <xf numFmtId="174" fontId="26" fillId="0" borderId="32" xfId="1" applyNumberFormat="1" applyFont="1" applyBorder="1" applyAlignment="1">
      <alignment horizontal="center"/>
    </xf>
    <xf numFmtId="174" fontId="26" fillId="0" borderId="30" xfId="1" applyNumberFormat="1" applyFont="1" applyBorder="1" applyAlignment="1">
      <alignment horizontal="center"/>
    </xf>
    <xf numFmtId="0" fontId="26" fillId="0" borderId="19" xfId="1" applyFont="1" applyBorder="1"/>
    <xf numFmtId="165" fontId="26" fillId="0" borderId="42" xfId="22" applyNumberFormat="1" applyFont="1" applyBorder="1" applyAlignment="1">
      <alignment horizontal="center"/>
    </xf>
    <xf numFmtId="165" fontId="26" fillId="0" borderId="40" xfId="22" applyNumberFormat="1" applyFont="1" applyBorder="1" applyAlignment="1">
      <alignment horizontal="center"/>
    </xf>
    <xf numFmtId="165" fontId="26" fillId="0" borderId="38" xfId="22" applyNumberFormat="1" applyFont="1" applyBorder="1" applyAlignment="1">
      <alignment horizontal="center"/>
    </xf>
    <xf numFmtId="0" fontId="0" fillId="0" borderId="1" xfId="0" quotePrefix="1" applyBorder="1" applyAlignment="1">
      <alignment wrapText="1"/>
    </xf>
    <xf numFmtId="0" fontId="1" fillId="0" borderId="36" xfId="0" applyFont="1" applyBorder="1"/>
    <xf numFmtId="0" fontId="0" fillId="0" borderId="8" xfId="0" applyBorder="1" applyAlignment="1">
      <alignment wrapText="1"/>
    </xf>
    <xf numFmtId="43" fontId="15" fillId="6" borderId="0" xfId="39" applyFont="1" applyFill="1" applyAlignment="1"/>
    <xf numFmtId="0" fontId="15" fillId="6" borderId="0" xfId="0" applyFont="1" applyFill="1" applyAlignment="1">
      <alignment vertical="center"/>
    </xf>
    <xf numFmtId="191" fontId="0" fillId="0" borderId="0" xfId="0" applyNumberFormat="1" applyAlignment="1">
      <alignment horizontal="center"/>
    </xf>
    <xf numFmtId="178" fontId="0" fillId="0" borderId="0" xfId="0" applyNumberFormat="1" applyAlignment="1">
      <alignment horizontal="center"/>
    </xf>
    <xf numFmtId="191" fontId="53" fillId="0" borderId="0" xfId="35" applyNumberFormat="1" applyFont="1"/>
    <xf numFmtId="44" fontId="53" fillId="0" borderId="0" xfId="35" applyFont="1"/>
    <xf numFmtId="0" fontId="15" fillId="0" borderId="0" xfId="0" applyFont="1" applyAlignment="1">
      <alignment horizontal="center" vertical="top"/>
    </xf>
    <xf numFmtId="44" fontId="15" fillId="0" borderId="4" xfId="0" applyNumberFormat="1" applyFont="1" applyBorder="1"/>
    <xf numFmtId="10" fontId="12" fillId="8" borderId="35" xfId="24" applyNumberFormat="1" applyFont="1" applyFill="1" applyBorder="1" applyAlignment="1">
      <alignment horizontal="center"/>
    </xf>
    <xf numFmtId="10" fontId="12" fillId="8" borderId="31" xfId="24" applyNumberFormat="1" applyFont="1" applyFill="1" applyBorder="1" applyAlignment="1">
      <alignment horizontal="center"/>
    </xf>
    <xf numFmtId="10" fontId="12" fillId="8" borderId="20" xfId="24" applyNumberFormat="1" applyFont="1" applyFill="1" applyBorder="1" applyAlignment="1">
      <alignment horizontal="center"/>
    </xf>
    <xf numFmtId="10" fontId="12" fillId="8" borderId="33" xfId="24" applyNumberFormat="1" applyFont="1" applyFill="1" applyBorder="1" applyAlignment="1">
      <alignment horizontal="center"/>
    </xf>
    <xf numFmtId="10" fontId="12" fillId="8" borderId="7" xfId="24" applyNumberFormat="1" applyFont="1" applyFill="1" applyBorder="1" applyAlignment="1">
      <alignment horizontal="center"/>
    </xf>
    <xf numFmtId="10" fontId="12" fillId="8" borderId="34" xfId="24" applyNumberFormat="1" applyFont="1" applyFill="1" applyBorder="1" applyAlignment="1">
      <alignment horizontal="center"/>
    </xf>
    <xf numFmtId="16" fontId="0" fillId="0" borderId="0" xfId="0" applyNumberFormat="1"/>
    <xf numFmtId="0" fontId="2" fillId="0" borderId="0" xfId="38" applyFont="1" applyAlignment="1">
      <alignment horizontal="left"/>
    </xf>
    <xf numFmtId="180" fontId="40" fillId="0" borderId="29" xfId="43" applyFont="1" applyBorder="1" applyAlignment="1">
      <alignment vertical="top" wrapText="1"/>
    </xf>
    <xf numFmtId="180" fontId="40" fillId="0" borderId="0" xfId="43" applyFont="1" applyAlignment="1">
      <alignment vertical="top" wrapText="1"/>
    </xf>
    <xf numFmtId="37" fontId="62" fillId="0" borderId="0" xfId="0" applyNumberFormat="1" applyFont="1" applyAlignment="1">
      <alignment horizontal="center"/>
    </xf>
    <xf numFmtId="0" fontId="62" fillId="0" borderId="0" xfId="0" applyFont="1" applyAlignment="1">
      <alignment horizontal="center"/>
    </xf>
    <xf numFmtId="9" fontId="0" fillId="0" borderId="0" xfId="40" applyFont="1" applyFill="1"/>
    <xf numFmtId="0" fontId="62" fillId="0" borderId="0" xfId="0" applyFont="1"/>
    <xf numFmtId="5" fontId="62" fillId="0" borderId="0" xfId="0" applyNumberFormat="1" applyFont="1" applyAlignment="1">
      <alignment horizontal="right"/>
    </xf>
    <xf numFmtId="0" fontId="28" fillId="0" borderId="29" xfId="0" applyFont="1" applyBorder="1"/>
    <xf numFmtId="165" fontId="26" fillId="0" borderId="35" xfId="22" applyNumberFormat="1" applyFont="1" applyFill="1" applyBorder="1" applyAlignment="1">
      <alignment horizontal="center"/>
    </xf>
    <xf numFmtId="165" fontId="26" fillId="0" borderId="29" xfId="22" applyNumberFormat="1" applyFont="1" applyFill="1" applyBorder="1" applyAlignment="1">
      <alignment horizontal="center"/>
    </xf>
    <xf numFmtId="165" fontId="26" fillId="0" borderId="32" xfId="22" applyNumberFormat="1" applyFont="1" applyFill="1" applyBorder="1" applyAlignment="1">
      <alignment horizontal="center"/>
    </xf>
    <xf numFmtId="165" fontId="26" fillId="0" borderId="37" xfId="22" applyNumberFormat="1" applyFont="1" applyFill="1" applyBorder="1" applyAlignment="1">
      <alignment horizontal="center"/>
    </xf>
    <xf numFmtId="0" fontId="15" fillId="0" borderId="29" xfId="0" applyFont="1" applyBorder="1"/>
    <xf numFmtId="165" fontId="0" fillId="0" borderId="0" xfId="40" applyNumberFormat="1" applyFont="1" applyFill="1" applyAlignment="1">
      <alignment horizontal="center"/>
    </xf>
    <xf numFmtId="1" fontId="26" fillId="0" borderId="4" xfId="1" applyNumberFormat="1" applyFont="1" applyBorder="1" applyAlignment="1">
      <alignment horizontal="center"/>
    </xf>
    <xf numFmtId="0" fontId="63" fillId="0" borderId="0" xfId="0" applyFont="1"/>
    <xf numFmtId="37" fontId="21" fillId="16" borderId="0" xfId="0" applyNumberFormat="1" applyFont="1" applyFill="1"/>
    <xf numFmtId="172" fontId="0" fillId="16" borderId="0" xfId="0" applyNumberFormat="1" applyFill="1"/>
    <xf numFmtId="172" fontId="0" fillId="16" borderId="0" xfId="39" applyNumberFormat="1" applyFont="1" applyFill="1"/>
    <xf numFmtId="0" fontId="28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7" fillId="0" borderId="13" xfId="1" applyFont="1" applyBorder="1" applyAlignment="1">
      <alignment horizontal="center"/>
    </xf>
    <xf numFmtId="0" fontId="27" fillId="0" borderId="14" xfId="1" applyFont="1" applyBorder="1" applyAlignment="1">
      <alignment horizontal="center"/>
    </xf>
    <xf numFmtId="0" fontId="27" fillId="0" borderId="15" xfId="1" applyFont="1" applyBorder="1" applyAlignment="1">
      <alignment horizontal="center"/>
    </xf>
    <xf numFmtId="0" fontId="26" fillId="0" borderId="16" xfId="1" applyFont="1" applyBorder="1" applyAlignment="1">
      <alignment horizontal="right"/>
    </xf>
    <xf numFmtId="0" fontId="26" fillId="0" borderId="4" xfId="1" applyFont="1" applyBorder="1" applyAlignment="1">
      <alignment horizontal="right"/>
    </xf>
    <xf numFmtId="0" fontId="26" fillId="0" borderId="18" xfId="1" applyFont="1" applyBorder="1" applyAlignment="1">
      <alignment horizontal="center"/>
    </xf>
    <xf numFmtId="0" fontId="26" fillId="0" borderId="8" xfId="1" applyFont="1" applyBorder="1" applyAlignment="1">
      <alignment horizontal="center"/>
    </xf>
    <xf numFmtId="0" fontId="26" fillId="0" borderId="19" xfId="1" applyFont="1" applyBorder="1" applyAlignment="1">
      <alignment horizontal="right"/>
    </xf>
    <xf numFmtId="0" fontId="26" fillId="0" borderId="20" xfId="1" applyFont="1" applyBorder="1" applyAlignment="1">
      <alignment horizontal="right"/>
    </xf>
    <xf numFmtId="0" fontId="26" fillId="0" borderId="31" xfId="1" applyFont="1" applyBorder="1" applyAlignment="1">
      <alignment horizontal="right"/>
    </xf>
    <xf numFmtId="0" fontId="27" fillId="0" borderId="10" xfId="1" applyFont="1" applyBorder="1" applyAlignment="1">
      <alignment horizontal="center"/>
    </xf>
    <xf numFmtId="0" fontId="27" fillId="0" borderId="11" xfId="1" applyFont="1" applyBorder="1" applyAlignment="1">
      <alignment horizontal="center"/>
    </xf>
    <xf numFmtId="0" fontId="27" fillId="0" borderId="12" xfId="1" applyFont="1" applyBorder="1" applyAlignment="1">
      <alignment horizontal="center"/>
    </xf>
    <xf numFmtId="0" fontId="26" fillId="0" borderId="24" xfId="1" applyFont="1" applyBorder="1" applyAlignment="1">
      <alignment horizontal="right"/>
    </xf>
    <xf numFmtId="0" fontId="26" fillId="0" borderId="25" xfId="1" applyFont="1" applyBorder="1" applyAlignment="1">
      <alignment horizontal="right"/>
    </xf>
    <xf numFmtId="0" fontId="26" fillId="0" borderId="26" xfId="1" applyFont="1" applyBorder="1" applyAlignment="1">
      <alignment horizontal="right"/>
    </xf>
    <xf numFmtId="0" fontId="26" fillId="0" borderId="29" xfId="1" applyFont="1" applyBorder="1" applyAlignment="1">
      <alignment horizontal="right"/>
    </xf>
    <xf numFmtId="0" fontId="26" fillId="0" borderId="30" xfId="1" applyFont="1" applyBorder="1" applyAlignment="1">
      <alignment horizontal="right"/>
    </xf>
    <xf numFmtId="0" fontId="26" fillId="0" borderId="0" xfId="1" applyFont="1" applyAlignment="1">
      <alignment horizontal="right"/>
    </xf>
    <xf numFmtId="0" fontId="28" fillId="0" borderId="13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wrapText="1"/>
    </xf>
    <xf numFmtId="0" fontId="30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 vertical="center"/>
    </xf>
    <xf numFmtId="6" fontId="0" fillId="0" borderId="0" xfId="0" applyNumberFormat="1" applyAlignment="1">
      <alignment horizontal="left" wrapText="1"/>
    </xf>
    <xf numFmtId="0" fontId="0" fillId="0" borderId="1" xfId="0" applyBorder="1" applyAlignment="1">
      <alignment horizontal="center" wrapText="1"/>
    </xf>
    <xf numFmtId="0" fontId="23" fillId="0" borderId="35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3" fillId="0" borderId="32" xfId="0" applyFont="1" applyBorder="1" applyAlignment="1">
      <alignment horizontal="center"/>
    </xf>
    <xf numFmtId="0" fontId="33" fillId="0" borderId="30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7" fillId="0" borderId="0" xfId="1" applyFont="1" applyAlignment="1">
      <alignment horizontal="center"/>
    </xf>
    <xf numFmtId="0" fontId="33" fillId="0" borderId="32" xfId="0" applyFont="1" applyBorder="1" applyAlignment="1">
      <alignment horizontal="center" wrapText="1"/>
    </xf>
    <xf numFmtId="0" fontId="33" fillId="0" borderId="33" xfId="0" applyFont="1" applyBorder="1" applyAlignment="1">
      <alignment horizontal="center" wrapText="1"/>
    </xf>
    <xf numFmtId="0" fontId="15" fillId="0" borderId="36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17" fontId="15" fillId="0" borderId="0" xfId="6" applyNumberFormat="1" applyFont="1" applyBorder="1" applyAlignment="1">
      <alignment horizontal="center"/>
    </xf>
    <xf numFmtId="17" fontId="15" fillId="0" borderId="0" xfId="6" quotePrefix="1" applyNumberFormat="1" applyFont="1" applyBorder="1" applyAlignment="1">
      <alignment horizontal="center"/>
    </xf>
    <xf numFmtId="17" fontId="15" fillId="0" borderId="0" xfId="6" applyNumberFormat="1" applyFont="1" applyFill="1" applyBorder="1" applyAlignment="1">
      <alignment horizontal="center"/>
    </xf>
    <xf numFmtId="17" fontId="15" fillId="0" borderId="0" xfId="6" quotePrefix="1" applyNumberFormat="1" applyFont="1" applyFill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45" fillId="0" borderId="0" xfId="20" applyFont="1" applyAlignment="1">
      <alignment horizontal="center"/>
    </xf>
    <xf numFmtId="0" fontId="27" fillId="0" borderId="0" xfId="1" applyFont="1" applyAlignment="1">
      <alignment horizontal="right"/>
    </xf>
    <xf numFmtId="0" fontId="35" fillId="0" borderId="7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15" fillId="0" borderId="36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17" fontId="15" fillId="0" borderId="0" xfId="6" quotePrefix="1" applyNumberFormat="1" applyFont="1" applyFill="1" applyAlignment="1">
      <alignment horizontal="center"/>
    </xf>
    <xf numFmtId="17" fontId="15" fillId="0" borderId="0" xfId="6" applyNumberFormat="1" applyFont="1" applyFill="1" applyAlignment="1">
      <alignment horizontal="center"/>
    </xf>
    <xf numFmtId="17" fontId="15" fillId="0" borderId="0" xfId="6" applyNumberFormat="1" applyFont="1" applyAlignment="1">
      <alignment horizontal="center"/>
    </xf>
    <xf numFmtId="17" fontId="15" fillId="0" borderId="0" xfId="6" quotePrefix="1" applyNumberFormat="1" applyFont="1" applyAlignment="1">
      <alignment horizontal="center"/>
    </xf>
    <xf numFmtId="0" fontId="45" fillId="0" borderId="0" xfId="0" applyFont="1" applyAlignment="1">
      <alignment horizontal="center"/>
    </xf>
    <xf numFmtId="0" fontId="15" fillId="0" borderId="29" xfId="0" applyFont="1" applyBorder="1" applyAlignment="1">
      <alignment horizontal="center"/>
    </xf>
    <xf numFmtId="0" fontId="33" fillId="0" borderId="0" xfId="0" applyFont="1" applyAlignment="1">
      <alignment horizontal="center"/>
    </xf>
  </cellXfs>
  <cellStyles count="63">
    <cellStyle name="_x0010_“+ˆÉ•?pý¤" xfId="56" xr:uid="{AAB2CC73-5E4D-4702-9A54-3B17F4170E9D}"/>
    <cellStyle name="Actual Date" xfId="2" xr:uid="{90A20703-E73F-4FFB-9D41-11B9B8598C31}"/>
    <cellStyle name="Actual Date 2" xfId="57" xr:uid="{5081DE82-2029-4827-9AF9-7B1AE9A73FE2}"/>
    <cellStyle name="Comma" xfId="39" builtinId="3"/>
    <cellStyle name="Comma [0] 2" xfId="48" xr:uid="{162F856C-75E3-4868-B3AC-6EF06F17C4FC}"/>
    <cellStyle name="Comma 2" xfId="3" xr:uid="{A463B59C-A829-4CA9-983F-290777244053}"/>
    <cellStyle name="Comma 3" xfId="47" xr:uid="{0963D63D-5763-4CFE-AD42-240379CC31C8}"/>
    <cellStyle name="Comma 31 2" xfId="36" xr:uid="{6112A572-923D-4AF2-B44E-C0DB9129578D}"/>
    <cellStyle name="Comma0" xfId="4" xr:uid="{BFA70494-24E7-4EB4-8245-3E92DE30AB79}"/>
    <cellStyle name="Currency" xfId="35" builtinId="4"/>
    <cellStyle name="Currency [0] 2" xfId="46" xr:uid="{70280F9D-97C7-42DD-9BF4-C98DADE21D70}"/>
    <cellStyle name="Currency 2" xfId="6" xr:uid="{C853109E-BA78-4949-AE6E-97FBB2C947A2}"/>
    <cellStyle name="Currency 3" xfId="5" xr:uid="{71193358-ACE2-4128-B76E-A894406DE180}"/>
    <cellStyle name="Currency 4" xfId="45" xr:uid="{B9EED9D9-BAA1-4E8B-B70D-8CFF8975C509}"/>
    <cellStyle name="Currency0" xfId="7" xr:uid="{11C847DE-D199-4798-B8A6-6DF371C1596F}"/>
    <cellStyle name="Date" xfId="8" xr:uid="{55B42165-9C35-400C-8039-99C32BF8F8D1}"/>
    <cellStyle name="Date 2" xfId="58" xr:uid="{8138A17D-8AFB-4CE2-A576-861FB754B1B2}"/>
    <cellStyle name="Fixed" xfId="9" xr:uid="{73C8C8B8-EF3A-48A3-A48A-A4A6A3CEB441}"/>
    <cellStyle name="Fixed 2" xfId="59" xr:uid="{BF0AF9AB-9D8D-48FC-AA77-6CCFE11077C5}"/>
    <cellStyle name="Grey" xfId="10" xr:uid="{B049FF98-EED1-44B0-B326-4132EA93C5E2}"/>
    <cellStyle name="Grey 2" xfId="49" xr:uid="{98622DFE-A551-469F-BD88-EF8AEE3B8ECA}"/>
    <cellStyle name="HEADER" xfId="11" xr:uid="{EADF02B1-8108-4E0E-9DB6-F65EA011F410}"/>
    <cellStyle name="Heading 1 2" xfId="12" xr:uid="{C958FC72-ADC5-4A1B-8837-26CC92340585}"/>
    <cellStyle name="Heading 2 2" xfId="13" xr:uid="{6C11C16C-14DA-433C-B90A-019D9D58FAA5}"/>
    <cellStyle name="Heading1" xfId="14" xr:uid="{D5CB65F7-622F-48D9-BDFE-EA5710CB06E5}"/>
    <cellStyle name="Heading2" xfId="15" xr:uid="{B6C120CA-23B0-46B6-A206-F21EFD627A0E}"/>
    <cellStyle name="HIGHLIGHT" xfId="16" xr:uid="{0FA977AC-6A13-4F7D-B4C6-304F02BAB7E6}"/>
    <cellStyle name="Input [yellow]" xfId="17" xr:uid="{483402D1-6D66-4584-B91A-9EFB4E29CD72}"/>
    <cellStyle name="Input [yellow] 2" xfId="50" xr:uid="{3479EC4D-FA0C-44AD-BFB1-E5483485436F}"/>
    <cellStyle name="no dec" xfId="18" xr:uid="{1FFD3759-CFEB-431B-95E2-F9D56114D76C}"/>
    <cellStyle name="Normal" xfId="0" builtinId="0"/>
    <cellStyle name="Normal - Style1" xfId="19" xr:uid="{09AAD6A7-C83A-4809-BC97-D6D075635A0F}"/>
    <cellStyle name="Normal - Style1 2" xfId="51" xr:uid="{A36E7241-7D7A-446A-AE46-897B9848A8A7}"/>
    <cellStyle name="Normal 10" xfId="34" xr:uid="{11F0179F-876F-4C81-8782-FEAE6EA9A44F}"/>
    <cellStyle name="Normal 19" xfId="37" xr:uid="{2E801201-3018-4BBB-869B-19B0A8909CC2}"/>
    <cellStyle name="Normal 2" xfId="1" xr:uid="{FCF77B81-9A51-4CFC-8630-2394A24C8B4C}"/>
    <cellStyle name="Normal 2 10 10" xfId="61" xr:uid="{4110C643-72A2-48D0-AB32-72BED6862E98}"/>
    <cellStyle name="Normal 2 2" xfId="20" xr:uid="{768976F9-6BF3-4C64-A7A2-0699BE302438}"/>
    <cellStyle name="Normal 2 2 3" xfId="54" xr:uid="{F097BE2F-C1DF-4808-8B93-136DAFC079D0}"/>
    <cellStyle name="Normal 2 3" xfId="53" xr:uid="{7BDDD26F-CD0D-48AB-AB15-4F2082187FD0}"/>
    <cellStyle name="Normal 3" xfId="21" xr:uid="{1BE115B0-68EE-409A-BE42-7964F3B2186B}"/>
    <cellStyle name="Normal 3 2" xfId="31" xr:uid="{EBD24680-6BB0-4648-B6FB-486BE3B05DA3}"/>
    <cellStyle name="Normal 4" xfId="38" xr:uid="{1BC7C7CD-A29E-49D5-ACE9-28B9AEC0F15E}"/>
    <cellStyle name="Normal 4 2" xfId="55" xr:uid="{294F292F-C751-4760-BBE6-DF7528BFFF64}"/>
    <cellStyle name="Normal 5" xfId="60" xr:uid="{50F6C0A5-95DF-447C-B0B3-342AF1735AC0}"/>
    <cellStyle name="Normal 9" xfId="32" xr:uid="{74F7FB52-B68E-44BF-B225-318676247797}"/>
    <cellStyle name="Normal_Bill Impacts (UDC and EECC Rates)" xfId="62" xr:uid="{5176955C-BBC6-41AA-92A4-84F6FB4F7F58}"/>
    <cellStyle name="Normal_Effective Rates (1-6-2003)" xfId="41" xr:uid="{2BB44F1E-EE46-452C-B99F-141D84227AFB}"/>
    <cellStyle name="Normal_RD-WP(Combined 1-01-01 filing)" xfId="43" xr:uid="{BB5A44EF-4D99-404D-ABC9-E78DF42F5A40}"/>
    <cellStyle name="Normal_SDGE Tiered ratesmud" xfId="42" xr:uid="{292919E0-12A2-4E43-A1A2-4C24DB3B257A}"/>
    <cellStyle name="Percent" xfId="40" builtinId="5"/>
    <cellStyle name="Percent [2]" xfId="23" xr:uid="{E59307F2-F086-4441-9673-C73345619B92}"/>
    <cellStyle name="Percent 2" xfId="24" xr:uid="{53FD8FB0-DE16-440B-8091-1A5F721D0797}"/>
    <cellStyle name="Percent 3" xfId="25" xr:uid="{FD09ACED-468E-42F6-A1AA-5A76707CDC8A}"/>
    <cellStyle name="Percent 4" xfId="33" xr:uid="{75FC7505-8CA7-4DC6-AF7E-0A549648BDAB}"/>
    <cellStyle name="Percent 5" xfId="22" xr:uid="{FDA81B20-6FA8-49F6-A9CF-1116F234E27E}"/>
    <cellStyle name="Percent 6" xfId="44" xr:uid="{E63A8815-2CE5-4B23-BCD9-1050A93745E5}"/>
    <cellStyle name="Total 2" xfId="26" xr:uid="{B7044CB5-68EF-42DF-AE5D-9CDC42788CD9}"/>
    <cellStyle name="Unprot" xfId="27" xr:uid="{C5877B4C-C00B-4575-97C3-8AFFB3689A95}"/>
    <cellStyle name="Unprot 2" xfId="52" xr:uid="{C0BB8D62-0188-49C7-A43C-A149C87B528C}"/>
    <cellStyle name="Unprot$" xfId="28" xr:uid="{67D3E91F-4980-4407-9928-2E00A0F61904}"/>
    <cellStyle name="Unprot_07-2008 CSI Update v1.5 - FINAL" xfId="29" xr:uid="{12952277-79F8-44C2-A6A3-D712ABB4C91F}"/>
    <cellStyle name="Unprotect" xfId="30" xr:uid="{B510A288-A05D-40A2-AD64-2906F1437A0A}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FF"/>
      <color rgb="FFD2BDE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84E4C-BF02-4908-B8DF-216621CCE212}">
  <sheetPr codeName="Sheet5"/>
  <dimension ref="B1:T95"/>
  <sheetViews>
    <sheetView workbookViewId="0"/>
  </sheetViews>
  <sheetFormatPr defaultColWidth="8.85546875" defaultRowHeight="15"/>
  <cols>
    <col min="1" max="1" width="5.5703125" style="6" customWidth="1"/>
    <col min="2" max="2" width="25" style="6" customWidth="1"/>
    <col min="3" max="3" width="21.28515625" style="6" customWidth="1"/>
    <col min="4" max="10" width="16.85546875" style="6" customWidth="1"/>
    <col min="11" max="11" width="11.140625" style="6" customWidth="1"/>
    <col min="12" max="12" width="15.5703125" style="6" customWidth="1"/>
    <col min="13" max="13" width="15.7109375" style="6" customWidth="1"/>
    <col min="14" max="17" width="13.42578125" style="6" customWidth="1"/>
    <col min="18" max="19" width="15.85546875" style="6" customWidth="1"/>
    <col min="20" max="24" width="15.5703125" style="6" customWidth="1"/>
    <col min="25" max="16384" width="8.85546875" style="6"/>
  </cols>
  <sheetData>
    <row r="1" spans="2:20">
      <c r="B1" s="40" t="s">
        <v>127</v>
      </c>
      <c r="G1" s="40" t="s">
        <v>128</v>
      </c>
      <c r="H1" s="41"/>
      <c r="I1" s="41"/>
      <c r="N1" s="40" t="s">
        <v>128</v>
      </c>
      <c r="O1" s="41"/>
      <c r="P1" s="41"/>
    </row>
    <row r="2" spans="2:20">
      <c r="B2" s="41"/>
      <c r="C2" s="42" t="s">
        <v>478</v>
      </c>
      <c r="D2" s="321">
        <v>2024</v>
      </c>
      <c r="E2" s="41"/>
      <c r="G2" s="41" t="s">
        <v>129</v>
      </c>
      <c r="H2" s="43"/>
      <c r="I2" s="44" t="s">
        <v>448</v>
      </c>
      <c r="N2" s="41" t="s">
        <v>129</v>
      </c>
      <c r="O2" s="43"/>
      <c r="P2" s="44" t="s">
        <v>448</v>
      </c>
    </row>
    <row r="3" spans="2:20">
      <c r="B3" s="45"/>
      <c r="C3" s="46" t="s">
        <v>130</v>
      </c>
      <c r="D3" s="321" t="s">
        <v>237</v>
      </c>
      <c r="G3" s="41" t="s">
        <v>132</v>
      </c>
      <c r="H3" s="43"/>
      <c r="I3" s="482">
        <f>IF($D$2=2024,2024,2025)</f>
        <v>2024</v>
      </c>
      <c r="N3" s="41" t="s">
        <v>132</v>
      </c>
      <c r="O3" s="43"/>
      <c r="P3" s="482">
        <f>IF($D$2=2024,2024,2025)</f>
        <v>2024</v>
      </c>
    </row>
    <row r="4" spans="2:20">
      <c r="G4" s="45" t="s">
        <v>133</v>
      </c>
      <c r="I4" s="48" t="s">
        <v>312</v>
      </c>
      <c r="J4" s="49"/>
      <c r="K4" s="50"/>
      <c r="N4" s="45" t="s">
        <v>133</v>
      </c>
      <c r="P4" s="48" t="s">
        <v>311</v>
      </c>
      <c r="Q4" s="49"/>
      <c r="R4" s="50"/>
    </row>
    <row r="5" spans="2:20">
      <c r="F5" s="51"/>
      <c r="G5" s="45" t="s">
        <v>134</v>
      </c>
      <c r="K5" s="177">
        <f>IF($D$3="ALL",SUMPRODUCT('Res Bill Impact'!Q22:Q25,'Res Bill Impact'!U22:U25),VLOOKUP($D$3,'Res Bill Impact'!$P$22:$V$25,2,FALSE))</f>
        <v>328.11371100000002</v>
      </c>
      <c r="L5" s="45" t="s">
        <v>135</v>
      </c>
      <c r="N5" s="45" t="s">
        <v>134</v>
      </c>
      <c r="R5" s="177">
        <f>IF($D$3="ALL",SUMPRODUCT('Res Bill Impact'!Q31:Q34,'Res Bill Impact'!U31:U34),VLOOKUP($D$3,'Res Bill Impact'!$P$31:$V$34,2,FALSE))</f>
        <v>285.89174300000002</v>
      </c>
      <c r="S5" s="45" t="s">
        <v>135</v>
      </c>
    </row>
    <row r="6" spans="2:20">
      <c r="B6" s="52" t="s">
        <v>136</v>
      </c>
      <c r="C6" s="52"/>
      <c r="D6" s="53" t="s">
        <v>137</v>
      </c>
      <c r="E6" s="53" t="s">
        <v>138</v>
      </c>
      <c r="G6" s="45" t="s">
        <v>139</v>
      </c>
      <c r="K6" s="178">
        <f>IF($D$3="ALL",SUMPRODUCT('Res Bill Impact'!R22:R25,'Res Bill Impact'!U22:U25),VLOOKUP(D$3,'Res Bill Impact'!$P$22:$V$25,3,FALSE))</f>
        <v>322.03055999999998</v>
      </c>
      <c r="L6" s="45" t="s">
        <v>135</v>
      </c>
      <c r="N6" s="45" t="s">
        <v>139</v>
      </c>
      <c r="R6" s="178">
        <f>IF($D$3="ALL",SUMPRODUCT('Res Bill Impact'!R31:R34,'Res Bill Impact'!U31:U34),VLOOKUP(D$3,'Res Bill Impact'!$P$31:$V$34,3,FALSE))</f>
        <v>293.17082599999998</v>
      </c>
      <c r="S6" s="45" t="s">
        <v>135</v>
      </c>
    </row>
    <row r="7" spans="2:20">
      <c r="B7" s="6" t="s">
        <v>357</v>
      </c>
      <c r="D7" s="51" t="s">
        <v>26</v>
      </c>
      <c r="E7" s="51" t="s">
        <v>359</v>
      </c>
      <c r="F7" s="55"/>
      <c r="G7" s="45" t="s">
        <v>140</v>
      </c>
      <c r="K7" s="178">
        <f>IF($D$3="ALL",SUMPRODUCT('Res Bill Impact'!S22:S25,'Res Bill Impact'!V22:V25),VLOOKUP($D$3,'Res Bill Impact'!$P$22:$V$25,4,FALSE))</f>
        <v>316.79218400000002</v>
      </c>
      <c r="L7" s="45" t="s">
        <v>135</v>
      </c>
      <c r="N7" s="45" t="s">
        <v>140</v>
      </c>
      <c r="R7" s="178">
        <f>IF($D$3="ALL",SUMPRODUCT('Res Bill Impact'!S31:S34,'Res Bill Impact'!V31:V34),VLOOKUP($D$3,'Res Bill Impact'!$P$31:$V$34,4,FALSE))</f>
        <v>286.85188599999998</v>
      </c>
      <c r="S7" s="45" t="s">
        <v>135</v>
      </c>
    </row>
    <row r="8" spans="2:20">
      <c r="B8" s="6" t="s">
        <v>419</v>
      </c>
      <c r="C8" s="54"/>
      <c r="D8" s="51" t="s">
        <v>26</v>
      </c>
      <c r="E8" s="51" t="s">
        <v>500</v>
      </c>
      <c r="F8" s="55"/>
      <c r="G8" s="45" t="s">
        <v>141</v>
      </c>
      <c r="K8" s="178">
        <f>IF($D$3="ALL",SUMPRODUCT('Res Bill Impact'!T22:T25,'Res Bill Impact'!V22:V25),VLOOKUP($D$3,'Res Bill Impact'!$P$22:$V$25,5,FALSE))</f>
        <v>308.01969600000001</v>
      </c>
      <c r="L8" s="45" t="s">
        <v>135</v>
      </c>
      <c r="N8" s="45" t="s">
        <v>141</v>
      </c>
      <c r="R8" s="178">
        <f>IF($D$3="ALL",SUMPRODUCT('Res Bill Impact'!T31:T34,'Res Bill Impact'!V31:V34),VLOOKUP($D$3,'Res Bill Impact'!$P$31:$V$34,5,FALSE))</f>
        <v>296.07458700000001</v>
      </c>
      <c r="S8" s="45" t="s">
        <v>135</v>
      </c>
    </row>
    <row r="9" spans="2:20">
      <c r="B9" s="6" t="s">
        <v>437</v>
      </c>
      <c r="D9" s="458" t="s">
        <v>26</v>
      </c>
      <c r="E9" s="51">
        <v>2025</v>
      </c>
      <c r="F9" s="55"/>
      <c r="G9" s="45" t="s">
        <v>142</v>
      </c>
      <c r="K9" s="56"/>
      <c r="L9" s="57">
        <v>2023</v>
      </c>
      <c r="N9" s="45" t="s">
        <v>142</v>
      </c>
      <c r="R9" s="56"/>
      <c r="T9" s="57">
        <f>L9</f>
        <v>2023</v>
      </c>
    </row>
    <row r="10" spans="2:20">
      <c r="B10" s="6" t="s">
        <v>512</v>
      </c>
      <c r="D10" s="458" t="s">
        <v>26</v>
      </c>
      <c r="E10" s="51">
        <v>2025</v>
      </c>
      <c r="F10" s="55"/>
      <c r="G10" s="45" t="s">
        <v>143</v>
      </c>
      <c r="I10" s="57">
        <v>5</v>
      </c>
      <c r="J10" s="45" t="s">
        <v>144</v>
      </c>
      <c r="K10" s="45"/>
      <c r="M10" s="45"/>
      <c r="N10" s="45" t="s">
        <v>143</v>
      </c>
      <c r="P10" s="57">
        <v>5</v>
      </c>
      <c r="Q10" s="45" t="s">
        <v>144</v>
      </c>
      <c r="R10" s="45"/>
      <c r="T10" s="45"/>
    </row>
    <row r="11" spans="2:20">
      <c r="F11" s="55"/>
      <c r="G11" s="45" t="s">
        <v>145</v>
      </c>
      <c r="I11" s="57">
        <v>7</v>
      </c>
      <c r="J11" s="45" t="s">
        <v>144</v>
      </c>
      <c r="N11" s="45" t="s">
        <v>145</v>
      </c>
      <c r="P11" s="57">
        <v>7</v>
      </c>
      <c r="Q11" s="45" t="s">
        <v>144</v>
      </c>
    </row>
    <row r="12" spans="2:20">
      <c r="D12" s="458"/>
      <c r="E12" s="51"/>
      <c r="F12" s="55"/>
      <c r="G12" s="45" t="s">
        <v>509</v>
      </c>
      <c r="I12" s="459">
        <f>'Sales Allocations'!Q3</f>
        <v>-78.220471737416673</v>
      </c>
      <c r="J12" s="45" t="s">
        <v>197</v>
      </c>
      <c r="N12" s="45" t="s">
        <v>509</v>
      </c>
      <c r="P12" s="459">
        <f>'Sales Allocations'!Q3</f>
        <v>-78.220471737416673</v>
      </c>
      <c r="Q12" s="45" t="s">
        <v>197</v>
      </c>
    </row>
    <row r="13" spans="2:20">
      <c r="F13" s="55"/>
      <c r="G13" s="45"/>
      <c r="I13" s="459">
        <f>IF($D$2=2024,'Sales Allocations'!$Q$3,'Sales Allocations'!$Q$4)</f>
        <v>-78.220471737416673</v>
      </c>
      <c r="J13" s="45" t="s">
        <v>187</v>
      </c>
      <c r="N13" s="45"/>
      <c r="P13" s="459">
        <f>IF($D$2=2024,'Sales Allocations'!$Q$3,'Sales Allocations'!$Q$4)</f>
        <v>-78.220471737416673</v>
      </c>
      <c r="Q13" s="45" t="s">
        <v>187</v>
      </c>
    </row>
    <row r="14" spans="2:20">
      <c r="C14" s="54"/>
      <c r="D14" s="51"/>
      <c r="E14" s="51"/>
      <c r="F14" s="55"/>
      <c r="J14" s="45"/>
      <c r="M14" s="45"/>
    </row>
    <row r="15" spans="2:20">
      <c r="B15" s="40" t="s">
        <v>146</v>
      </c>
    </row>
    <row r="16" spans="2:20" ht="15.75" thickBot="1">
      <c r="D16" s="58" t="s">
        <v>147</v>
      </c>
      <c r="E16" s="58" t="s">
        <v>148</v>
      </c>
      <c r="F16" s="58" t="s">
        <v>149</v>
      </c>
      <c r="G16" s="58" t="s">
        <v>150</v>
      </c>
      <c r="H16" s="58" t="s">
        <v>151</v>
      </c>
      <c r="I16" s="58" t="s">
        <v>152</v>
      </c>
      <c r="J16" s="58" t="s">
        <v>153</v>
      </c>
      <c r="N16" s="58" t="s">
        <v>147</v>
      </c>
      <c r="O16" s="58" t="s">
        <v>148</v>
      </c>
      <c r="P16" s="58" t="s">
        <v>149</v>
      </c>
      <c r="Q16" s="58" t="s">
        <v>150</v>
      </c>
      <c r="R16" s="58" t="s">
        <v>151</v>
      </c>
      <c r="S16" s="58" t="s">
        <v>152</v>
      </c>
      <c r="T16" s="58" t="s">
        <v>153</v>
      </c>
    </row>
    <row r="17" spans="2:20">
      <c r="B17" s="500" t="s">
        <v>154</v>
      </c>
      <c r="C17" s="501"/>
      <c r="D17" s="501"/>
      <c r="E17" s="501"/>
      <c r="F17" s="501"/>
      <c r="G17" s="501"/>
      <c r="H17" s="501"/>
      <c r="I17" s="501"/>
      <c r="J17" s="502"/>
      <c r="L17" s="490" t="s">
        <v>155</v>
      </c>
      <c r="M17" s="491"/>
      <c r="N17" s="491"/>
      <c r="O17" s="491"/>
      <c r="P17" s="491"/>
      <c r="Q17" s="491"/>
      <c r="R17" s="491"/>
      <c r="S17" s="491"/>
      <c r="T17" s="492"/>
    </row>
    <row r="18" spans="2:20" ht="30">
      <c r="B18" s="493" t="s">
        <v>156</v>
      </c>
      <c r="C18" s="494"/>
      <c r="D18" s="59" t="s">
        <v>447</v>
      </c>
      <c r="E18" s="192" t="str">
        <f>I2</f>
        <v>3/1/2024</v>
      </c>
      <c r="F18" s="60" t="str">
        <f>$D$2&amp;" Authorized"</f>
        <v>2024 Authorized</v>
      </c>
      <c r="G18" s="60" t="str">
        <f>$D$2&amp;" w/Pending"</f>
        <v>2024 w/Pending</v>
      </c>
      <c r="H18" s="332" t="str">
        <f>_xlfn.TEXTJOIN(" ",TRUE,"% Change over",D18)</f>
        <v>% Change over 1/1/2024</v>
      </c>
      <c r="I18" s="332" t="str">
        <f>_xlfn.TEXTJOIN(" ",TRUE,"% Change over",E18)</f>
        <v>% Change over 3/1/2024</v>
      </c>
      <c r="J18" s="61" t="s">
        <v>157</v>
      </c>
      <c r="L18" s="495" t="s">
        <v>156</v>
      </c>
      <c r="M18" s="496"/>
      <c r="N18" s="238" t="str">
        <f>$D$18</f>
        <v>1/1/2024</v>
      </c>
      <c r="O18" s="192" t="str">
        <f>$E$18</f>
        <v>3/1/2024</v>
      </c>
      <c r="P18" s="60" t="str">
        <f>$D$2&amp;" Authorized"</f>
        <v>2024 Authorized</v>
      </c>
      <c r="Q18" s="60" t="str">
        <f>$D$2&amp;" w/Pending"</f>
        <v>2024 w/Pending</v>
      </c>
      <c r="R18" s="60" t="str">
        <f>$H$18</f>
        <v>% Change over 1/1/2024</v>
      </c>
      <c r="S18" s="60" t="str">
        <f>$I$18</f>
        <v>% Change over 3/1/2024</v>
      </c>
      <c r="T18" s="61" t="s">
        <v>157</v>
      </c>
    </row>
    <row r="19" spans="2:20">
      <c r="B19" s="497" t="s">
        <v>158</v>
      </c>
      <c r="C19" s="498"/>
      <c r="D19" s="337">
        <v>32.591999999999999</v>
      </c>
      <c r="E19" s="62">
        <f>'SAR and RAR'!H24</f>
        <v>34.665999999999997</v>
      </c>
      <c r="F19" s="62">
        <f>'SAR and RAR'!I24</f>
        <v>35.429656361327098</v>
      </c>
      <c r="G19" s="62">
        <f>'SAR and RAR'!J24</f>
        <v>38.65583344030977</v>
      </c>
      <c r="H19" s="63">
        <f t="shared" ref="H19:J21" si="0">$G19/D19-1</f>
        <v>0.18605281787892025</v>
      </c>
      <c r="I19" s="63">
        <f t="shared" si="0"/>
        <v>0.11509356257744696</v>
      </c>
      <c r="J19" s="64">
        <f t="shared" si="0"/>
        <v>9.1058661311323785E-2</v>
      </c>
      <c r="L19" s="497" t="s">
        <v>159</v>
      </c>
      <c r="M19" s="499"/>
      <c r="N19" s="62">
        <v>33.476081129102475</v>
      </c>
      <c r="O19" s="236">
        <f>'SAR and RAR'!S24</f>
        <v>35.576697140214826</v>
      </c>
      <c r="P19" s="62">
        <f>'SAR and RAR'!T24</f>
        <v>36.340353501541927</v>
      </c>
      <c r="Q19" s="62">
        <f>'SAR and RAR'!U24</f>
        <v>39.566530580524599</v>
      </c>
      <c r="R19" s="63">
        <f>$Q19/N19-1</f>
        <v>0.18193436166957389</v>
      </c>
      <c r="S19" s="63">
        <f>$Q19/O19-1</f>
        <v>0.11214738188272633</v>
      </c>
      <c r="T19" s="64">
        <f>$Q19/P19-1</f>
        <v>8.8776711510133888E-2</v>
      </c>
    </row>
    <row r="20" spans="2:20">
      <c r="B20" s="295"/>
      <c r="C20" s="296" t="s">
        <v>482</v>
      </c>
      <c r="D20" s="337">
        <v>32.781999999999996</v>
      </c>
      <c r="E20" s="442">
        <f>'SAR and RAR (TOU-A)'!H24</f>
        <v>34.765999999999998</v>
      </c>
      <c r="F20" s="442">
        <f>'SAR and RAR (TOU-A)'!I24</f>
        <v>35.10705298468018</v>
      </c>
      <c r="G20" s="442">
        <f>'SAR and RAR (TOU-A)'!J24</f>
        <v>38.135316862043702</v>
      </c>
      <c r="H20" s="63">
        <f t="shared" si="0"/>
        <v>0.16330049606624697</v>
      </c>
      <c r="I20" s="63">
        <f t="shared" si="0"/>
        <v>9.6914136283831942E-2</v>
      </c>
      <c r="J20" s="64">
        <f t="shared" si="0"/>
        <v>8.6257991483505547E-2</v>
      </c>
      <c r="L20" s="295"/>
      <c r="M20" s="42" t="s">
        <v>482</v>
      </c>
      <c r="N20" s="442">
        <v>33.444657091999858</v>
      </c>
      <c r="O20" s="444">
        <f>'SAR and RAR (TOU-A)'!S24</f>
        <v>35.451507382902832</v>
      </c>
      <c r="P20" s="442">
        <f>'SAR and RAR (TOU-A)'!T24</f>
        <v>35.792560367583015</v>
      </c>
      <c r="Q20" s="442">
        <f>'SAR and RAR (TOU-A)'!U24</f>
        <v>38.820824244946536</v>
      </c>
      <c r="R20" s="63">
        <f t="shared" ref="R20:T21" si="1">$Q20/N20-1</f>
        <v>0.16074816190095387</v>
      </c>
      <c r="S20" s="63">
        <f t="shared" si="1"/>
        <v>9.5040157972764217E-2</v>
      </c>
      <c r="T20" s="64">
        <f>$Q20/P20-1</f>
        <v>8.4605958508243262E-2</v>
      </c>
    </row>
    <row r="21" spans="2:20" ht="15.75" thickBot="1">
      <c r="B21" s="503" t="s">
        <v>160</v>
      </c>
      <c r="C21" s="504"/>
      <c r="D21" s="336">
        <v>31.526</v>
      </c>
      <c r="E21" s="65">
        <f>'SAR and RAR'!H25</f>
        <v>33.097999999999999</v>
      </c>
      <c r="F21" s="65">
        <f>'SAR and RAR'!I25</f>
        <v>33.472857695229415</v>
      </c>
      <c r="G21" s="65">
        <f>'SAR and RAR'!J25</f>
        <v>36.099136967667853</v>
      </c>
      <c r="H21" s="66">
        <f t="shared" si="0"/>
        <v>0.14505921993490611</v>
      </c>
      <c r="I21" s="66">
        <f t="shared" si="0"/>
        <v>9.0674269371800564E-2</v>
      </c>
      <c r="J21" s="67">
        <f t="shared" si="0"/>
        <v>7.8459965872968773E-2</v>
      </c>
      <c r="L21" s="503" t="s">
        <v>161</v>
      </c>
      <c r="M21" s="505"/>
      <c r="N21" s="65">
        <v>32.202843108045499</v>
      </c>
      <c r="O21" s="237">
        <f>'SAR and RAR'!S25</f>
        <v>33.797553926204316</v>
      </c>
      <c r="P21" s="65">
        <f>'SAR and RAR'!T25</f>
        <v>34.172411621433731</v>
      </c>
      <c r="Q21" s="65">
        <f>'SAR and RAR'!U25</f>
        <v>36.79869089387217</v>
      </c>
      <c r="R21" s="66">
        <f t="shared" si="1"/>
        <v>0.14271559099322051</v>
      </c>
      <c r="S21" s="66">
        <f t="shared" si="1"/>
        <v>8.8797460734014066E-2</v>
      </c>
      <c r="T21" s="67">
        <f t="shared" si="1"/>
        <v>7.6853787831326903E-2</v>
      </c>
    </row>
    <row r="22" spans="2:20">
      <c r="E22" s="68"/>
      <c r="F22" s="68"/>
      <c r="G22" s="68"/>
      <c r="O22" s="68"/>
      <c r="P22" s="68"/>
      <c r="Q22" s="68"/>
    </row>
    <row r="23" spans="2:20" ht="15.75" thickBot="1">
      <c r="E23" s="68"/>
      <c r="F23" s="68"/>
      <c r="G23" s="68"/>
      <c r="O23" s="68"/>
      <c r="P23" s="68"/>
      <c r="Q23" s="68"/>
    </row>
    <row r="24" spans="2:20">
      <c r="B24" s="487" t="s">
        <v>302</v>
      </c>
      <c r="C24" s="488"/>
      <c r="D24" s="488"/>
      <c r="E24" s="488"/>
      <c r="F24" s="488"/>
      <c r="G24" s="488"/>
      <c r="H24" s="488"/>
      <c r="I24" s="488"/>
      <c r="J24" s="489"/>
      <c r="L24" s="487" t="s">
        <v>305</v>
      </c>
      <c r="M24" s="488"/>
      <c r="N24" s="488"/>
      <c r="O24" s="488"/>
      <c r="P24" s="488"/>
      <c r="Q24" s="488"/>
      <c r="R24" s="488"/>
      <c r="S24" s="488"/>
      <c r="T24" s="489"/>
    </row>
    <row r="25" spans="2:20" ht="30">
      <c r="B25" s="69"/>
      <c r="C25" s="70"/>
      <c r="D25" s="59" t="str">
        <f>$D$18</f>
        <v>1/1/2024</v>
      </c>
      <c r="E25" s="192" t="str">
        <f>$E$18</f>
        <v>3/1/2024</v>
      </c>
      <c r="F25" s="60" t="str">
        <f>$D$2&amp;" Authorized"</f>
        <v>2024 Authorized</v>
      </c>
      <c r="G25" s="60" t="str">
        <f>$D$2&amp;" w/Pending"</f>
        <v>2024 w/Pending</v>
      </c>
      <c r="H25" s="60" t="str">
        <f>$H$18</f>
        <v>% Change over 1/1/2024</v>
      </c>
      <c r="I25" s="60" t="str">
        <f>$I$18</f>
        <v>% Change over 3/1/2024</v>
      </c>
      <c r="J25" s="61" t="s">
        <v>157</v>
      </c>
      <c r="L25" s="69"/>
      <c r="M25" s="70"/>
      <c r="N25" s="59" t="str">
        <f>$D$18</f>
        <v>1/1/2024</v>
      </c>
      <c r="O25" s="192" t="str">
        <f>$E$18</f>
        <v>3/1/2024</v>
      </c>
      <c r="P25" s="60" t="str">
        <f>$D$2&amp;" Authorized"</f>
        <v>2024 Authorized</v>
      </c>
      <c r="Q25" s="60" t="str">
        <f>$D$2&amp;" w/Pending"</f>
        <v>2024 w/Pending</v>
      </c>
      <c r="R25" s="60" t="str">
        <f>$H$18</f>
        <v>% Change over 1/1/2024</v>
      </c>
      <c r="S25" s="60" t="str">
        <f>$I$18</f>
        <v>% Change over 3/1/2024</v>
      </c>
      <c r="T25" s="61" t="s">
        <v>157</v>
      </c>
    </row>
    <row r="26" spans="2:20">
      <c r="B26" s="506" t="s">
        <v>162</v>
      </c>
      <c r="C26" s="507"/>
      <c r="D26" s="173">
        <f>((D32*5)+(D38*7)+(I12*2))/12</f>
        <v>111.87136601424082</v>
      </c>
      <c r="E26" s="173">
        <f>((E32*5)+(E38*7)+(I12*2))/12</f>
        <v>118.53282037319178</v>
      </c>
      <c r="F26" s="174">
        <f>((F32*5)+(F38*7)+(I13*2))/12</f>
        <v>121.15398594512669</v>
      </c>
      <c r="G26" s="174">
        <f>((G32*5)+(G38*7)+(I13*2))/12</f>
        <v>132.22059717337132</v>
      </c>
      <c r="H26" s="71">
        <f t="shared" ref="H26:I28" si="2">$G26/D26-1</f>
        <v>0.1818984775473298</v>
      </c>
      <c r="I26" s="72">
        <f t="shared" si="2"/>
        <v>0.11547668196103489</v>
      </c>
      <c r="J26" s="73">
        <f>$G26/F26-1</f>
        <v>9.1343352361984431E-2</v>
      </c>
      <c r="L26" s="506" t="s">
        <v>162</v>
      </c>
      <c r="M26" s="507"/>
      <c r="N26" s="173">
        <f>((N32*5)+(N38*7)+(P12*2))/12</f>
        <v>100.73122137129207</v>
      </c>
      <c r="O26" s="173">
        <f>((O32*5)+(O38*7)+(P12*2))/12</f>
        <v>106.79885550830382</v>
      </c>
      <c r="P26" s="174">
        <f>((P32*5)+(P38*7)+(P13*2))/12</f>
        <v>109.18636322749457</v>
      </c>
      <c r="Q26" s="174">
        <f>((Q32*5)+(Q38*7)+(P13*2))/12</f>
        <v>119.26646652795598</v>
      </c>
      <c r="R26" s="71">
        <f t="shared" ref="R26:T28" si="3">$Q26/N26-1</f>
        <v>0.1840069533987243</v>
      </c>
      <c r="S26" s="71">
        <f t="shared" si="3"/>
        <v>0.1167391818977197</v>
      </c>
      <c r="T26" s="300">
        <f t="shared" si="3"/>
        <v>9.2320167120678587E-2</v>
      </c>
    </row>
    <row r="27" spans="2:20">
      <c r="B27" s="506" t="s">
        <v>163</v>
      </c>
      <c r="C27" s="507"/>
      <c r="D27" s="173">
        <f>((D33*5)+(D39*7)+(I12*2))/12</f>
        <v>64.897563288730552</v>
      </c>
      <c r="E27" s="173">
        <f>((E33*5)+(E39*7)+(I12*2))/12</f>
        <v>69.052189696843882</v>
      </c>
      <c r="F27" s="174">
        <f>((F33*5)+(F39*7)+(I13*2))/12</f>
        <v>70.685408013441389</v>
      </c>
      <c r="G27" s="174">
        <f>((G33*5)+(G39*7)+(I13*2))/12</f>
        <v>77.580887014903524</v>
      </c>
      <c r="H27" s="71">
        <f t="shared" si="2"/>
        <v>0.19543605465962743</v>
      </c>
      <c r="I27" s="71">
        <f t="shared" si="2"/>
        <v>0.12351088872782645</v>
      </c>
      <c r="J27" s="73">
        <f>$G27/F27-1</f>
        <v>9.7551661584112326E-2</v>
      </c>
      <c r="L27" s="506" t="s">
        <v>163</v>
      </c>
      <c r="M27" s="507"/>
      <c r="N27" s="173">
        <f>((N33*5)+(N39*7)+(P12*2))/12</f>
        <v>67.217734908197215</v>
      </c>
      <c r="O27" s="173">
        <f>((O33*5)+(O39*7)+(P12*2))/12</f>
        <v>71.489937580810548</v>
      </c>
      <c r="P27" s="174">
        <f>((P33*5)+(P39*7)+(P13*2))/12</f>
        <v>73.171841491558567</v>
      </c>
      <c r="Q27" s="174">
        <f>((Q33*5)+(Q39*7)+(P13*2))/12</f>
        <v>80.272872003634447</v>
      </c>
      <c r="R27" s="71">
        <f t="shared" si="3"/>
        <v>0.19422161596589516</v>
      </c>
      <c r="S27" s="71">
        <f t="shared" si="3"/>
        <v>0.12285553352030654</v>
      </c>
      <c r="T27" s="73">
        <f t="shared" si="3"/>
        <v>9.7045945097542496E-2</v>
      </c>
    </row>
    <row r="28" spans="2:20" ht="15.75" thickBot="1">
      <c r="B28" s="503" t="s">
        <v>116</v>
      </c>
      <c r="C28" s="504"/>
      <c r="D28" s="175">
        <f>((D34*5)+(D40*7)+(I12*2))/12</f>
        <v>101.97994875001338</v>
      </c>
      <c r="E28" s="175">
        <f>((E34*5)+(E40*7)+(I12*2))/12</f>
        <v>108.11353268262782</v>
      </c>
      <c r="F28" s="176">
        <f>((F34*5)+(F40*7)+(I13*2))/12</f>
        <v>110.52666318031731</v>
      </c>
      <c r="G28" s="176">
        <f>((G34*5)+(G40*7)+(I13*2))/12</f>
        <v>120.71494634216153</v>
      </c>
      <c r="H28" s="74">
        <f t="shared" si="2"/>
        <v>0.18371256135923186</v>
      </c>
      <c r="I28" s="74">
        <f t="shared" si="2"/>
        <v>0.11655722782203148</v>
      </c>
      <c r="J28" s="75">
        <f>$G28/F28-1</f>
        <v>9.2179415072204396E-2</v>
      </c>
      <c r="L28" s="503" t="s">
        <v>116</v>
      </c>
      <c r="M28" s="504"/>
      <c r="N28" s="175">
        <f>((N34*5)+(N40*7)+(P12*2))/12</f>
        <v>93.674184057907141</v>
      </c>
      <c r="O28" s="175">
        <f>((O34*5)+(O40*7)+(P12*2))/12</f>
        <v>99.363748701855627</v>
      </c>
      <c r="P28" s="176">
        <f>((P34*5)+(P40*7)+(P13*2))/12</f>
        <v>101.60267526969018</v>
      </c>
      <c r="Q28" s="176">
        <f>((Q34*5)+(Q40*7)+(P13*2))/12</f>
        <v>111.05546610446476</v>
      </c>
      <c r="R28" s="74">
        <f t="shared" si="3"/>
        <v>0.18555039706364473</v>
      </c>
      <c r="S28" s="74">
        <f t="shared" si="3"/>
        <v>0.11766582436106088</v>
      </c>
      <c r="T28" s="75">
        <f t="shared" si="3"/>
        <v>9.3036830080344357E-2</v>
      </c>
    </row>
    <row r="29" spans="2:20" ht="15.75" thickBot="1"/>
    <row r="30" spans="2:20">
      <c r="B30" s="487" t="s">
        <v>303</v>
      </c>
      <c r="C30" s="488"/>
      <c r="D30" s="488"/>
      <c r="E30" s="488"/>
      <c r="F30" s="488"/>
      <c r="G30" s="488"/>
      <c r="H30" s="488"/>
      <c r="I30" s="488"/>
      <c r="J30" s="489"/>
      <c r="L30" s="487" t="s">
        <v>306</v>
      </c>
      <c r="M30" s="488"/>
      <c r="N30" s="488"/>
      <c r="O30" s="488"/>
      <c r="P30" s="488"/>
      <c r="Q30" s="488"/>
      <c r="R30" s="488"/>
      <c r="S30" s="488"/>
      <c r="T30" s="489"/>
    </row>
    <row r="31" spans="2:20" ht="30">
      <c r="B31" s="69"/>
      <c r="C31" s="70"/>
      <c r="D31" s="59" t="str">
        <f>$D$18</f>
        <v>1/1/2024</v>
      </c>
      <c r="E31" s="192" t="str">
        <f>$E$18</f>
        <v>3/1/2024</v>
      </c>
      <c r="F31" s="60" t="str">
        <f>$D$2&amp;" Authorized"</f>
        <v>2024 Authorized</v>
      </c>
      <c r="G31" s="60" t="str">
        <f>$D$2&amp;" w/Pending"</f>
        <v>2024 w/Pending</v>
      </c>
      <c r="H31" s="60" t="str">
        <f>$H$18</f>
        <v>% Change over 1/1/2024</v>
      </c>
      <c r="I31" s="60" t="str">
        <f>$I$18</f>
        <v>% Change over 3/1/2024</v>
      </c>
      <c r="J31" s="61" t="s">
        <v>157</v>
      </c>
      <c r="L31" s="69"/>
      <c r="M31" s="70"/>
      <c r="N31" s="59" t="str">
        <f>$D$18</f>
        <v>1/1/2024</v>
      </c>
      <c r="O31" s="192" t="str">
        <f>$E$18</f>
        <v>3/1/2024</v>
      </c>
      <c r="P31" s="60" t="str">
        <f>$D$2&amp;" Authorized"</f>
        <v>2024 Authorized</v>
      </c>
      <c r="Q31" s="60" t="str">
        <f>$D$2&amp;" w/Pending"</f>
        <v>2024 w/Pending</v>
      </c>
      <c r="R31" s="60" t="str">
        <f>$H$18</f>
        <v>% Change over 1/1/2024</v>
      </c>
      <c r="S31" s="60" t="str">
        <f>$I$18</f>
        <v>% Change over 3/1/2024</v>
      </c>
      <c r="T31" s="61" t="s">
        <v>157</v>
      </c>
    </row>
    <row r="32" spans="2:20">
      <c r="B32" s="506" t="s">
        <v>162</v>
      </c>
      <c r="C32" s="507"/>
      <c r="D32" s="173">
        <f>IF($D$3="All",'Res Bill Impact'!$C$47,(VLOOKUP($D$3,'Res Bill Impact'!$B$43:$J$46,2,FALSE)))</f>
        <v>126.27374451938572</v>
      </c>
      <c r="E32" s="173">
        <f>IF($D$3="All",'Res Bill Impact'!$E$47,(VLOOKUP($D$3,'Res Bill Impact'!$B$43:$J$46,4,FALSE)))</f>
        <v>133.00802924332794</v>
      </c>
      <c r="F32" s="174">
        <f>IF($D$3="All",'Res Bill Impact'!$G$47,(VLOOKUP($D$3,'Res Bill Impact'!$B$43:$J$46,6,FALSE)))</f>
        <v>135.65785228779359</v>
      </c>
      <c r="G32" s="174">
        <f>IF($D$3="All",'Res Bill Impact'!$I$47,(VLOOKUP($D$3,'Res Bill Impact'!$B$43:$J$46,8,FALSE)))</f>
        <v>146.84545591372481</v>
      </c>
      <c r="H32" s="71">
        <f t="shared" ref="H32:I34" si="4">$G32/D32-1</f>
        <v>0.16291360862574944</v>
      </c>
      <c r="I32" s="71">
        <f t="shared" si="4"/>
        <v>0.10403452144293013</v>
      </c>
      <c r="J32" s="73">
        <f>$G32/F32-1</f>
        <v>8.2469266889152015E-2</v>
      </c>
      <c r="L32" s="506" t="s">
        <v>162</v>
      </c>
      <c r="M32" s="507"/>
      <c r="N32" s="173">
        <f>IF($D$3="All",'Res Bill Impact'!$N$47,(VLOOKUP($D$3,'Res Bill Impact'!$M$43:$U$46,2,FALSE)))</f>
        <v>115.086632833948</v>
      </c>
      <c r="O32" s="173">
        <f>IF($D$3="All",'Res Bill Impact'!$P$47,(VLOOKUP($D$3,'Res Bill Impact'!$M$43:$U$46,4,FALSE)))</f>
        <v>121.22500279615984</v>
      </c>
      <c r="P32" s="174">
        <f>IF($D$3="All",'Res Bill Impact'!$R$47,(VLOOKUP($D$3,'Res Bill Impact'!$M$43:$U$46,6,FALSE)))</f>
        <v>123.6403438231729</v>
      </c>
      <c r="Q32" s="174">
        <f>IF($D$3="All",'Res Bill Impact'!$T$47,(VLOOKUP($D$3,'Res Bill Impact'!$M$43:$U$46,8,FALSE)))</f>
        <v>133.83795988214274</v>
      </c>
      <c r="R32" s="71">
        <f t="shared" ref="R32:T34" si="5">$Q32/N32-1</f>
        <v>0.16293227620317974</v>
      </c>
      <c r="S32" s="71">
        <f t="shared" si="5"/>
        <v>0.10404583868883566</v>
      </c>
      <c r="T32" s="71">
        <f t="shared" si="5"/>
        <v>8.2478062933521112E-2</v>
      </c>
    </row>
    <row r="33" spans="2:20">
      <c r="B33" s="506" t="s">
        <v>163</v>
      </c>
      <c r="C33" s="507"/>
      <c r="D33" s="173">
        <f>IF($D$3="All",'Res Bill Impact'!$C$57,(VLOOKUP($D$3,'Res Bill Impact'!$B$53:$J$56,2,FALSE)))</f>
        <v>79.213885609199991</v>
      </c>
      <c r="E33" s="173">
        <f>IF($D$3="All",'Res Bill Impact'!$E$57,(VLOOKUP($D$3,'Res Bill Impact'!$B$53:$J$56,4,FALSE)))</f>
        <v>83.436725421920002</v>
      </c>
      <c r="F33" s="174">
        <f>IF($D$3="All",'Res Bill Impact'!$G$57,(VLOOKUP($D$3,'Res Bill Impact'!$B$53:$J$56,6,FALSE)))</f>
        <v>85.096758997194797</v>
      </c>
      <c r="G33" s="174">
        <f>IF($D$3="All",'Res Bill Impact'!$I$57,(VLOOKUP($D$3,'Res Bill Impact'!$B$53:$J$56,8,FALSE)))</f>
        <v>92.10545253418411</v>
      </c>
      <c r="H33" s="71">
        <f t="shared" si="4"/>
        <v>0.16274377687498354</v>
      </c>
      <c r="I33" s="71">
        <f t="shared" si="4"/>
        <v>0.10389582127568375</v>
      </c>
      <c r="J33" s="73">
        <f>$G33/F33-1</f>
        <v>8.2361462640667016E-2</v>
      </c>
      <c r="L33" s="506" t="s">
        <v>163</v>
      </c>
      <c r="M33" s="507"/>
      <c r="N33" s="173">
        <f>IF($D$3="All",'Res Bill Impact'!$N$57,(VLOOKUP($D$3,'Res Bill Impact'!$M$53:$U$56,2,FALSE)))</f>
        <v>84.782297495920005</v>
      </c>
      <c r="O33" s="173">
        <f>IF($D$3="All",'Res Bill Impact'!$P$57,(VLOOKUP($D$3,'Res Bill Impact'!$M$53:$U$56,4,FALSE)))</f>
        <v>89.287320343440001</v>
      </c>
      <c r="P33" s="174">
        <f>IF($D$3="All",'Res Bill Impact'!$R$57,(VLOOKUP($D$3,'Res Bill Impact'!$M$53:$U$56,6,FALSE)))</f>
        <v>91.064199344676055</v>
      </c>
      <c r="Q33" s="174">
        <f>IF($D$3="All",'Res Bill Impact'!$T$57,(VLOOKUP($D$3,'Res Bill Impact'!$M$53:$U$56,8,FALSE)))</f>
        <v>98.566216507138307</v>
      </c>
      <c r="R33" s="71">
        <f t="shared" si="5"/>
        <v>0.16258015432858053</v>
      </c>
      <c r="S33" s="71">
        <f t="shared" si="5"/>
        <v>0.1039217677046127</v>
      </c>
      <c r="T33" s="73">
        <f t="shared" si="5"/>
        <v>8.2381629844098025E-2</v>
      </c>
    </row>
    <row r="34" spans="2:20" ht="15.75" thickBot="1">
      <c r="B34" s="503" t="s">
        <v>116</v>
      </c>
      <c r="C34" s="504"/>
      <c r="D34" s="175">
        <f>D32*(1-'SAR and RAR'!$AD$16)+D33*'SAR and RAR'!$AD$16</f>
        <v>116.36420614123088</v>
      </c>
      <c r="E34" s="175">
        <f>E32*(1-'SAR and RAR'!$AD$16)+E33*'SAR and RAR'!$AD$16</f>
        <v>122.56964823137184</v>
      </c>
      <c r="F34" s="175">
        <f>F32*(1-'SAR and RAR'!$AD$16)+F33*'SAR and RAR'!$AD$16</f>
        <v>125.01104828098832</v>
      </c>
      <c r="G34" s="175">
        <f>G32*(1-'SAR and RAR'!$AD$16)+G33*'SAR and RAR'!$AD$16</f>
        <v>135.31868603230308</v>
      </c>
      <c r="H34" s="74">
        <f t="shared" si="4"/>
        <v>0.16288926397235248</v>
      </c>
      <c r="I34" s="74">
        <f t="shared" si="4"/>
        <v>0.10401463971623026</v>
      </c>
      <c r="J34" s="75">
        <f>$G34/F34-1</f>
        <v>8.2453814227252842E-2</v>
      </c>
      <c r="L34" s="503" t="s">
        <v>116</v>
      </c>
      <c r="M34" s="504"/>
      <c r="N34" s="175">
        <f>N32*(1-'SAR and RAR'!$AD$16)+N33*'SAR and RAR'!$AD$16</f>
        <v>108.70535628507879</v>
      </c>
      <c r="O34" s="175">
        <f>O32*(1-'SAR and RAR'!$AD$16)+O33*'SAR and RAR'!$AD$16</f>
        <v>114.49978735132458</v>
      </c>
      <c r="P34" s="175">
        <f>P32*(1-'SAR and RAR'!$AD$16)+P33*'SAR and RAR'!$AD$16</f>
        <v>116.7806854774461</v>
      </c>
      <c r="Q34" s="175">
        <f>Q32*(1-'SAR and RAR'!$AD$16)+Q33*'SAR and RAR'!$AD$16</f>
        <v>126.41068103487481</v>
      </c>
      <c r="R34" s="74">
        <f t="shared" si="5"/>
        <v>0.16287444662215145</v>
      </c>
      <c r="S34" s="74">
        <f t="shared" si="5"/>
        <v>0.10402546554085323</v>
      </c>
      <c r="T34" s="75">
        <f t="shared" si="5"/>
        <v>8.2462228390400627E-2</v>
      </c>
    </row>
    <row r="35" spans="2:20" ht="15.75" thickBot="1"/>
    <row r="36" spans="2:20">
      <c r="B36" s="487" t="s">
        <v>304</v>
      </c>
      <c r="C36" s="488"/>
      <c r="D36" s="488"/>
      <c r="E36" s="488"/>
      <c r="F36" s="488"/>
      <c r="G36" s="488"/>
      <c r="H36" s="488"/>
      <c r="I36" s="488"/>
      <c r="J36" s="489"/>
      <c r="L36" s="487" t="s">
        <v>313</v>
      </c>
      <c r="M36" s="488"/>
      <c r="N36" s="488"/>
      <c r="O36" s="488"/>
      <c r="P36" s="488"/>
      <c r="Q36" s="488"/>
      <c r="R36" s="488"/>
      <c r="S36" s="488"/>
      <c r="T36" s="489"/>
    </row>
    <row r="37" spans="2:20" ht="30">
      <c r="B37" s="69"/>
      <c r="C37" s="70"/>
      <c r="D37" s="59" t="str">
        <f>$D$18</f>
        <v>1/1/2024</v>
      </c>
      <c r="E37" s="192" t="str">
        <f>$E$18</f>
        <v>3/1/2024</v>
      </c>
      <c r="F37" s="60" t="str">
        <f>$D$2&amp;" Authorized"</f>
        <v>2024 Authorized</v>
      </c>
      <c r="G37" s="60" t="str">
        <f>$D$2&amp;" w/Pending"</f>
        <v>2024 w/Pending</v>
      </c>
      <c r="H37" s="60" t="str">
        <f>$H$18</f>
        <v>% Change over 1/1/2024</v>
      </c>
      <c r="I37" s="60" t="str">
        <f>$I$18</f>
        <v>% Change over 3/1/2024</v>
      </c>
      <c r="J37" s="61" t="s">
        <v>157</v>
      </c>
      <c r="L37" s="69"/>
      <c r="M37" s="70"/>
      <c r="N37" s="59" t="str">
        <f>$D$18</f>
        <v>1/1/2024</v>
      </c>
      <c r="O37" s="192" t="str">
        <f>$E$18</f>
        <v>3/1/2024</v>
      </c>
      <c r="P37" s="60" t="str">
        <f>$D$2&amp;" Authorized"</f>
        <v>2024 Authorized</v>
      </c>
      <c r="Q37" s="60" t="str">
        <f>$D$2&amp;" w/Pending"</f>
        <v>2024 w/Pending</v>
      </c>
      <c r="R37" s="60" t="str">
        <f>$H$18</f>
        <v>% Change over 1/1/2024</v>
      </c>
      <c r="S37" s="60" t="str">
        <f>$I$18</f>
        <v>% Change over 3/1/2024</v>
      </c>
      <c r="T37" s="61" t="s">
        <v>157</v>
      </c>
    </row>
    <row r="38" spans="2:20">
      <c r="B38" s="506" t="s">
        <v>162</v>
      </c>
      <c r="C38" s="507"/>
      <c r="D38" s="173">
        <f>IF($D$3="All",'Res Bill Impact'!$D$47,(VLOOKUP($D$3,'Res Bill Impact'!$B$43:$J$46,3,FALSE)))</f>
        <v>123.93265900697064</v>
      </c>
      <c r="E38" s="173">
        <f>IF($D$3="All",'Res Bill Impact'!$F$47,(VLOOKUP($D$3,'Res Bill Impact'!$B$43:$J$46,5,FALSE)))</f>
        <v>130.54209167664214</v>
      </c>
      <c r="F38" s="174">
        <f>IF($D$3="All",'Res Bill Impact'!$H$47,(VLOOKUP($D$3,'Res Bill Impact'!$B$43:$J$46,7,FALSE)))</f>
        <v>133.14278762534082</v>
      </c>
      <c r="G38" s="174">
        <f>IF($D$3="All",'Res Bill Impact'!$J$47,(VLOOKUP($D$3,'Res Bill Impact'!$B$43:$J$46,9,FALSE)))</f>
        <v>144.12297571238074</v>
      </c>
      <c r="H38" s="71">
        <f t="shared" ref="H38:I40" si="6">$G38/D38-1</f>
        <v>0.16291360862574966</v>
      </c>
      <c r="I38" s="71">
        <f t="shared" si="6"/>
        <v>0.10403452144293013</v>
      </c>
      <c r="J38" s="73">
        <f>$G38/F38-1</f>
        <v>8.2469266889152015E-2</v>
      </c>
      <c r="L38" s="506" t="s">
        <v>162</v>
      </c>
      <c r="M38" s="507"/>
      <c r="N38" s="173">
        <f>IF($D$3="All",'Res Bill Impact'!$O$47,(VLOOKUP($D$3,'Res Bill Impact'!$M$43:$U$46,3,FALSE)))</f>
        <v>112.826062251514</v>
      </c>
      <c r="O38" s="173">
        <f>IF($D$3="All",'Res Bill Impact'!$Q$47,(VLOOKUP($D$3,'Res Bill Impact'!$M$43:$U$46,5,FALSE)))</f>
        <v>118.84317079909715</v>
      </c>
      <c r="P38" s="174">
        <f>IF($D$3="All",'Res Bill Impact'!$S$47,(VLOOKUP($D$3,'Res Bill Impact'!$M$43:$U$46,7,FALSE)))</f>
        <v>121.21079758412911</v>
      </c>
      <c r="Q38" s="174">
        <f>IF($D$3="All",'Res Bill Impact'!$U$47,(VLOOKUP($D$3,'Res Bill Impact'!$M$43:$U$46,9,FALSE)))</f>
        <v>131.20696319994164</v>
      </c>
      <c r="R38" s="71">
        <f t="shared" ref="R38:T40" si="7">$Q38/N38-1</f>
        <v>0.16291360862574988</v>
      </c>
      <c r="S38" s="71">
        <f t="shared" si="7"/>
        <v>0.10403452144293013</v>
      </c>
      <c r="T38" s="300">
        <f t="shared" si="7"/>
        <v>8.2469266889152015E-2</v>
      </c>
    </row>
    <row r="39" spans="2:20">
      <c r="B39" s="506" t="s">
        <v>163</v>
      </c>
      <c r="C39" s="507"/>
      <c r="D39" s="173">
        <f>IF($D$3="All",'Res Bill Impact'!$D$57,(VLOOKUP($D$3,'Res Bill Impact'!$B$53:$J$56,3,FALSE)))</f>
        <v>77.020324984799998</v>
      </c>
      <c r="E39" s="173">
        <f>IF($D$3="All",'Res Bill Impact'!$F$57,(VLOOKUP($D$3,'Res Bill Impact'!$B$53:$J$56,5,FALSE)))</f>
        <v>81.126227532480002</v>
      </c>
      <c r="F39" s="174">
        <f>IF($D$3="All",'Res Bill Impact'!$H$57,(VLOOKUP($D$3,'Res Bill Impact'!$B$53:$J$56,7,FALSE)))</f>
        <v>82.740292092879443</v>
      </c>
      <c r="G39" s="174">
        <f>IF($D$3="All",'Res Bill Impact'!$J$57,(VLOOKUP($D$3,'Res Bill Impact'!$B$53:$J$56,9,FALSE)))</f>
        <v>89.554903568965017</v>
      </c>
      <c r="H39" s="71">
        <f t="shared" si="6"/>
        <v>0.16274377687498354</v>
      </c>
      <c r="I39" s="71">
        <f t="shared" si="6"/>
        <v>0.10389582127568397</v>
      </c>
      <c r="J39" s="73">
        <f>$G39/F39-1</f>
        <v>8.2361462640667016E-2</v>
      </c>
      <c r="L39" s="506" t="s">
        <v>163</v>
      </c>
      <c r="M39" s="507"/>
      <c r="N39" s="173">
        <f>IF($D$3="All",'Res Bill Impact'!$O$57,(VLOOKUP($D$3,'Res Bill Impact'!$M$53:$U$56,3,FALSE)))</f>
        <v>77.020324984799998</v>
      </c>
      <c r="O39" s="173">
        <f>IF($D$3="All",'Res Bill Impact'!$Q$57,(VLOOKUP($D$3,'Res Bill Impact'!$M$53:$U$56,5,FALSE)))</f>
        <v>81.126227532480002</v>
      </c>
      <c r="P39" s="174">
        <f>IF($D$3="All",'Res Bill Impact'!$S$57,(VLOOKUP($D$3,'Res Bill Impact'!$M$53:$U$56,7,FALSE)))</f>
        <v>82.740292092879443</v>
      </c>
      <c r="Q39" s="174">
        <f>IF($D$3="All",'Res Bill Impact'!$U$57,(VLOOKUP($D$3,'Res Bill Impact'!$M$53:$U$56,9,FALSE)))</f>
        <v>89.554903568965017</v>
      </c>
      <c r="R39" s="71">
        <f t="shared" si="7"/>
        <v>0.16274377687498354</v>
      </c>
      <c r="S39" s="71">
        <f t="shared" si="7"/>
        <v>0.10389582127568397</v>
      </c>
      <c r="T39" s="73">
        <f t="shared" si="7"/>
        <v>8.2361462640667016E-2</v>
      </c>
    </row>
    <row r="40" spans="2:20" ht="15.75" thickBot="1">
      <c r="B40" s="503" t="s">
        <v>116</v>
      </c>
      <c r="C40" s="504"/>
      <c r="D40" s="175">
        <f>D38*(1-'SAR and RAR'!$AD$16)+D39*'SAR and RAR'!$AD$16</f>
        <v>114.0541853955485</v>
      </c>
      <c r="E40" s="175">
        <f>E38*(1-'SAR and RAR'!$AD$16)+E39*'SAR and RAR'!$AD$16</f>
        <v>120.13644207278685</v>
      </c>
      <c r="F40" s="175">
        <f>F38*(1-'SAR and RAR'!$AD$16)+F39*'SAR and RAR'!$AD$16</f>
        <v>122.52938003338565</v>
      </c>
      <c r="G40" s="175">
        <f>G38*(1-'SAR and RAR'!$AD$16)+G39*'SAR and RAR'!$AD$16</f>
        <v>132.63240991703663</v>
      </c>
      <c r="H40" s="74">
        <f t="shared" si="6"/>
        <v>0.16288945869945448</v>
      </c>
      <c r="I40" s="74">
        <f t="shared" si="6"/>
        <v>0.10401479874590325</v>
      </c>
      <c r="J40" s="75">
        <f>$G40/F40-1</f>
        <v>8.2453937830242907E-2</v>
      </c>
      <c r="L40" s="503" t="s">
        <v>116</v>
      </c>
      <c r="M40" s="504"/>
      <c r="N40" s="175">
        <f>N38*(1-'SAR and RAR'!$AD$16)+N39*'SAR and RAR'!$AD$16</f>
        <v>105.28633867776071</v>
      </c>
      <c r="O40" s="175">
        <f>O38*(1-'SAR and RAR'!$AD$16)+O39*'SAR and RAR'!$AD$16</f>
        <v>110.900998734354</v>
      </c>
      <c r="P40" s="175">
        <f>P38*(1-'SAR and RAR'!$AD$16)+P39*'SAR and RAR'!$AD$16</f>
        <v>113.10994561769786</v>
      </c>
      <c r="Q40" s="175">
        <f>Q38*(1-'SAR and RAR'!$AD$16)+Q39*'SAR and RAR'!$AD$16</f>
        <v>122.43616165057661</v>
      </c>
      <c r="R40" s="74">
        <f t="shared" si="7"/>
        <v>0.16288744758524309</v>
      </c>
      <c r="S40" s="74">
        <f t="shared" si="7"/>
        <v>0.10401315630937891</v>
      </c>
      <c r="T40" s="75">
        <f t="shared" si="7"/>
        <v>8.2452661275256744E-2</v>
      </c>
    </row>
    <row r="41" spans="2:20" ht="15.75" thickBot="1"/>
    <row r="42" spans="2:20">
      <c r="B42" s="487" t="s">
        <v>324</v>
      </c>
      <c r="C42" s="488"/>
      <c r="D42" s="488"/>
      <c r="E42" s="488"/>
      <c r="F42" s="488"/>
      <c r="G42" s="488"/>
      <c r="H42" s="488"/>
      <c r="I42" s="488"/>
      <c r="J42" s="489"/>
      <c r="L42" s="509" t="s">
        <v>323</v>
      </c>
      <c r="M42" s="510"/>
      <c r="N42" s="510"/>
      <c r="O42" s="510"/>
      <c r="P42" s="510"/>
      <c r="Q42" s="510"/>
      <c r="R42" s="510"/>
      <c r="S42" s="510"/>
      <c r="T42" s="511"/>
    </row>
    <row r="43" spans="2:20" ht="30">
      <c r="B43" s="69"/>
      <c r="C43" s="276"/>
      <c r="D43" s="59" t="str">
        <f>D37</f>
        <v>1/1/2024</v>
      </c>
      <c r="E43" s="192" t="str">
        <f>E37</f>
        <v>3/1/2024</v>
      </c>
      <c r="F43" s="60" t="str">
        <f>$D$2&amp;" Authorized"</f>
        <v>2024 Authorized</v>
      </c>
      <c r="G43" s="60" t="str">
        <f>$D$2&amp;" w/Pending"</f>
        <v>2024 w/Pending</v>
      </c>
      <c r="H43" s="60" t="str">
        <f>$H$18</f>
        <v>% Change over 1/1/2024</v>
      </c>
      <c r="I43" s="60" t="str">
        <f>$I$18</f>
        <v>% Change over 3/1/2024</v>
      </c>
      <c r="J43" s="61" t="s">
        <v>157</v>
      </c>
      <c r="L43" s="69"/>
      <c r="M43" s="276"/>
      <c r="N43" s="59" t="str">
        <f>N37</f>
        <v>1/1/2024</v>
      </c>
      <c r="O43" s="192" t="str">
        <f>O37</f>
        <v>3/1/2024</v>
      </c>
      <c r="P43" s="60" t="str">
        <f>$D$2&amp;" Authorized"</f>
        <v>2024 Authorized</v>
      </c>
      <c r="Q43" s="60" t="str">
        <f>$D$2&amp;" w/Pending"</f>
        <v>2024 w/Pending</v>
      </c>
      <c r="R43" s="60" t="str">
        <f>$H$18</f>
        <v>% Change over 1/1/2024</v>
      </c>
      <c r="S43" s="60" t="str">
        <f>$I$18</f>
        <v>% Change over 3/1/2024</v>
      </c>
      <c r="T43" s="61" t="s">
        <v>157</v>
      </c>
    </row>
    <row r="44" spans="2:20">
      <c r="B44" s="506" t="s">
        <v>309</v>
      </c>
      <c r="C44" s="508"/>
      <c r="D44" s="173">
        <f>((D50*5)+(D56*7)+(I12*2))/12</f>
        <v>92.219048565543162</v>
      </c>
      <c r="E44" s="173">
        <f>((E50*5)+(E56*7)+(I12*2))/12</f>
        <v>97.832428348987193</v>
      </c>
      <c r="F44" s="173">
        <f>((F50*5)+(F56*7)+(I13*2))/12</f>
        <v>100.04119493924212</v>
      </c>
      <c r="G44" s="173">
        <f>((G50*5)+(G56*7)+(I13*2))/12</f>
        <v>109.36664977124757</v>
      </c>
      <c r="H44" s="71">
        <f t="shared" ref="H44:I46" si="8">$G44/D44-1</f>
        <v>0.18594424332535842</v>
      </c>
      <c r="I44" s="72">
        <f t="shared" si="8"/>
        <v>0.11789773203947851</v>
      </c>
      <c r="J44" s="73">
        <f>$G44/F44-1</f>
        <v>9.3216147984528375E-2</v>
      </c>
      <c r="L44" s="506" t="s">
        <v>309</v>
      </c>
      <c r="M44" s="508"/>
      <c r="N44" s="173">
        <f>((N50*5)+(N56*7)+(P12*2))/12</f>
        <v>75.253687520645357</v>
      </c>
      <c r="O44" s="173">
        <f>((O50*5)+(O56*7)+(P12*2))/12</f>
        <v>79.962290367635433</v>
      </c>
      <c r="P44" s="173">
        <f>((P50*5)+(P56*7)+(P13*2))/12</f>
        <v>81.815043086395903</v>
      </c>
      <c r="Q44" s="173">
        <f>((Q50*5)+(Q56*7)+(P13*2))/12</f>
        <v>89.63740053688673</v>
      </c>
      <c r="R44" s="71">
        <f t="shared" ref="R44:T46" si="9">$Q44/N44-1</f>
        <v>0.19113632155627314</v>
      </c>
      <c r="S44" s="71">
        <f t="shared" si="9"/>
        <v>0.12099591100716234</v>
      </c>
      <c r="T44" s="300">
        <f t="shared" si="9"/>
        <v>9.5610258888826793E-2</v>
      </c>
    </row>
    <row r="45" spans="2:20">
      <c r="B45" s="506" t="s">
        <v>310</v>
      </c>
      <c r="C45" s="508"/>
      <c r="D45" s="173">
        <f>((D51*5)+(D57*7)+(I12*2))/12</f>
        <v>55.351929710430547</v>
      </c>
      <c r="E45" s="173">
        <f>((E51*5)+(E57*7)+(I12*2))/12</f>
        <v>58.997684710430555</v>
      </c>
      <c r="F45" s="173">
        <f>((F51*5)+(F57*7)+(I13*2))/12</f>
        <v>60.43086142932858</v>
      </c>
      <c r="G45" s="173">
        <f>((G51*5)+(G57*7)+(I13*2))/12</f>
        <v>66.481760975406317</v>
      </c>
      <c r="H45" s="71">
        <f t="shared" si="8"/>
        <v>0.20107395213140067</v>
      </c>
      <c r="I45" s="71">
        <f t="shared" si="8"/>
        <v>0.12685372827270647</v>
      </c>
      <c r="J45" s="73">
        <f>$G45/F45-1</f>
        <v>0.10012929491587697</v>
      </c>
      <c r="L45" s="506" t="s">
        <v>310</v>
      </c>
      <c r="M45" s="508"/>
      <c r="N45" s="173">
        <f>((N51*5)+(N57*7)+(P12*2))/12</f>
        <v>44.328892210430553</v>
      </c>
      <c r="O45" s="173">
        <f>((O51*5)+(O57*7)+(P12*2))/12</f>
        <v>47.387016377097211</v>
      </c>
      <c r="P45" s="173">
        <f>((P51*5)+(P57*7)+(P13*2))/12</f>
        <v>48.589190510895584</v>
      </c>
      <c r="Q45" s="173">
        <f>((Q51*5)+(Q57*7)+(P13*2))/12</f>
        <v>53.66479272002173</v>
      </c>
      <c r="R45" s="71">
        <f t="shared" si="9"/>
        <v>0.21060531955712736</v>
      </c>
      <c r="S45" s="71">
        <f t="shared" si="9"/>
        <v>0.13247882696321556</v>
      </c>
      <c r="T45" s="73">
        <f t="shared" si="9"/>
        <v>0.1044594930633389</v>
      </c>
    </row>
    <row r="46" spans="2:20" ht="15.75" thickBot="1">
      <c r="B46" s="503" t="s">
        <v>116</v>
      </c>
      <c r="C46" s="505"/>
      <c r="D46" s="175">
        <f>D44*(1-'SAR and RAR'!$AD$16)+D45*'SAR and RAR'!$AD$16</f>
        <v>84.455826625503292</v>
      </c>
      <c r="E46" s="175">
        <f>E44*(1-'SAR and RAR'!$AD$16)+E45*'SAR and RAR'!$AD$16</f>
        <v>89.654877642204525</v>
      </c>
      <c r="F46" s="175">
        <f>F44*(1-'SAR and RAR'!$AD$16)+F45*'SAR and RAR'!$AD$16</f>
        <v>91.700325901850178</v>
      </c>
      <c r="G46" s="175">
        <f>G44*(1-'SAR and RAR'!$AD$16)+G45*'SAR and RAR'!$AD$16</f>
        <v>100.33624761521156</v>
      </c>
      <c r="H46" s="74">
        <f t="shared" si="8"/>
        <v>0.18803227230402642</v>
      </c>
      <c r="I46" s="74">
        <f t="shared" si="8"/>
        <v>0.11913874910001376</v>
      </c>
      <c r="J46" s="75">
        <f>$G46/F46-1</f>
        <v>9.4175474606324583E-2</v>
      </c>
      <c r="L46" s="503" t="s">
        <v>116</v>
      </c>
      <c r="M46" s="505"/>
      <c r="N46" s="175">
        <f>((N52*5)+(N58*7)+(P12*2))/12</f>
        <v>68.741758818351101</v>
      </c>
      <c r="O46" s="175">
        <f>((O52*5)+(O58*7)+(P12*2))/12</f>
        <v>73.102815323219616</v>
      </c>
      <c r="P46" s="175">
        <f>((P52*5)+(P58*7)+(P13*2))/12</f>
        <v>74.818573720174072</v>
      </c>
      <c r="Q46" s="175">
        <f>((Q52*5)+(Q58*7)+(P13*2))/12</f>
        <v>82.062538521174645</v>
      </c>
      <c r="R46" s="74">
        <f t="shared" si="9"/>
        <v>0.19378002442479647</v>
      </c>
      <c r="S46" s="74">
        <f t="shared" si="9"/>
        <v>0.12256331248448049</v>
      </c>
      <c r="T46" s="75">
        <f t="shared" si="9"/>
        <v>9.6820407564750299E-2</v>
      </c>
    </row>
    <row r="47" spans="2:20" ht="15.75" thickBot="1">
      <c r="B47"/>
      <c r="C47"/>
      <c r="D47"/>
      <c r="E47"/>
      <c r="F47"/>
      <c r="G47"/>
      <c r="H47"/>
      <c r="I47"/>
      <c r="J47"/>
      <c r="L47"/>
      <c r="M47"/>
      <c r="N47"/>
      <c r="O47"/>
      <c r="P47"/>
      <c r="Q47"/>
      <c r="R47"/>
      <c r="S47"/>
      <c r="T47"/>
    </row>
    <row r="48" spans="2:20">
      <c r="B48" s="487" t="s">
        <v>315</v>
      </c>
      <c r="C48" s="488"/>
      <c r="D48" s="488"/>
      <c r="E48" s="488"/>
      <c r="F48" s="488"/>
      <c r="G48" s="488"/>
      <c r="H48" s="488"/>
      <c r="I48" s="488"/>
      <c r="J48" s="489"/>
      <c r="L48" s="509" t="s">
        <v>321</v>
      </c>
      <c r="M48" s="510"/>
      <c r="N48" s="510"/>
      <c r="O48" s="510"/>
      <c r="P48" s="510"/>
      <c r="Q48" s="510"/>
      <c r="R48" s="510"/>
      <c r="S48" s="510"/>
      <c r="T48" s="511"/>
    </row>
    <row r="49" spans="2:20" ht="30">
      <c r="B49" s="69"/>
      <c r="C49" s="276"/>
      <c r="D49" s="59" t="str">
        <f>D43</f>
        <v>1/1/2024</v>
      </c>
      <c r="E49" s="192" t="str">
        <f>E43</f>
        <v>3/1/2024</v>
      </c>
      <c r="F49" s="60" t="str">
        <f>$D$2&amp;" Authorized"</f>
        <v>2024 Authorized</v>
      </c>
      <c r="G49" s="60" t="str">
        <f>$D$2&amp;" w/Pending"</f>
        <v>2024 w/Pending</v>
      </c>
      <c r="H49" s="60" t="str">
        <f>$H$18</f>
        <v>% Change over 1/1/2024</v>
      </c>
      <c r="I49" s="60" t="str">
        <f>$I$18</f>
        <v>% Change over 3/1/2024</v>
      </c>
      <c r="J49" s="61" t="s">
        <v>157</v>
      </c>
      <c r="L49" s="69"/>
      <c r="M49" s="276"/>
      <c r="N49" s="59" t="str">
        <f>N43</f>
        <v>1/1/2024</v>
      </c>
      <c r="O49" s="192" t="str">
        <f>O43</f>
        <v>3/1/2024</v>
      </c>
      <c r="P49" s="60" t="str">
        <f>$D$2&amp;" Authorized"</f>
        <v>2024 Authorized</v>
      </c>
      <c r="Q49" s="60" t="str">
        <f>$D$2&amp;" w/Pending"</f>
        <v>2024 w/Pending</v>
      </c>
      <c r="R49" s="60" t="str">
        <f>$H$18</f>
        <v>% Change over 1/1/2024</v>
      </c>
      <c r="S49" s="60" t="str">
        <f>$I$18</f>
        <v>% Change over 3/1/2024</v>
      </c>
      <c r="T49" s="61" t="s">
        <v>157</v>
      </c>
    </row>
    <row r="50" spans="2:20">
      <c r="B50" s="506" t="s">
        <v>309</v>
      </c>
      <c r="C50" s="508"/>
      <c r="D50" s="173">
        <f>IF($D$3="All",'Res Bill Impact'!C67,(VLOOKUP($D$3,'Res Bill Impact'!$B$63:$J$66,2,FALSE)))</f>
        <v>103.90882757177478</v>
      </c>
      <c r="E50" s="173">
        <f>IF($D$3="All",'Res Bill Impact'!E67,(VLOOKUP($D$3,'Res Bill Impact'!$B$63:$J$66,4,FALSE)))</f>
        <v>109.45037251338314</v>
      </c>
      <c r="F50" s="173">
        <f>IF($D$3="All",'Res Bill Impact'!G67,(VLOOKUP($D$3,'Res Bill Impact'!$B$63:$J$66,6,FALSE)))</f>
        <v>111.63087335202603</v>
      </c>
      <c r="G50" s="173">
        <f>IF($D$3="All",'Res Bill Impact'!I67,(VLOOKUP($D$3,'Res Bill Impact'!$B$63:$J$66,8,FALSE)))</f>
        <v>120.8369896395634</v>
      </c>
      <c r="H50" s="71">
        <f t="shared" ref="H50:J52" si="10">$G50/D50-1</f>
        <v>0.16291360862574966</v>
      </c>
      <c r="I50" s="72">
        <f t="shared" si="10"/>
        <v>0.10403452144293013</v>
      </c>
      <c r="J50" s="73">
        <f t="shared" si="10"/>
        <v>8.2469266889152015E-2</v>
      </c>
      <c r="L50" s="506" t="s">
        <v>309</v>
      </c>
      <c r="M50" s="508"/>
      <c r="N50" s="173">
        <f>IF($D$3="All",'Res Bill Impact'!N67,(VLOOKUP($D$3,'Res Bill Impact'!$M$63:$U$66,2,FALSE)))</f>
        <v>69.657399224041612</v>
      </c>
      <c r="O50" s="173">
        <f>IF($D$3="All",'Res Bill Impact'!P67,(VLOOKUP($D$3,'Res Bill Impact'!$M$63:$U$66,4,FALSE)))</f>
        <v>73.372286758971669</v>
      </c>
      <c r="P50" s="173">
        <f>IF($D$3="All",'Res Bill Impact'!R67,(VLOOKUP($D$3,'Res Bill Impact'!$M$63:$U$66,6,FALSE)))</f>
        <v>74.834029913765605</v>
      </c>
      <c r="Q50" s="173">
        <f>IF($D$3="All",'Res Bill Impact'!T67,(VLOOKUP($D$3,'Res Bill Impact'!$M$63:$U$66,8,FALSE)))</f>
        <v>81.005537499114723</v>
      </c>
      <c r="R50" s="71">
        <f t="shared" ref="R50:T52" si="11">$Q50/N50-1</f>
        <v>0.16291360862574966</v>
      </c>
      <c r="S50" s="71">
        <f t="shared" si="11"/>
        <v>0.10403452144293013</v>
      </c>
      <c r="T50" s="300">
        <f t="shared" si="11"/>
        <v>8.2469266889152015E-2</v>
      </c>
    </row>
    <row r="51" spans="2:20">
      <c r="B51" s="506" t="s">
        <v>310</v>
      </c>
      <c r="C51" s="508"/>
      <c r="D51" s="173">
        <f>IF($D$3="All",'Res Bill Impact'!C77,(VLOOKUP($D$3,'Res Bill Impact'!$B$73:$J$76,2,FALSE)))</f>
        <v>67.513499999999993</v>
      </c>
      <c r="E51" s="173">
        <f>IF($D$3="All",'Res Bill Impact'!E77,(VLOOKUP($D$3,'Res Bill Impact'!$B$73:$J$76,4,FALSE)))</f>
        <v>71.1126</v>
      </c>
      <c r="F51" s="173">
        <f>IF($D$3="All",'Res Bill Impact'!G77,(VLOOKUP($D$3,'Res Bill Impact'!$B$73:$J$76,6,FALSE)))</f>
        <v>72.527436249003529</v>
      </c>
      <c r="G51" s="173">
        <f>IF($D$3="All",'Res Bill Impact'!I77,(VLOOKUP($D$3,'Res Bill Impact'!$B$73:$J$76,8,FALSE)))</f>
        <v>78.500901980049193</v>
      </c>
      <c r="H51" s="71">
        <f t="shared" si="10"/>
        <v>0.16274377687498354</v>
      </c>
      <c r="I51" s="71">
        <f t="shared" si="10"/>
        <v>0.10389582127568375</v>
      </c>
      <c r="J51" s="73">
        <f t="shared" si="10"/>
        <v>8.2361462640667016E-2</v>
      </c>
      <c r="L51" s="506" t="s">
        <v>310</v>
      </c>
      <c r="M51" s="508"/>
      <c r="N51" s="173">
        <f>IF($D$3="All",'Res Bill Impact'!N77,(VLOOKUP($D$3,'Res Bill Impact'!$M$73:$U$76,2,FALSE)))</f>
        <v>45.259049999999995</v>
      </c>
      <c r="O51" s="173">
        <f>IF($D$3="All",'Res Bill Impact'!P77,(VLOOKUP($D$3,'Res Bill Impact'!$M$73:$U$76,4,FALSE)))</f>
        <v>47.671779999999998</v>
      </c>
      <c r="P51" s="173">
        <f>IF($D$3="All",'Res Bill Impact'!R77,(VLOOKUP($D$3,'Res Bill Impact'!$M$73:$U$76,6,FALSE)))</f>
        <v>48.620244300257923</v>
      </c>
      <c r="Q51" s="173">
        <f>IF($D$3="All",'Res Bill Impact'!T77,(VLOOKUP($D$3,'Res Bill Impact'!$M$73:$U$76,8,FALSE)))</f>
        <v>52.624678734773717</v>
      </c>
      <c r="R51" s="71">
        <f t="shared" si="11"/>
        <v>0.16274377687498354</v>
      </c>
      <c r="S51" s="71">
        <f t="shared" si="11"/>
        <v>0.10389582127568375</v>
      </c>
      <c r="T51" s="73">
        <f t="shared" si="11"/>
        <v>8.2361462640667016E-2</v>
      </c>
    </row>
    <row r="52" spans="2:20" ht="15.75" thickBot="1">
      <c r="B52" s="503" t="s">
        <v>116</v>
      </c>
      <c r="C52" s="505"/>
      <c r="D52" s="175">
        <f>D50*(1-'SAR and RAR'!$AD$16)+D51*'SAR and RAR'!$AD$16</f>
        <v>96.24495216478843</v>
      </c>
      <c r="E52" s="175">
        <f>E50*(1-'SAR and RAR'!$AD$16)+E51*'SAR and RAR'!$AD$16</f>
        <v>101.37747053593773</v>
      </c>
      <c r="F52" s="175">
        <f>F50*(1-'SAR and RAR'!$AD$16)+F51*'SAR and RAR'!$AD$16</f>
        <v>103.39674304088956</v>
      </c>
      <c r="G52" s="175">
        <f>G50*(1-'SAR and RAR'!$AD$16)+G51*'SAR and RAR'!$AD$16</f>
        <v>111.92215021678562</v>
      </c>
      <c r="H52" s="74">
        <f t="shared" si="10"/>
        <v>0.16288852245627439</v>
      </c>
      <c r="I52" s="74">
        <f t="shared" si="10"/>
        <v>0.10401403413502863</v>
      </c>
      <c r="J52" s="75">
        <f t="shared" si="10"/>
        <v>8.2453343549947045E-2</v>
      </c>
      <c r="L52" s="503" t="s">
        <v>116</v>
      </c>
      <c r="M52" s="505"/>
      <c r="N52" s="175">
        <f>N50*(1-'SAR and RAR'!$AD$16)+N51*'SAR and RAR'!$AD$16</f>
        <v>64.51976422898781</v>
      </c>
      <c r="O52" s="175">
        <f>O50*(1-'SAR and RAR'!$AD$16)+O51*'SAR and RAR'!$AD$16</f>
        <v>67.960452470387892</v>
      </c>
      <c r="P52" s="175">
        <f>P50*(1-'SAR and RAR'!$AD$16)+P51*'SAR and RAR'!$AD$16</f>
        <v>69.314112927411159</v>
      </c>
      <c r="Q52" s="175">
        <f>Q50*(1-'SAR and RAR'!$AD$16)+Q51*'SAR and RAR'!$AD$16</f>
        <v>75.029293293474808</v>
      </c>
      <c r="R52" s="74">
        <f t="shared" si="11"/>
        <v>0.16288852245627417</v>
      </c>
      <c r="S52" s="74">
        <f t="shared" si="11"/>
        <v>0.10401403413502863</v>
      </c>
      <c r="T52" s="75">
        <f t="shared" si="11"/>
        <v>8.2453343549946823E-2</v>
      </c>
    </row>
    <row r="53" spans="2:20" ht="15.75" thickBot="1"/>
    <row r="54" spans="2:20">
      <c r="B54" s="487" t="s">
        <v>314</v>
      </c>
      <c r="C54" s="488"/>
      <c r="D54" s="488"/>
      <c r="E54" s="488"/>
      <c r="F54" s="488"/>
      <c r="G54" s="488"/>
      <c r="H54" s="488"/>
      <c r="I54" s="488"/>
      <c r="J54" s="489"/>
      <c r="L54" s="509" t="s">
        <v>322</v>
      </c>
      <c r="M54" s="510"/>
      <c r="N54" s="510"/>
      <c r="O54" s="510"/>
      <c r="P54" s="510"/>
      <c r="Q54" s="510"/>
      <c r="R54" s="510"/>
      <c r="S54" s="510"/>
      <c r="T54" s="511"/>
    </row>
    <row r="55" spans="2:20" ht="30">
      <c r="B55" s="69"/>
      <c r="C55" s="276"/>
      <c r="D55" s="59" t="str">
        <f>D49</f>
        <v>1/1/2024</v>
      </c>
      <c r="E55" s="192" t="str">
        <f>E49</f>
        <v>3/1/2024</v>
      </c>
      <c r="F55" s="60" t="str">
        <f>$D$2&amp;" Authorized"</f>
        <v>2024 Authorized</v>
      </c>
      <c r="G55" s="60" t="str">
        <f>$D$2&amp;" w/Pending"</f>
        <v>2024 w/Pending</v>
      </c>
      <c r="H55" s="60" t="str">
        <f>$H$18</f>
        <v>% Change over 1/1/2024</v>
      </c>
      <c r="I55" s="60" t="str">
        <f>$I$18</f>
        <v>% Change over 3/1/2024</v>
      </c>
      <c r="J55" s="61" t="s">
        <v>157</v>
      </c>
      <c r="L55" s="69"/>
      <c r="M55" s="276"/>
      <c r="N55" s="59" t="str">
        <f>N49</f>
        <v>1/1/2024</v>
      </c>
      <c r="O55" s="192" t="str">
        <f>O49</f>
        <v>3/1/2024</v>
      </c>
      <c r="P55" s="60" t="str">
        <f>$D$2&amp;" Authorized"</f>
        <v>2024 Authorized</v>
      </c>
      <c r="Q55" s="60" t="str">
        <f>$D$2&amp;" w/Pending"</f>
        <v>2024 w/Pending</v>
      </c>
      <c r="R55" s="60" t="str">
        <f>$H$18</f>
        <v>% Change over 1/1/2024</v>
      </c>
      <c r="S55" s="60" t="str">
        <f>$I$18</f>
        <v>% Change over 3/1/2024</v>
      </c>
      <c r="T55" s="61" t="s">
        <v>157</v>
      </c>
    </row>
    <row r="56" spans="2:20">
      <c r="B56" s="506" t="s">
        <v>309</v>
      </c>
      <c r="C56" s="508"/>
      <c r="D56" s="173">
        <f>IF($D$3="All",'Res Bill Impact'!D67,(VLOOKUP($D$3,'Res Bill Impact'!$B$63:$J$66,3,FALSE)))</f>
        <v>106.21791262892533</v>
      </c>
      <c r="E56" s="173">
        <f>IF($D$3="All",'Res Bill Impact'!F67,(VLOOKUP($D$3,'Res Bill Impact'!$B$63:$J$66,5,FALSE)))</f>
        <v>111.88260301368055</v>
      </c>
      <c r="F56" s="173">
        <f>IF($D$3="All",'Res Bill Impact'!H67,(VLOOKUP($D$3,'Res Bill Impact'!$B$63:$J$66,7,FALSE)))</f>
        <v>114.1115594265155</v>
      </c>
      <c r="G56" s="173">
        <f>IF($D$3="All",'Res Bill Impact'!J67,(VLOOKUP($D$3,'Res Bill Impact'!$B$63:$J$66,9,FALSE)))</f>
        <v>123.52225607599814</v>
      </c>
      <c r="H56" s="71">
        <f t="shared" ref="H56:J58" si="12">$G56/D56-1</f>
        <v>0.16291360862574966</v>
      </c>
      <c r="I56" s="72">
        <f t="shared" si="12"/>
        <v>0.10403452144293013</v>
      </c>
      <c r="J56" s="73">
        <f t="shared" si="12"/>
        <v>8.2469266889152015E-2</v>
      </c>
      <c r="L56" s="506" t="s">
        <v>309</v>
      </c>
      <c r="M56" s="508"/>
      <c r="N56" s="173">
        <f>IF($D$3="All",'Res Bill Impact'!O67,(VLOOKUP($D$3,'Res Bill Impact'!$M$63:$U$66,3,FALSE)))</f>
        <v>101.59974251462423</v>
      </c>
      <c r="O56" s="173">
        <f>IF($D$3="All",'Res Bill Impact'!Q67,(VLOOKUP($D$3,'Res Bill Impact'!$M$63:$U$66,5,FALSE)))</f>
        <v>107.01814201308574</v>
      </c>
      <c r="P56" s="173">
        <f>IF($D$3="All",'Res Bill Impact'!S67,(VLOOKUP($D$3,'Res Bill Impact'!$M$63:$U$66,7,FALSE)))</f>
        <v>109.15018727753657</v>
      </c>
      <c r="Q56" s="173">
        <f>IF($D$3="All",'Res Bill Impact'!U67,(VLOOKUP($D$3,'Res Bill Impact'!$M$63:$U$66,9,FALSE)))</f>
        <v>118.15172320312865</v>
      </c>
      <c r="R56" s="71">
        <f t="shared" ref="R56:T58" si="13">$Q56/N56-1</f>
        <v>0.16291360862574966</v>
      </c>
      <c r="S56" s="71">
        <f t="shared" si="13"/>
        <v>0.10403452144293013</v>
      </c>
      <c r="T56" s="300">
        <f t="shared" si="13"/>
        <v>8.2469266889152015E-2</v>
      </c>
    </row>
    <row r="57" spans="2:20">
      <c r="B57" s="506" t="s">
        <v>310</v>
      </c>
      <c r="C57" s="508"/>
      <c r="D57" s="173">
        <f>IF($D$3="All",'Res Bill Impact'!D77,(VLOOKUP($D$3,'Res Bill Impact'!$B$73:$J$76,3,FALSE)))</f>
        <v>69.013799999999989</v>
      </c>
      <c r="E57" s="173">
        <f>IF($D$3="All",'Res Bill Impact'!F77,(VLOOKUP($D$3,'Res Bill Impact'!$B$73:$J$76,5,FALSE)))</f>
        <v>72.692880000000002</v>
      </c>
      <c r="F57" s="173">
        <f>IF($D$3="All",'Res Bill Impact'!H77,(VLOOKUP($D$3,'Res Bill Impact'!$B$73:$J$76,7,FALSE)))</f>
        <v>74.139157054536938</v>
      </c>
      <c r="G57" s="173">
        <f>IF($D$3="All",'Res Bill Impact'!J77,(VLOOKUP($D$3,'Res Bill Impact'!$B$73:$J$76,9,FALSE)))</f>
        <v>80.245366468494737</v>
      </c>
      <c r="H57" s="71">
        <f t="shared" si="12"/>
        <v>0.16274377687498376</v>
      </c>
      <c r="I57" s="71">
        <f t="shared" si="12"/>
        <v>0.10389582127568397</v>
      </c>
      <c r="J57" s="73">
        <f t="shared" si="12"/>
        <v>8.2361462640667238E-2</v>
      </c>
      <c r="L57" s="506" t="s">
        <v>310</v>
      </c>
      <c r="M57" s="508"/>
      <c r="N57" s="173">
        <f>IF($D$3="All",'Res Bill Impact'!O77,(VLOOKUP($D$3,'Res Bill Impact'!$M$73:$U$76,3,FALSE)))</f>
        <v>66.013199999999998</v>
      </c>
      <c r="O57" s="173">
        <f>IF($D$3="All",'Res Bill Impact'!Q77,(VLOOKUP($D$3,'Res Bill Impact'!$M$73:$U$76,5,FALSE)))</f>
        <v>69.532319999999999</v>
      </c>
      <c r="P57" s="173">
        <f>IF($D$3="All",'Res Bill Impact'!S77,(VLOOKUP($D$3,'Res Bill Impact'!$M$73:$U$76,7,FALSE)))</f>
        <v>70.91571544347012</v>
      </c>
      <c r="Q57" s="173">
        <f>IF($D$3="All",'Res Bill Impact'!U77,(VLOOKUP($D$3,'Res Bill Impact'!$M$73:$U$76,9,FALSE)))</f>
        <v>76.756437491603648</v>
      </c>
      <c r="R57" s="71">
        <f t="shared" si="13"/>
        <v>0.16274377687498331</v>
      </c>
      <c r="S57" s="71">
        <f t="shared" si="13"/>
        <v>0.10389582127568375</v>
      </c>
      <c r="T57" s="73">
        <f t="shared" si="13"/>
        <v>8.2361462640666794E-2</v>
      </c>
    </row>
    <row r="58" spans="2:20" ht="15.75" thickBot="1">
      <c r="B58" s="503" t="s">
        <v>116</v>
      </c>
      <c r="C58" s="503"/>
      <c r="D58" s="175">
        <f>D56*(1-'SAR and RAR'!$AD$16)+D57*'SAR and RAR'!$AD$16</f>
        <v>98.383728879561517</v>
      </c>
      <c r="E58" s="175">
        <f>E56*(1-'SAR and RAR'!$AD$16)+E57*'SAR and RAR'!$AD$16</f>
        <v>103.63030321451413</v>
      </c>
      <c r="F58" s="175">
        <f>F56*(1-'SAR and RAR'!$AD$16)+F57*'SAR and RAR'!$AD$16</f>
        <v>105.69444844179823</v>
      </c>
      <c r="G58" s="175">
        <f>G56*(1-'SAR and RAR'!$AD$16)+G57*'SAR and RAR'!$AD$16</f>
        <v>114.40930911049198</v>
      </c>
      <c r="H58" s="74">
        <f t="shared" si="12"/>
        <v>0.16288852245627439</v>
      </c>
      <c r="I58" s="74">
        <f t="shared" si="12"/>
        <v>0.10401403413502863</v>
      </c>
      <c r="J58" s="75">
        <f t="shared" si="12"/>
        <v>8.2453343549947045E-2</v>
      </c>
      <c r="L58" s="503" t="s">
        <v>116</v>
      </c>
      <c r="M58" s="503"/>
      <c r="N58" s="175">
        <f>N56*(1-'SAR and RAR'!$AD$16)+N57*'SAR and RAR'!$AD$16</f>
        <v>94.106175450015371</v>
      </c>
      <c r="O58" s="175">
        <f>O56*(1-'SAR and RAR'!$AD$16)+O57*'SAR and RAR'!$AD$16</f>
        <v>99.124637857361336</v>
      </c>
      <c r="P58" s="175">
        <f>P56*(1-'SAR and RAR'!$AD$16)+P57*'SAR and RAR'!$AD$16</f>
        <v>101.09903763998092</v>
      </c>
      <c r="Q58" s="175">
        <f>Q56*(1-'SAR and RAR'!$AD$16)+Q57*'SAR and RAR'!$AD$16</f>
        <v>109.43499132307929</v>
      </c>
      <c r="R58" s="74">
        <f t="shared" si="13"/>
        <v>0.16288852245627439</v>
      </c>
      <c r="S58" s="74">
        <f t="shared" si="13"/>
        <v>0.10401403413502885</v>
      </c>
      <c r="T58" s="75">
        <f t="shared" si="13"/>
        <v>8.2453343549947045E-2</v>
      </c>
    </row>
    <row r="59" spans="2:20" ht="15.75" thickBot="1"/>
    <row r="60" spans="2:20">
      <c r="B60" s="487" t="s">
        <v>325</v>
      </c>
      <c r="C60" s="488"/>
      <c r="D60" s="488"/>
      <c r="E60" s="488"/>
      <c r="F60" s="488"/>
      <c r="G60" s="488"/>
      <c r="H60" s="488"/>
      <c r="I60" s="488"/>
      <c r="J60" s="489"/>
      <c r="L60" s="509" t="s">
        <v>320</v>
      </c>
      <c r="M60" s="510"/>
      <c r="N60" s="510"/>
      <c r="O60" s="510"/>
      <c r="P60" s="510"/>
      <c r="Q60" s="510"/>
      <c r="R60" s="510"/>
      <c r="S60" s="510"/>
      <c r="T60" s="511"/>
    </row>
    <row r="61" spans="2:20" ht="30">
      <c r="B61" s="69"/>
      <c r="C61" s="276"/>
      <c r="D61" s="59" t="str">
        <f>D55</f>
        <v>1/1/2024</v>
      </c>
      <c r="E61" s="192" t="str">
        <f>E55</f>
        <v>3/1/2024</v>
      </c>
      <c r="F61" s="60" t="str">
        <f>$D$2&amp;" Authorized"</f>
        <v>2024 Authorized</v>
      </c>
      <c r="G61" s="60" t="str">
        <f>$D$2&amp;" w/Pending"</f>
        <v>2024 w/Pending</v>
      </c>
      <c r="H61" s="60" t="str">
        <f>$H$18</f>
        <v>% Change over 1/1/2024</v>
      </c>
      <c r="I61" s="60" t="str">
        <f>$I$18</f>
        <v>% Change over 3/1/2024</v>
      </c>
      <c r="J61" s="61" t="s">
        <v>157</v>
      </c>
      <c r="L61" s="69"/>
      <c r="M61" s="276"/>
      <c r="N61" s="59" t="str">
        <f>N55</f>
        <v>1/1/2024</v>
      </c>
      <c r="O61" s="192" t="str">
        <f>O55</f>
        <v>3/1/2024</v>
      </c>
      <c r="P61" s="60" t="str">
        <f>$D$2&amp;" Authorized"</f>
        <v>2024 Authorized</v>
      </c>
      <c r="Q61" s="60" t="str">
        <f>$D$2&amp;" w/Pending"</f>
        <v>2024 w/Pending</v>
      </c>
      <c r="R61" s="60" t="str">
        <f>$H$18</f>
        <v>% Change over 1/1/2024</v>
      </c>
      <c r="S61" s="60" t="str">
        <f>$I$18</f>
        <v>% Change over 3/1/2024</v>
      </c>
      <c r="T61" s="61" t="s">
        <v>157</v>
      </c>
    </row>
    <row r="62" spans="2:20">
      <c r="B62" s="506" t="s">
        <v>273</v>
      </c>
      <c r="C62" s="508"/>
      <c r="D62" s="173">
        <f>((D68*5)+(D74*7)+(I12*2))/12</f>
        <v>145.31183896196234</v>
      </c>
      <c r="E62" s="173">
        <f>((E68*5)+(E74*7)+(I12*2))/12</f>
        <v>153.75731445218929</v>
      </c>
      <c r="F62" s="173">
        <f>((F68*5)+(F74*7)+(I13*2))/12</f>
        <v>157.08046108065153</v>
      </c>
      <c r="G62" s="173">
        <f>((G68*5)+(G74*7)+(I13*2))/12</f>
        <v>171.11084976933549</v>
      </c>
      <c r="H62" s="72">
        <f t="shared" ref="H62:I64" si="14">$G62/D62-1</f>
        <v>0.17754238740400541</v>
      </c>
      <c r="I62" s="72">
        <f t="shared" si="14"/>
        <v>0.11286315307323003</v>
      </c>
      <c r="J62" s="73">
        <f>$G62/F62-1</f>
        <v>8.9319757480723183E-2</v>
      </c>
      <c r="L62" s="506" t="s">
        <v>273</v>
      </c>
      <c r="M62" s="508"/>
      <c r="N62" s="173">
        <f>((N68*5)+(N74*7)+(P12*2))/12</f>
        <v>151.04760900992216</v>
      </c>
      <c r="O62" s="173">
        <f>((O68*5)+(O74*7)+(P12*2))/12</f>
        <v>159.79977484237131</v>
      </c>
      <c r="P62" s="173">
        <f>((P68*5)+(P74*7)+(P13*2))/12</f>
        <v>163.24359874683981</v>
      </c>
      <c r="Q62" s="173">
        <f>((Q68*5)+(Q74*7)+(P13*2))/12</f>
        <v>177.7834892052492</v>
      </c>
      <c r="R62" s="71">
        <f t="shared" ref="R62:T64" si="15">$Q62/N62-1</f>
        <v>0.17700300170637462</v>
      </c>
      <c r="S62" s="71">
        <f t="shared" si="15"/>
        <v>0.11253904694557471</v>
      </c>
      <c r="T62" s="300">
        <f t="shared" si="15"/>
        <v>8.9068671421278944E-2</v>
      </c>
    </row>
    <row r="63" spans="2:20">
      <c r="B63" s="295"/>
      <c r="C63" s="42" t="s">
        <v>274</v>
      </c>
      <c r="D63" s="173">
        <f>((D69*5)+(D75*7)+(I12*2))/12</f>
        <v>90.001468043763893</v>
      </c>
      <c r="E63" s="173">
        <f>((E69*5)+(E75*7)+(I12*2))/12</f>
        <v>95.486418043763891</v>
      </c>
      <c r="F63" s="173">
        <f>((F69*5)+(F75*7)+(I13*2))/12</f>
        <v>97.64580478057097</v>
      </c>
      <c r="G63" s="173">
        <f>((G69*5)+(G75*7)+(I13*2))/12</f>
        <v>106.76277692591742</v>
      </c>
      <c r="H63" s="71">
        <f t="shared" si="14"/>
        <v>0.18623372758767909</v>
      </c>
      <c r="I63" s="71">
        <f t="shared" si="14"/>
        <v>0.11809385159871932</v>
      </c>
      <c r="J63" s="73">
        <f>$G63/F63-1</f>
        <v>9.3367781297251318E-2</v>
      </c>
      <c r="L63" s="295"/>
      <c r="M63" s="42" t="s">
        <v>274</v>
      </c>
      <c r="N63" s="173">
        <f>((N69*5)+(N75*7)+(P12*2))/12</f>
        <v>93.927414710430568</v>
      </c>
      <c r="O63" s="173">
        <f>((O69*5)+(O75*7)+(P12*2))/12</f>
        <v>99.611314710430563</v>
      </c>
      <c r="P63" s="173">
        <f>((P69*5)+(P75*7)+(P13*2))/12</f>
        <v>101.85308201101417</v>
      </c>
      <c r="Q63" s="173">
        <f>((Q69*5)+(Q75*7)+(P13*2))/12</f>
        <v>111.31786647384241</v>
      </c>
      <c r="R63" s="71">
        <f t="shared" si="15"/>
        <v>0.18514777412989569</v>
      </c>
      <c r="S63" s="71">
        <f t="shared" si="15"/>
        <v>0.11752230956335352</v>
      </c>
      <c r="T63" s="73">
        <f t="shared" si="15"/>
        <v>9.2925852374351692E-2</v>
      </c>
    </row>
    <row r="64" spans="2:20" ht="15.75" thickBot="1">
      <c r="B64" s="503" t="s">
        <v>116</v>
      </c>
      <c r="C64" s="505"/>
      <c r="D64" s="175">
        <f>((D70*5)+(D76*7)+(I12*2))/12</f>
        <v>133.66496504400348</v>
      </c>
      <c r="E64" s="175">
        <f>((E70*5)+(E76*7)+(I12*2))/12</f>
        <v>141.48703362982596</v>
      </c>
      <c r="F64" s="175">
        <f>((F70*5)+(F76*7)+(I13*2))/12</f>
        <v>144.56512377965905</v>
      </c>
      <c r="G64" s="175">
        <f>((G70*5)+(G76*7)+(I13*2))/12</f>
        <v>157.56087932384102</v>
      </c>
      <c r="H64" s="74">
        <f t="shared" si="14"/>
        <v>0.17877470189717126</v>
      </c>
      <c r="I64" s="74">
        <f t="shared" si="14"/>
        <v>0.11360649298839109</v>
      </c>
      <c r="J64" s="75">
        <f>$G64/F64-1</f>
        <v>8.9895510095433728E-2</v>
      </c>
      <c r="L64" s="503" t="s">
        <v>116</v>
      </c>
      <c r="M64" s="505"/>
      <c r="N64" s="175">
        <f>((N70*5)+(N76*7)+(P12*2))/12</f>
        <v>139.01963504895559</v>
      </c>
      <c r="O64" s="175">
        <f>((O70*5)+(O76*7)+(P12*2))/12</f>
        <v>147.12570676371811</v>
      </c>
      <c r="P64" s="175">
        <f>((P70*5)+(P76*7)+(P13*2))/12</f>
        <v>150.31640993376945</v>
      </c>
      <c r="Q64" s="175">
        <f>((Q70*5)+(Q76*7)+(P13*2))/12</f>
        <v>163.78761980534586</v>
      </c>
      <c r="R64" s="74">
        <f t="shared" si="15"/>
        <v>0.17816177367800057</v>
      </c>
      <c r="S64" s="74">
        <f t="shared" si="15"/>
        <v>0.11324950213076312</v>
      </c>
      <c r="T64" s="75">
        <f t="shared" si="15"/>
        <v>8.9619023481946725E-2</v>
      </c>
    </row>
    <row r="65" spans="2:20" ht="15.75" thickBot="1"/>
    <row r="66" spans="2:20">
      <c r="B66" s="487" t="s">
        <v>316</v>
      </c>
      <c r="C66" s="488"/>
      <c r="D66" s="488"/>
      <c r="E66" s="488"/>
      <c r="F66" s="488"/>
      <c r="G66" s="488"/>
      <c r="H66" s="488"/>
      <c r="I66" s="488"/>
      <c r="J66" s="489"/>
      <c r="L66" s="487" t="s">
        <v>319</v>
      </c>
      <c r="M66" s="488"/>
      <c r="N66" s="488"/>
      <c r="O66" s="488"/>
      <c r="P66" s="488"/>
      <c r="Q66" s="488"/>
      <c r="R66" s="488"/>
      <c r="S66" s="488"/>
      <c r="T66" s="489"/>
    </row>
    <row r="67" spans="2:20" ht="30">
      <c r="B67" s="69"/>
      <c r="C67" s="276"/>
      <c r="D67" s="59" t="str">
        <f>D61</f>
        <v>1/1/2024</v>
      </c>
      <c r="E67" s="192" t="str">
        <f>E61</f>
        <v>3/1/2024</v>
      </c>
      <c r="F67" s="60" t="str">
        <f>$D$2&amp;" Authorized"</f>
        <v>2024 Authorized</v>
      </c>
      <c r="G67" s="60" t="str">
        <f>$D$2&amp;" w/Pending"</f>
        <v>2024 w/Pending</v>
      </c>
      <c r="H67" s="60" t="str">
        <f>$H$18</f>
        <v>% Change over 1/1/2024</v>
      </c>
      <c r="I67" s="60" t="str">
        <f>$I$18</f>
        <v>% Change over 3/1/2024</v>
      </c>
      <c r="J67" s="61" t="s">
        <v>157</v>
      </c>
      <c r="L67" s="69"/>
      <c r="M67" s="276"/>
      <c r="N67" s="59" t="str">
        <f>N61</f>
        <v>1/1/2024</v>
      </c>
      <c r="O67" s="192" t="str">
        <f>O61</f>
        <v>3/1/2024</v>
      </c>
      <c r="P67" s="60" t="str">
        <f>$D$2&amp;" Authorized"</f>
        <v>2024 Authorized</v>
      </c>
      <c r="Q67" s="60" t="str">
        <f>$D$2&amp;" w/Pending"</f>
        <v>2024 w/Pending</v>
      </c>
      <c r="R67" s="60" t="str">
        <f>$H$18</f>
        <v>% Change over 1/1/2024</v>
      </c>
      <c r="S67" s="60" t="str">
        <f>$I$18</f>
        <v>% Change over 3/1/2024</v>
      </c>
      <c r="T67" s="61" t="s">
        <v>157</v>
      </c>
    </row>
    <row r="68" spans="2:20">
      <c r="B68" s="497" t="s">
        <v>273</v>
      </c>
      <c r="C68" s="498"/>
      <c r="D68" s="173">
        <f>IF($D$3="All",'Res Bill Impact'!C87,(VLOOKUP($D$3,'Res Bill Impact'!$B$83:$J$86,2,FALSE)))</f>
        <v>158.81275061379444</v>
      </c>
      <c r="E68" s="173">
        <f>IF($D$3="All",'Res Bill Impact'!E87,(VLOOKUP($D$3,'Res Bill Impact'!$B$83:$J$86,4,FALSE)))</f>
        <v>167.28304497564631</v>
      </c>
      <c r="F68" s="173">
        <f>IF($D$3="All",'Res Bill Impact'!G87,(VLOOKUP($D$3,'Res Bill Impact'!$B$83:$J$86,6,FALSE)))</f>
        <v>170.61595739523042</v>
      </c>
      <c r="G68" s="173">
        <f>IF($D$3="All",'Res Bill Impact'!I87,(VLOOKUP($D$3,'Res Bill Impact'!$B$83:$J$86,8,FALSE)))</f>
        <v>184.68757744100199</v>
      </c>
      <c r="H68" s="72">
        <f t="shared" ref="H68:I70" si="16">$G68/D68-1</f>
        <v>0.16292663358076798</v>
      </c>
      <c r="I68" s="72">
        <f t="shared" si="16"/>
        <v>0.10404241785465773</v>
      </c>
      <c r="J68" s="73">
        <f>$G68/F68-1</f>
        <v>8.2475404180247791E-2</v>
      </c>
      <c r="L68" s="506" t="s">
        <v>273</v>
      </c>
      <c r="M68" s="508"/>
      <c r="N68" s="173">
        <f>IF($D$3="All",'Res Bill Impact'!N87,(VLOOKUP($D$3,'Res Bill Impact'!$M$83:$U$86,2,FALSE)))</f>
        <v>170.35060019003726</v>
      </c>
      <c r="O68" s="173">
        <f>IF($D$3="All",'Res Bill Impact'!P87,(VLOOKUP($D$3,'Res Bill Impact'!$M$83:$U$86,4,FALSE)))</f>
        <v>179.43782078942289</v>
      </c>
      <c r="P68" s="173">
        <f>IF($D$3="All",'Res Bill Impact'!R87,(VLOOKUP($D$3,'Res Bill Impact'!$M$83:$U$86,6,FALSE)))</f>
        <v>183.01348287403687</v>
      </c>
      <c r="Q68" s="173">
        <f>IF($D$3="All",'Res Bill Impact'!T87,(VLOOKUP($D$3,'Res Bill Impact'!$M$83:$U$86,8,FALSE)))</f>
        <v>198.109996653129</v>
      </c>
      <c r="R68" s="71">
        <f t="shared" ref="R68:T70" si="17">$Q68/N68-1</f>
        <v>0.16295449756046843</v>
      </c>
      <c r="S68" s="71">
        <f t="shared" si="17"/>
        <v>0.10405931024774673</v>
      </c>
      <c r="T68" s="300">
        <f t="shared" si="17"/>
        <v>8.2488533314688306E-2</v>
      </c>
    </row>
    <row r="69" spans="2:20">
      <c r="B69" s="295"/>
      <c r="C69" s="296" t="s">
        <v>275</v>
      </c>
      <c r="D69" s="173">
        <f>IF($D$3="All",'Res Bill Impact'!C97,(VLOOKUP($D$3,'Res Bill Impact'!$B$93:$J$96,2,FALSE)))</f>
        <v>103.35592000000001</v>
      </c>
      <c r="E69" s="173">
        <f>IF($D$3="All",'Res Bill Impact'!E97,(VLOOKUP($D$3,'Res Bill Impact'!$B$93:$J$96,4,FALSE)))</f>
        <v>108.85697000000002</v>
      </c>
      <c r="F69" s="173">
        <f>IF($D$3="All",'Res Bill Impact'!G97,(VLOOKUP($D$3,'Res Bill Impact'!$B$93:$J$96,6,FALSE)))</f>
        <v>111.02302337202599</v>
      </c>
      <c r="G69" s="173">
        <f>IF($D$3="All",'Res Bill Impact'!I97,(VLOOKUP($D$3,'Res Bill Impact'!$B$93:$J$96,8,FALSE)))</f>
        <v>120.16814217890276</v>
      </c>
      <c r="H69" s="71">
        <f t="shared" si="16"/>
        <v>0.1626633692477677</v>
      </c>
      <c r="I69" s="71">
        <f t="shared" si="16"/>
        <v>0.10390857084211258</v>
      </c>
      <c r="J69" s="73">
        <f>$G69/F69-1</f>
        <v>8.2371372433557966E-2</v>
      </c>
      <c r="L69" s="295"/>
      <c r="M69" s="42" t="s">
        <v>274</v>
      </c>
      <c r="N69" s="173">
        <f>IF($D$3="All",'Res Bill Impact'!N97,(VLOOKUP($D$3,'Res Bill Impact'!$M$93:$U$96,2,FALSE)))</f>
        <v>111.25320000000001</v>
      </c>
      <c r="O69" s="173">
        <f>IF($D$3="All",'Res Bill Impact'!P97,(VLOOKUP($D$3,'Res Bill Impact'!$M$93:$U$96,4,FALSE)))</f>
        <v>117.15445</v>
      </c>
      <c r="P69" s="173">
        <f>IF($D$3="All",'Res Bill Impact'!R97,(VLOOKUP($D$3,'Res Bill Impact'!$M$93:$U$96,6,FALSE)))</f>
        <v>119.48621687603887</v>
      </c>
      <c r="Q69" s="173">
        <f>IF($D$3="All",'Res Bill Impact'!T97,(VLOOKUP($D$3,'Res Bill Impact'!$M$93:$U$96,8,FALSE)))</f>
        <v>129.33098126952646</v>
      </c>
      <c r="R69" s="71">
        <f t="shared" si="17"/>
        <v>0.16249223635388876</v>
      </c>
      <c r="S69" s="71">
        <f t="shared" si="17"/>
        <v>0.10393571280925706</v>
      </c>
      <c r="T69" s="73">
        <f t="shared" si="17"/>
        <v>8.2392468779064698E-2</v>
      </c>
    </row>
    <row r="70" spans="2:20" ht="15.75" thickBot="1">
      <c r="B70" s="503" t="s">
        <v>116</v>
      </c>
      <c r="C70" s="504"/>
      <c r="D70" s="175">
        <f>D68*(1-'SAR and RAR'!$AD$16)+D69*'SAR and RAR'!$AD$16</f>
        <v>147.13503622992741</v>
      </c>
      <c r="E70" s="175">
        <f>E68*(1-'SAR and RAR'!$AD$16)+E69*'SAR and RAR'!$AD$16</f>
        <v>154.98008772791849</v>
      </c>
      <c r="F70" s="175">
        <f>F68*(1-'SAR and RAR'!$AD$16)+F69*'SAR and RAR'!$AD$16</f>
        <v>158.06729107013916</v>
      </c>
      <c r="G70" s="175">
        <f>G68*(1-'SAR and RAR'!$AD$16)+G69*'SAR and RAR'!$AD$16</f>
        <v>171.10152268705829</v>
      </c>
      <c r="H70" s="74">
        <f t="shared" si="16"/>
        <v>0.16288769195447461</v>
      </c>
      <c r="I70" s="74">
        <f t="shared" si="16"/>
        <v>0.10402262119919836</v>
      </c>
      <c r="J70" s="75">
        <f>$G70/F70-1</f>
        <v>8.2460017684085285E-2</v>
      </c>
      <c r="L70" s="503" t="s">
        <v>116</v>
      </c>
      <c r="M70" s="505"/>
      <c r="N70" s="175">
        <f>N68*(1-'SAR and RAR'!$AD$16)+N69*'SAR and RAR'!$AD$16</f>
        <v>157.90627993931088</v>
      </c>
      <c r="O70" s="175">
        <f>O68*(1-'SAR and RAR'!$AD$16)+O69*'SAR and RAR'!$AD$16</f>
        <v>166.3226209683489</v>
      </c>
      <c r="P70" s="175">
        <f>P68*(1-'SAR and RAR'!$AD$16)+P69*'SAR and RAR'!$AD$16</f>
        <v>169.63635223563293</v>
      </c>
      <c r="Q70" s="175">
        <f>Q68*(1-'SAR and RAR'!$AD$16)+Q69*'SAR and RAR'!$AD$16</f>
        <v>183.62698908916047</v>
      </c>
      <c r="R70" s="74">
        <f t="shared" si="17"/>
        <v>0.16288591663190966</v>
      </c>
      <c r="S70" s="74">
        <f t="shared" si="17"/>
        <v>0.1040409778300968</v>
      </c>
      <c r="T70" s="75">
        <f t="shared" si="17"/>
        <v>8.247428495806064E-2</v>
      </c>
    </row>
    <row r="71" spans="2:20" ht="15.75" thickBot="1"/>
    <row r="72" spans="2:20">
      <c r="B72" s="487" t="s">
        <v>317</v>
      </c>
      <c r="C72" s="488"/>
      <c r="D72" s="488"/>
      <c r="E72" s="488"/>
      <c r="F72" s="488"/>
      <c r="G72" s="488"/>
      <c r="H72" s="488"/>
      <c r="I72" s="488"/>
      <c r="J72" s="489"/>
      <c r="L72" s="487" t="s">
        <v>318</v>
      </c>
      <c r="M72" s="488"/>
      <c r="N72" s="488"/>
      <c r="O72" s="488"/>
      <c r="P72" s="488"/>
      <c r="Q72" s="488"/>
      <c r="R72" s="488"/>
      <c r="S72" s="488"/>
      <c r="T72" s="489"/>
    </row>
    <row r="73" spans="2:20" ht="30">
      <c r="B73" s="69"/>
      <c r="C73" s="276"/>
      <c r="D73" s="59" t="str">
        <f>D67</f>
        <v>1/1/2024</v>
      </c>
      <c r="E73" s="192" t="str">
        <f>E67</f>
        <v>3/1/2024</v>
      </c>
      <c r="F73" s="60" t="str">
        <f>$D$2&amp;" Authorized"</f>
        <v>2024 Authorized</v>
      </c>
      <c r="G73" s="60" t="str">
        <f>$D$2&amp;" w/Pending"</f>
        <v>2024 w/Pending</v>
      </c>
      <c r="H73" s="60" t="str">
        <f>$H$18</f>
        <v>% Change over 1/1/2024</v>
      </c>
      <c r="I73" s="60" t="str">
        <f>$I$18</f>
        <v>% Change over 3/1/2024</v>
      </c>
      <c r="J73" s="61" t="s">
        <v>157</v>
      </c>
      <c r="L73" s="69"/>
      <c r="M73" s="276"/>
      <c r="N73" s="59" t="str">
        <f>N67</f>
        <v>1/1/2024</v>
      </c>
      <c r="O73" s="192" t="str">
        <f>O67</f>
        <v>3/1/2024</v>
      </c>
      <c r="P73" s="60" t="str">
        <f>$D$2&amp;" Authorized"</f>
        <v>2024 Authorized</v>
      </c>
      <c r="Q73" s="60" t="str">
        <f>$D$2&amp;" w/Pending"</f>
        <v>2024 w/Pending</v>
      </c>
      <c r="R73" s="60" t="str">
        <f>$H$18</f>
        <v>% Change over 1/1/2024</v>
      </c>
      <c r="S73" s="60" t="str">
        <f>$I$18</f>
        <v>% Change over 3/1/2024</v>
      </c>
      <c r="T73" s="61" t="s">
        <v>157</v>
      </c>
    </row>
    <row r="74" spans="2:20">
      <c r="B74" s="497" t="s">
        <v>276</v>
      </c>
      <c r="C74" s="498"/>
      <c r="D74" s="173">
        <f>IF($D$3="All",'Res Bill Impact'!D87,(VLOOKUP($D$3,'Res Bill Impact'!$B$83:$J$86,3,FALSE)))</f>
        <v>158.01703684991563</v>
      </c>
      <c r="E74" s="173">
        <f>IF($D$3="All",'Res Bill Impact'!F87,(VLOOKUP($D$3,'Res Bill Impact'!$B$83:$J$86,5,FALSE)))</f>
        <v>166.4447845746962</v>
      </c>
      <c r="F74" s="173">
        <f>IF($D$3="All",'Res Bill Impact'!H87,(VLOOKUP($D$3,'Res Bill Impact'!$B$83:$J$86,7,FALSE)))</f>
        <v>169.76095563807138</v>
      </c>
      <c r="G74" s="173">
        <f>IF($D$3="All",'Res Bill Impact'!J87,(VLOOKUP($D$3,'Res Bill Impact'!$B$83:$J$86,9,FALSE)))</f>
        <v>183.76189335740702</v>
      </c>
      <c r="H74" s="72">
        <f t="shared" ref="H74:I76" si="18">$G74/D74-1</f>
        <v>0.1629245619378612</v>
      </c>
      <c r="I74" s="72">
        <f t="shared" si="18"/>
        <v>0.10404116192021218</v>
      </c>
      <c r="J74" s="73">
        <f>$G74/F74-1</f>
        <v>8.2474428037419223E-2</v>
      </c>
      <c r="L74" s="506" t="s">
        <v>273</v>
      </c>
      <c r="M74" s="508"/>
      <c r="N74" s="173">
        <f>IF($D$3="All",'Res Bill Impact'!O87,(VLOOKUP($D$3,'Res Bill Impact'!$M$83:$U$86,3,FALSE)))</f>
        <v>159.60846437767327</v>
      </c>
      <c r="O74" s="173">
        <f>IF($D$3="All",'Res Bill Impact'!Q87,(VLOOKUP($D$3,'Res Bill Impact'!$M$83:$U$86,5,FALSE)))</f>
        <v>168.12130537659641</v>
      </c>
      <c r="P74" s="173">
        <f>IF($D$3="All",'Res Bill Impact'!S87,(VLOOKUP($D$3,'Res Bill Impact'!$M$83:$U$86,7,FALSE)))</f>
        <v>171.4709591523895</v>
      </c>
      <c r="Q74" s="173">
        <f>IF($D$3="All",'Res Bill Impact'!U87,(VLOOKUP($D$3,'Res Bill Impact'!$M$83:$U$86,9,FALSE)))</f>
        <v>185.61326152459694</v>
      </c>
      <c r="R74" s="71">
        <f t="shared" ref="R74:T76" si="19">$Q74/N74-1</f>
        <v>0.16292868456769227</v>
      </c>
      <c r="S74" s="71">
        <f t="shared" si="19"/>
        <v>0.10404366126481146</v>
      </c>
      <c r="T74" s="300">
        <f t="shared" si="19"/>
        <v>8.2476370588438375E-2</v>
      </c>
    </row>
    <row r="75" spans="2:20">
      <c r="B75" s="295"/>
      <c r="C75" s="296" t="s">
        <v>275</v>
      </c>
      <c r="D75" s="173">
        <f>IF($D$3="All",'Res Bill Impact'!D97,(VLOOKUP($D$3,'Res Bill Impact'!$B$93:$J$96,3,FALSE)))</f>
        <v>102.81128000000001</v>
      </c>
      <c r="E75" s="173">
        <f>IF($D$3="All",'Res Bill Impact'!F97,(VLOOKUP($D$3,'Res Bill Impact'!$B$93:$J$96,5,FALSE)))</f>
        <v>108.28473</v>
      </c>
      <c r="F75" s="173">
        <f>IF($D$3="All",'Res Bill Impact'!H97,(VLOOKUP($D$3,'Res Bill Impact'!$B$93:$J$96,7,FALSE)))</f>
        <v>110.43935485450787</v>
      </c>
      <c r="G75" s="173">
        <f>IF($D$3="All",'Res Bill Impact'!J97,(VLOOKUP($D$3,'Res Bill Impact'!$B$93:$J$96,9,FALSE)))</f>
        <v>119.53622224161836</v>
      </c>
      <c r="H75" s="71">
        <f t="shared" si="18"/>
        <v>0.16267614061043068</v>
      </c>
      <c r="I75" s="71">
        <f t="shared" si="18"/>
        <v>0.10390654565623758</v>
      </c>
      <c r="J75" s="73">
        <f>$G75/F75-1</f>
        <v>8.2369798330446997E-2</v>
      </c>
      <c r="L75" s="295"/>
      <c r="M75" s="42" t="s">
        <v>274</v>
      </c>
      <c r="N75" s="173">
        <f>IF($D$3="All",'Res Bill Impact'!O97,(VLOOKUP($D$3,'Res Bill Impact'!$M$93:$U$96,3,FALSE)))</f>
        <v>103.90056000000001</v>
      </c>
      <c r="O75" s="173">
        <f>IF($D$3="All",'Res Bill Impact'!Q97,(VLOOKUP($D$3,'Res Bill Impact'!$M$93:$U$96,5,FALSE)))</f>
        <v>109.42921000000001</v>
      </c>
      <c r="P75" s="173">
        <f>IF($D$3="All",'Res Bill Impact'!S97,(VLOOKUP($D$3,'Res Bill Impact'!$M$93:$U$96,7,FALSE)))</f>
        <v>111.60669188954412</v>
      </c>
      <c r="Q75" s="173">
        <f>IF($D$3="All",'Res Bill Impact'!U97,(VLOOKUP($D$3,'Res Bill Impact'!$M$93:$U$96,9,FALSE)))</f>
        <v>120.80006211618716</v>
      </c>
      <c r="R75" s="71">
        <f t="shared" si="19"/>
        <v>0.16265073177841538</v>
      </c>
      <c r="S75" s="71">
        <f t="shared" si="19"/>
        <v>0.10391057484731125</v>
      </c>
      <c r="T75" s="73">
        <f t="shared" si="19"/>
        <v>8.237293007252311E-2</v>
      </c>
    </row>
    <row r="76" spans="2:20" ht="15.75" thickBot="1">
      <c r="B76" s="503" t="s">
        <v>116</v>
      </c>
      <c r="C76" s="504"/>
      <c r="D76" s="175">
        <f>D74*(1-'SAR and RAR'!$AD$16)+D75*'SAR and RAR'!$AD$16</f>
        <v>146.39219183617683</v>
      </c>
      <c r="E76" s="175">
        <f>E74*(1-'SAR and RAR'!$AD$16)+E75*'SAR and RAR'!$AD$16</f>
        <v>154.19784405616463</v>
      </c>
      <c r="F76" s="175">
        <f>F74*(1-'SAR and RAR'!$AD$16)+F75*'SAR and RAR'!$AD$16</f>
        <v>157.26942478286372</v>
      </c>
      <c r="G76" s="175">
        <f>G74*(1-'SAR and RAR'!$AD$16)+G75*'SAR and RAR'!$AD$16</f>
        <v>170.23769741794777</v>
      </c>
      <c r="H76" s="74">
        <f t="shared" si="18"/>
        <v>0.16288782402039415</v>
      </c>
      <c r="I76" s="74">
        <f t="shared" si="18"/>
        <v>0.10402125567942977</v>
      </c>
      <c r="J76" s="75">
        <f>$G76/F76-1</f>
        <v>8.2458956360963898E-2</v>
      </c>
      <c r="L76" s="503" t="s">
        <v>116</v>
      </c>
      <c r="M76" s="505"/>
      <c r="N76" s="175">
        <f>N74*(1-'SAR and RAR'!$AD$16)+N75*'SAR and RAR'!$AD$16</f>
        <v>147.87788062367801</v>
      </c>
      <c r="O76" s="175">
        <f>O74*(1-'SAR and RAR'!$AD$16)+O75*'SAR and RAR'!$AD$16</f>
        <v>155.76233139967229</v>
      </c>
      <c r="P76" s="175">
        <f>P74*(1-'SAR and RAR'!$AD$16)+P75*'SAR and RAR'!$AD$16</f>
        <v>158.8651573574146</v>
      </c>
      <c r="Q76" s="175">
        <f>Q74*(1-'SAR and RAR'!$AD$16)+Q75*'SAR and RAR'!$AD$16</f>
        <v>171.96534795616876</v>
      </c>
      <c r="R76" s="74">
        <f t="shared" si="19"/>
        <v>0.16288756121538506</v>
      </c>
      <c r="S76" s="74">
        <f t="shared" si="19"/>
        <v>0.10402397300359456</v>
      </c>
      <c r="T76" s="75">
        <f t="shared" si="19"/>
        <v>8.2461068346669331E-2</v>
      </c>
    </row>
    <row r="78" spans="2:20" ht="15.75" thickBot="1"/>
    <row r="79" spans="2:20">
      <c r="B79" s="487" t="s">
        <v>479</v>
      </c>
      <c r="C79" s="488"/>
      <c r="D79" s="488"/>
      <c r="E79" s="488"/>
      <c r="F79" s="488"/>
      <c r="G79" s="488"/>
      <c r="H79" s="488"/>
      <c r="I79" s="488"/>
      <c r="J79" s="489"/>
    </row>
    <row r="80" spans="2:20" ht="30">
      <c r="B80" s="69"/>
      <c r="C80" s="276"/>
      <c r="D80" s="59" t="str">
        <f>D73</f>
        <v>1/1/2024</v>
      </c>
      <c r="E80" s="192" t="str">
        <f>E73</f>
        <v>3/1/2024</v>
      </c>
      <c r="F80" s="60" t="str">
        <f>$D$2&amp;" Authorized"</f>
        <v>2024 Authorized</v>
      </c>
      <c r="G80" s="60" t="str">
        <f>$D$2&amp;" w/Pending"</f>
        <v>2024 w/Pending</v>
      </c>
      <c r="H80" s="60" t="str">
        <f>$H$18</f>
        <v>% Change over 1/1/2024</v>
      </c>
      <c r="I80" s="60" t="str">
        <f>$I$18</f>
        <v>% Change over 3/1/2024</v>
      </c>
      <c r="J80" s="61" t="s">
        <v>157</v>
      </c>
    </row>
    <row r="81" spans="2:10">
      <c r="B81" s="438"/>
      <c r="C81" s="42" t="s">
        <v>466</v>
      </c>
      <c r="D81" s="173">
        <f>((D87*5)+(D93*7))/12</f>
        <v>376.2839692801258</v>
      </c>
      <c r="E81" s="173">
        <f>((E87*5)+(E93*7))/12</f>
        <v>400.85428600838418</v>
      </c>
      <c r="F81" s="173">
        <f>((F87*5)+(F93*7))/12</f>
        <v>404.59802190089385</v>
      </c>
      <c r="G81" s="173">
        <f>((G87*5)+(G93*7))/12</f>
        <v>437.83123850580643</v>
      </c>
      <c r="H81" s="72">
        <f t="shared" ref="H81:I83" si="20">$G81/D81-1</f>
        <v>0.16356601463364906</v>
      </c>
      <c r="I81" s="72">
        <f t="shared" si="20"/>
        <v>9.2245371418203659E-2</v>
      </c>
      <c r="J81" s="73">
        <f>$G81/F81-1</f>
        <v>8.2138850923628715E-2</v>
      </c>
    </row>
    <row r="82" spans="2:10">
      <c r="B82" s="295"/>
      <c r="C82" s="42" t="s">
        <v>467</v>
      </c>
      <c r="D82" s="173">
        <f t="shared" ref="D82:G83" si="21">((D88*5)+(D94*7))/12</f>
        <v>380.57201085417915</v>
      </c>
      <c r="E82" s="173">
        <f t="shared" si="21"/>
        <v>404.84462831182492</v>
      </c>
      <c r="F82" s="173">
        <f t="shared" si="21"/>
        <v>408.56073179093255</v>
      </c>
      <c r="G82" s="173">
        <f>((G88*5)+(G94*7))/12</f>
        <v>441.54865492262047</v>
      </c>
      <c r="H82" s="71">
        <f t="shared" si="20"/>
        <v>0.16022366944847466</v>
      </c>
      <c r="I82" s="71">
        <f t="shared" si="20"/>
        <v>9.0662007209652007E-2</v>
      </c>
      <c r="J82" s="73">
        <f>$G82/F82-1</f>
        <v>8.0741785895783069E-2</v>
      </c>
    </row>
    <row r="83" spans="2:10" ht="15.75" thickBot="1">
      <c r="B83" s="439"/>
      <c r="C83" s="383" t="s">
        <v>468</v>
      </c>
      <c r="D83" s="175">
        <f>((D89*5)+(D95*7))/12</f>
        <v>920.02038387098526</v>
      </c>
      <c r="E83" s="175">
        <f t="shared" si="21"/>
        <v>979.71872830496011</v>
      </c>
      <c r="F83" s="175">
        <f t="shared" si="21"/>
        <v>988.96206032193334</v>
      </c>
      <c r="G83" s="175">
        <f t="shared" si="21"/>
        <v>1071.0152990896056</v>
      </c>
      <c r="H83" s="74">
        <f t="shared" si="20"/>
        <v>0.16412127151282152</v>
      </c>
      <c r="I83" s="74">
        <f t="shared" si="20"/>
        <v>9.3186511747713974E-2</v>
      </c>
      <c r="J83" s="75">
        <f>$G83/F83-1</f>
        <v>8.2969046093600118E-2</v>
      </c>
    </row>
    <row r="84" spans="2:10" ht="15.75" thickBot="1"/>
    <row r="85" spans="2:10">
      <c r="B85" s="487" t="s">
        <v>480</v>
      </c>
      <c r="C85" s="488"/>
      <c r="D85" s="488"/>
      <c r="E85" s="488"/>
      <c r="F85" s="488"/>
      <c r="G85" s="488"/>
      <c r="H85" s="488"/>
      <c r="I85" s="488"/>
      <c r="J85" s="489"/>
    </row>
    <row r="86" spans="2:10" ht="30">
      <c r="B86" s="69"/>
      <c r="C86" s="276"/>
      <c r="D86" s="59" t="str">
        <f>D80</f>
        <v>1/1/2024</v>
      </c>
      <c r="E86" s="192" t="str">
        <f>E80</f>
        <v>3/1/2024</v>
      </c>
      <c r="F86" s="60" t="str">
        <f>$D$2&amp;" Authorized"</f>
        <v>2024 Authorized</v>
      </c>
      <c r="G86" s="60" t="str">
        <f>$D$2&amp;" w/Pending"</f>
        <v>2024 w/Pending</v>
      </c>
      <c r="H86" s="60" t="str">
        <f>$H$18</f>
        <v>% Change over 1/1/2024</v>
      </c>
      <c r="I86" s="60" t="str">
        <f>$I$18</f>
        <v>% Change over 3/1/2024</v>
      </c>
      <c r="J86" s="61" t="s">
        <v>157</v>
      </c>
    </row>
    <row r="87" spans="2:10">
      <c r="B87" s="438"/>
      <c r="C87" s="42" t="s">
        <v>466</v>
      </c>
      <c r="D87" s="173">
        <f>'Bill Impact (TOU-A)'!C$36</f>
        <v>431.77667364504998</v>
      </c>
      <c r="E87" s="173">
        <f>'Bill Impact (TOU-A)'!E$36</f>
        <v>456.73877952680999</v>
      </c>
      <c r="F87" s="173">
        <f>'Bill Impact (TOU-A)'!G$36</f>
        <v>461.02121175984416</v>
      </c>
      <c r="G87" s="173">
        <f>'Bill Impact (TOU-A)'!I$36</f>
        <v>499.03644629629503</v>
      </c>
      <c r="H87" s="72">
        <f t="shared" ref="H87:I89" si="22">$G87/D87-1</f>
        <v>0.15577444720077027</v>
      </c>
      <c r="I87" s="72">
        <f t="shared" si="22"/>
        <v>9.2608004105336095E-2</v>
      </c>
      <c r="J87" s="73">
        <f>$G87/F87-1</f>
        <v>8.2458753668483764E-2</v>
      </c>
    </row>
    <row r="88" spans="2:10">
      <c r="B88" s="295"/>
      <c r="C88" s="42" t="s">
        <v>467</v>
      </c>
      <c r="D88" s="173">
        <f>'Bill Impact (TOU-A)'!C$37</f>
        <v>462.54294270766002</v>
      </c>
      <c r="E88" s="173">
        <f>'Bill Impact (TOU-A)'!E$37</f>
        <v>488.93216121242</v>
      </c>
      <c r="F88" s="173">
        <f>'Bill Impact (TOU-A)'!G$37</f>
        <v>493.45813011501394</v>
      </c>
      <c r="G88" s="173">
        <f>'Bill Impact (TOU-A)'!I$37</f>
        <v>533.63524442159257</v>
      </c>
      <c r="H88" s="71">
        <f t="shared" si="22"/>
        <v>0.15369881399069341</v>
      </c>
      <c r="I88" s="71">
        <f t="shared" si="22"/>
        <v>9.1430032130267236E-2</v>
      </c>
      <c r="J88" s="73">
        <f>$G88/F88-1</f>
        <v>8.1419500165524239E-2</v>
      </c>
    </row>
    <row r="89" spans="2:10" ht="15.75" thickBot="1">
      <c r="B89" s="439"/>
      <c r="C89" s="383" t="s">
        <v>468</v>
      </c>
      <c r="D89" s="175">
        <f>'Bill Impact (TOU-A)'!C$38</f>
        <v>1149.4575421274101</v>
      </c>
      <c r="E89" s="175">
        <f>'Bill Impact (TOU-A)'!E$38</f>
        <v>1216.08583026308</v>
      </c>
      <c r="F89" s="175">
        <f>'Bill Impact (TOU-A)'!G$38</f>
        <v>1227.6052205173633</v>
      </c>
      <c r="G89" s="175">
        <f>'Bill Impact (TOU-A)'!I$38</f>
        <v>1329.8630726919955</v>
      </c>
      <c r="H89" s="74">
        <f t="shared" si="22"/>
        <v>0.15694840735978111</v>
      </c>
      <c r="I89" s="74">
        <f t="shared" si="22"/>
        <v>9.3560207345152469E-2</v>
      </c>
      <c r="J89" s="75">
        <f>$G89/F89-1</f>
        <v>8.3298645578858466E-2</v>
      </c>
    </row>
    <row r="90" spans="2:10" ht="15.75" thickBot="1">
      <c r="C90" s="440"/>
      <c r="D90" s="441"/>
      <c r="E90" s="441"/>
      <c r="F90" s="441"/>
      <c r="G90" s="441"/>
    </row>
    <row r="91" spans="2:10">
      <c r="B91" s="487" t="s">
        <v>481</v>
      </c>
      <c r="C91" s="488"/>
      <c r="D91" s="488"/>
      <c r="E91" s="488"/>
      <c r="F91" s="488"/>
      <c r="G91" s="488"/>
      <c r="H91" s="488"/>
      <c r="I91" s="488"/>
      <c r="J91" s="489"/>
    </row>
    <row r="92" spans="2:10" ht="30">
      <c r="B92" s="69"/>
      <c r="C92" s="276"/>
      <c r="D92" s="59" t="str">
        <f>D86</f>
        <v>1/1/2024</v>
      </c>
      <c r="E92" s="192" t="str">
        <f>E86</f>
        <v>3/1/2024</v>
      </c>
      <c r="F92" s="60" t="str">
        <f>$D$2&amp;" Authorized"</f>
        <v>2024 Authorized</v>
      </c>
      <c r="G92" s="60" t="str">
        <f>$D$2&amp;" w/Pending"</f>
        <v>2024 w/Pending</v>
      </c>
      <c r="H92" s="60" t="str">
        <f>$H$18</f>
        <v>% Change over 1/1/2024</v>
      </c>
      <c r="I92" s="60" t="str">
        <f>$I$18</f>
        <v>% Change over 3/1/2024</v>
      </c>
      <c r="J92" s="61" t="s">
        <v>157</v>
      </c>
    </row>
    <row r="93" spans="2:10">
      <c r="B93" s="438"/>
      <c r="C93" s="42" t="s">
        <v>466</v>
      </c>
      <c r="D93" s="173">
        <f>'Bill Impact (TOU-A)'!D$36</f>
        <v>336.64632330518003</v>
      </c>
      <c r="E93" s="173">
        <f>'Bill Impact (TOU-A)'!F$36</f>
        <v>360.93679063808003</v>
      </c>
      <c r="F93" s="173">
        <f>'Bill Impact (TOU-A)'!H$36</f>
        <v>364.29574343021505</v>
      </c>
      <c r="G93" s="173">
        <f>'Bill Impact (TOU-A)'!J$36</f>
        <v>394.1132329411717</v>
      </c>
      <c r="H93" s="72">
        <f t="shared" ref="H93:I95" si="23">$G93/D93-1</f>
        <v>0.17070410593463148</v>
      </c>
      <c r="I93" s="72">
        <f t="shared" si="23"/>
        <v>9.191759655323839E-2</v>
      </c>
      <c r="J93" s="73">
        <f>$G93/F93-1</f>
        <v>8.184967858859582E-2</v>
      </c>
    </row>
    <row r="94" spans="2:10">
      <c r="B94" s="295"/>
      <c r="C94" s="42" t="s">
        <v>467</v>
      </c>
      <c r="D94" s="173">
        <f>'Bill Impact (TOU-A)'!D$37</f>
        <v>322.02134524454999</v>
      </c>
      <c r="E94" s="173">
        <f>'Bill Impact (TOU-A)'!F$37</f>
        <v>344.78210481139996</v>
      </c>
      <c r="F94" s="173">
        <f>'Bill Impact (TOU-A)'!H$37</f>
        <v>347.9197329880173</v>
      </c>
      <c r="G94" s="173">
        <f>'Bill Impact (TOU-A)'!J$37</f>
        <v>375.77251956621183</v>
      </c>
      <c r="H94" s="71">
        <f>$G94/D94-1</f>
        <v>0.16691804787301301</v>
      </c>
      <c r="I94" s="71">
        <f t="shared" si="23"/>
        <v>8.9884058140906165E-2</v>
      </c>
      <c r="J94" s="73">
        <f>$G94/F94-1</f>
        <v>8.0055207961296615E-2</v>
      </c>
    </row>
    <row r="95" spans="2:10" ht="15.75" thickBot="1">
      <c r="B95" s="439"/>
      <c r="C95" s="383" t="s">
        <v>468</v>
      </c>
      <c r="D95" s="175">
        <f>'Bill Impact (TOU-A)'!D$38</f>
        <v>756.13669940211014</v>
      </c>
      <c r="E95" s="175">
        <f>'Bill Impact (TOU-A)'!F$38</f>
        <v>810.88508404916013</v>
      </c>
      <c r="F95" s="175">
        <f>'Bill Impact (TOU-A)'!H$38</f>
        <v>818.50266018234072</v>
      </c>
      <c r="G95" s="175">
        <f>'Bill Impact (TOU-A)'!J$38</f>
        <v>886.12403223075569</v>
      </c>
      <c r="H95" s="74">
        <f t="shared" si="23"/>
        <v>0.17190983182198227</v>
      </c>
      <c r="I95" s="74">
        <f t="shared" si="23"/>
        <v>9.2786203201431938E-2</v>
      </c>
      <c r="J95" s="75">
        <f>$G95/F95-1</f>
        <v>8.2615946579025934E-2</v>
      </c>
    </row>
  </sheetData>
  <mergeCells count="77">
    <mergeCell ref="B42:J42"/>
    <mergeCell ref="B48:J48"/>
    <mergeCell ref="B54:J54"/>
    <mergeCell ref="B60:J60"/>
    <mergeCell ref="B66:J66"/>
    <mergeCell ref="B44:C44"/>
    <mergeCell ref="B45:C45"/>
    <mergeCell ref="B46:C46"/>
    <mergeCell ref="L74:M74"/>
    <mergeCell ref="L76:M76"/>
    <mergeCell ref="L64:M64"/>
    <mergeCell ref="L66:T66"/>
    <mergeCell ref="L68:M68"/>
    <mergeCell ref="L70:M70"/>
    <mergeCell ref="L72:T72"/>
    <mergeCell ref="L62:M62"/>
    <mergeCell ref="L51:M51"/>
    <mergeCell ref="L52:M52"/>
    <mergeCell ref="L54:T54"/>
    <mergeCell ref="L56:M56"/>
    <mergeCell ref="L50:M50"/>
    <mergeCell ref="B58:C58"/>
    <mergeCell ref="L57:M57"/>
    <mergeCell ref="L58:M58"/>
    <mergeCell ref="L60:T60"/>
    <mergeCell ref="B56:C56"/>
    <mergeCell ref="B57:C57"/>
    <mergeCell ref="B50:C50"/>
    <mergeCell ref="B51:C51"/>
    <mergeCell ref="B52:C52"/>
    <mergeCell ref="L28:M28"/>
    <mergeCell ref="L30:T30"/>
    <mergeCell ref="L45:M45"/>
    <mergeCell ref="L46:M46"/>
    <mergeCell ref="L48:T48"/>
    <mergeCell ref="L32:M32"/>
    <mergeCell ref="L33:M33"/>
    <mergeCell ref="L34:M34"/>
    <mergeCell ref="L36:T36"/>
    <mergeCell ref="L38:M38"/>
    <mergeCell ref="L39:M39"/>
    <mergeCell ref="L40:M40"/>
    <mergeCell ref="L42:T42"/>
    <mergeCell ref="L44:M44"/>
    <mergeCell ref="B74:C74"/>
    <mergeCell ref="B76:C76"/>
    <mergeCell ref="B62:C62"/>
    <mergeCell ref="B64:C64"/>
    <mergeCell ref="B68:C68"/>
    <mergeCell ref="B72:J72"/>
    <mergeCell ref="B70:C70"/>
    <mergeCell ref="B24:J24"/>
    <mergeCell ref="B28:C28"/>
    <mergeCell ref="B32:C32"/>
    <mergeCell ref="B40:C40"/>
    <mergeCell ref="B33:C33"/>
    <mergeCell ref="B34:C34"/>
    <mergeCell ref="B38:C38"/>
    <mergeCell ref="B39:C39"/>
    <mergeCell ref="B30:J30"/>
    <mergeCell ref="B36:J36"/>
    <mergeCell ref="B79:J79"/>
    <mergeCell ref="B85:J85"/>
    <mergeCell ref="B91:J91"/>
    <mergeCell ref="L17:T17"/>
    <mergeCell ref="B18:C18"/>
    <mergeCell ref="L18:M18"/>
    <mergeCell ref="B19:C19"/>
    <mergeCell ref="L19:M19"/>
    <mergeCell ref="B17:J17"/>
    <mergeCell ref="B21:C21"/>
    <mergeCell ref="L21:M21"/>
    <mergeCell ref="B26:C26"/>
    <mergeCell ref="B27:C27"/>
    <mergeCell ref="L24:T24"/>
    <mergeCell ref="L26:M26"/>
    <mergeCell ref="L27:M27"/>
  </mergeCells>
  <phoneticPr fontId="43" type="noConversion"/>
  <dataValidations count="2">
    <dataValidation type="list" allowBlank="1" showInputMessage="1" showErrorMessage="1" sqref="D3" xr:uid="{C4DA6E63-9F04-466D-994F-08C28D8856CC}">
      <formula1>"Coastal - Mild, Mountain - Extreme, Desert - Hot, Inland - Warm, ALL"</formula1>
    </dataValidation>
    <dataValidation type="list" allowBlank="1" showInputMessage="1" showErrorMessage="1" sqref="D2" xr:uid="{E7B56FAD-CE5E-4838-9DB3-63A485983CEC}">
      <formula1>"2024, 2025, 2026, 2027, 2028"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04A19-63CB-4434-934A-642AE3437D08}">
  <sheetPr codeName="Sheet9">
    <tabColor rgb="FF92D050"/>
  </sheetPr>
  <dimension ref="A1:AC84"/>
  <sheetViews>
    <sheetView workbookViewId="0"/>
  </sheetViews>
  <sheetFormatPr defaultColWidth="8.85546875" defaultRowHeight="15"/>
  <cols>
    <col min="1" max="1" width="3.5703125" style="6" customWidth="1"/>
    <col min="2" max="3" width="19.42578125" style="6" customWidth="1"/>
    <col min="4" max="4" width="18" style="6" customWidth="1"/>
    <col min="5" max="5" width="12.28515625" style="6" customWidth="1"/>
    <col min="6" max="6" width="20.85546875" style="6" customWidth="1"/>
    <col min="7" max="7" width="13.5703125" style="6" customWidth="1"/>
    <col min="8" max="8" width="14.140625" style="6" customWidth="1"/>
    <col min="9" max="9" width="13.5703125" style="6" customWidth="1"/>
    <col min="10" max="10" width="15.140625" style="6" customWidth="1"/>
    <col min="11" max="11" width="14.85546875" style="6" customWidth="1"/>
    <col min="12" max="14" width="15.42578125" style="6" customWidth="1"/>
    <col min="15" max="15" width="13" style="6" customWidth="1"/>
    <col min="16" max="16" width="17.140625" style="6" bestFit="1" customWidth="1"/>
    <col min="17" max="17" width="19.42578125" style="6" customWidth="1"/>
    <col min="18" max="18" width="13" style="6" customWidth="1"/>
    <col min="19" max="20" width="14" style="6" customWidth="1"/>
    <col min="21" max="21" width="15" style="6" customWidth="1"/>
    <col min="22" max="22" width="14.140625" style="6" customWidth="1"/>
    <col min="23" max="23" width="14.85546875" style="6" bestFit="1" customWidth="1"/>
    <col min="24" max="24" width="13.5703125" style="6" customWidth="1"/>
    <col min="25" max="25" width="15.42578125" style="6" customWidth="1"/>
    <col min="26" max="27" width="20.140625" style="6" bestFit="1" customWidth="1"/>
    <col min="28" max="28" width="17.140625" style="6" bestFit="1" customWidth="1"/>
    <col min="29" max="16384" width="8.85546875" style="6"/>
  </cols>
  <sheetData>
    <row r="1" spans="1:27" s="184" customFormat="1" ht="25.5" customHeight="1">
      <c r="A1" s="468"/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</row>
    <row r="2" spans="1:27" ht="15.75">
      <c r="B2" s="84"/>
      <c r="C2" s="40"/>
      <c r="D2" s="40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27">
      <c r="B3" s="85"/>
      <c r="C3" s="41" t="s">
        <v>170</v>
      </c>
      <c r="D3" s="193"/>
      <c r="R3" s="87"/>
      <c r="S3" s="87"/>
      <c r="T3" s="87"/>
      <c r="U3" s="87"/>
      <c r="V3" s="87"/>
      <c r="W3" s="87"/>
      <c r="X3" s="87"/>
    </row>
    <row r="4" spans="1:27" ht="15.75">
      <c r="B4" s="201" t="s">
        <v>3</v>
      </c>
      <c r="C4" s="204">
        <f>'Hypothetical Summary'!D7</f>
        <v>0</v>
      </c>
      <c r="D4" s="1"/>
      <c r="G4" s="540" t="s">
        <v>172</v>
      </c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  <c r="S4" s="540"/>
      <c r="T4" s="540"/>
      <c r="U4" s="41"/>
      <c r="V4" s="41"/>
      <c r="W4" s="41"/>
      <c r="X4" s="41"/>
      <c r="Y4" s="41"/>
      <c r="Z4" s="41"/>
      <c r="AA4" s="41"/>
    </row>
    <row r="5" spans="1:27" ht="31.5">
      <c r="B5" s="201" t="s">
        <v>433</v>
      </c>
      <c r="C5" s="204">
        <f>'Hypothetical Summary'!D8</f>
        <v>0</v>
      </c>
      <c r="D5" s="1"/>
      <c r="F5" s="1"/>
      <c r="G5" s="90" t="s">
        <v>3</v>
      </c>
      <c r="H5" s="90" t="s">
        <v>433</v>
      </c>
      <c r="I5" s="90" t="s">
        <v>60</v>
      </c>
      <c r="J5" s="90" t="s">
        <v>5</v>
      </c>
      <c r="K5" s="90" t="s">
        <v>100</v>
      </c>
      <c r="L5" s="90" t="s">
        <v>14</v>
      </c>
      <c r="M5" s="90" t="s">
        <v>81</v>
      </c>
      <c r="N5" s="90" t="s">
        <v>102</v>
      </c>
      <c r="O5" s="90" t="s">
        <v>98</v>
      </c>
      <c r="P5" s="90" t="s">
        <v>79</v>
      </c>
      <c r="Q5" s="90" t="s">
        <v>10</v>
      </c>
      <c r="R5" s="90" t="s">
        <v>235</v>
      </c>
      <c r="S5" s="90" t="s">
        <v>88</v>
      </c>
      <c r="T5" s="90" t="s">
        <v>267</v>
      </c>
    </row>
    <row r="6" spans="1:27" ht="15.75">
      <c r="B6" s="202" t="s">
        <v>60</v>
      </c>
      <c r="C6" s="204">
        <f>'Hypothetical Summary'!D9</f>
        <v>0</v>
      </c>
      <c r="D6" s="1"/>
      <c r="F6" s="1" t="s">
        <v>158</v>
      </c>
      <c r="G6" s="91">
        <f>'SAR and RAR'!H6</f>
        <v>0.40362536917531777</v>
      </c>
      <c r="H6" s="91">
        <f>'SAR and RAR'!I6</f>
        <v>0.19327545344183236</v>
      </c>
      <c r="I6" s="91">
        <f>'SAR and RAR'!J6</f>
        <v>0.4133970432199946</v>
      </c>
      <c r="J6" s="91">
        <f>'SAR and RAR'!K6</f>
        <v>0.43179640740459241</v>
      </c>
      <c r="K6" s="91">
        <f>'SAR and RAR'!L6</f>
        <v>0.93663504687661814</v>
      </c>
      <c r="L6" s="91">
        <f>'SAR and RAR'!M6</f>
        <v>0.39738888344868006</v>
      </c>
      <c r="M6" s="91">
        <f>'SAR and RAR'!N6</f>
        <v>0.36941866348746455</v>
      </c>
      <c r="N6" s="91">
        <f>'SAR and RAR'!O6</f>
        <v>0.35768576566123123</v>
      </c>
      <c r="O6" s="91">
        <f>'SAR and RAR'!P6</f>
        <v>0</v>
      </c>
      <c r="P6" s="91">
        <f>'SAR and RAR'!Q6</f>
        <v>1</v>
      </c>
      <c r="Q6" s="91">
        <f>'SAR and RAR'!R6</f>
        <v>0.47982095287890458</v>
      </c>
      <c r="R6" s="91">
        <f>'SAR and RAR'!S6</f>
        <v>0.346686882798936</v>
      </c>
      <c r="S6" s="91">
        <f>'SAR and RAR'!T6</f>
        <v>0.33127398773140304</v>
      </c>
      <c r="T6" s="91">
        <f>'SAR and RAR'!U6</f>
        <v>0.41062604799989344</v>
      </c>
    </row>
    <row r="7" spans="1:27" ht="15.75">
      <c r="B7" s="202" t="s">
        <v>5</v>
      </c>
      <c r="C7" s="204">
        <f>'Hypothetical Summary'!D10</f>
        <v>0</v>
      </c>
      <c r="D7" s="1"/>
      <c r="F7" s="1"/>
      <c r="G7" s="163"/>
      <c r="H7" s="163"/>
      <c r="I7" s="163"/>
      <c r="J7" s="163"/>
      <c r="K7" s="163"/>
      <c r="L7" s="163"/>
      <c r="M7" s="163"/>
      <c r="N7" s="163"/>
      <c r="O7" s="92"/>
      <c r="P7" s="92"/>
      <c r="Q7" s="92"/>
      <c r="R7" s="92"/>
      <c r="S7" s="92"/>
      <c r="T7" s="164"/>
    </row>
    <row r="8" spans="1:27" ht="15.6" customHeight="1">
      <c r="B8" s="202" t="s">
        <v>100</v>
      </c>
      <c r="C8" s="204">
        <f>'Hypothetical Summary'!D11</f>
        <v>0</v>
      </c>
      <c r="D8" s="1"/>
      <c r="F8" s="93"/>
      <c r="G8" s="540" t="s">
        <v>173</v>
      </c>
      <c r="H8" s="540"/>
      <c r="I8" s="540"/>
      <c r="J8" s="540"/>
      <c r="K8" s="540"/>
      <c r="L8" s="540"/>
      <c r="M8" s="540"/>
      <c r="N8" s="540"/>
      <c r="O8" s="540"/>
      <c r="P8" s="540"/>
      <c r="Q8" s="540"/>
      <c r="R8" s="540"/>
      <c r="S8" s="540"/>
      <c r="T8" s="540"/>
    </row>
    <row r="9" spans="1:27" ht="15.75" customHeight="1">
      <c r="B9" s="202" t="s">
        <v>14</v>
      </c>
      <c r="C9" s="204">
        <f>'Hypothetical Summary'!D12</f>
        <v>0</v>
      </c>
      <c r="D9" s="1"/>
      <c r="F9" s="94" t="s">
        <v>231</v>
      </c>
      <c r="G9" s="90" t="s">
        <v>3</v>
      </c>
      <c r="H9" s="90" t="s">
        <v>433</v>
      </c>
      <c r="I9" s="90" t="s">
        <v>60</v>
      </c>
      <c r="J9" s="90" t="s">
        <v>5</v>
      </c>
      <c r="K9" s="90" t="s">
        <v>100</v>
      </c>
      <c r="L9" s="90" t="s">
        <v>14</v>
      </c>
      <c r="M9" s="90" t="s">
        <v>81</v>
      </c>
      <c r="N9" s="90" t="s">
        <v>102</v>
      </c>
      <c r="O9" s="90" t="s">
        <v>98</v>
      </c>
      <c r="P9" s="90" t="s">
        <v>79</v>
      </c>
      <c r="Q9" s="90" t="s">
        <v>10</v>
      </c>
      <c r="R9" s="90" t="s">
        <v>235</v>
      </c>
      <c r="S9" s="90" t="s">
        <v>88</v>
      </c>
      <c r="T9" s="90" t="s">
        <v>267</v>
      </c>
    </row>
    <row r="10" spans="1:27" ht="15.75">
      <c r="B10" s="202" t="s">
        <v>81</v>
      </c>
      <c r="C10" s="204">
        <f>'Hypothetical Summary'!D13</f>
        <v>0</v>
      </c>
      <c r="D10" s="1"/>
      <c r="F10" s="1" t="s">
        <v>158</v>
      </c>
      <c r="G10" s="95">
        <f>G6*G11</f>
        <v>0</v>
      </c>
      <c r="H10" s="95">
        <f>H6*H11</f>
        <v>0</v>
      </c>
      <c r="I10" s="95">
        <f t="shared" ref="I10:T10" si="0">I6*I11</f>
        <v>0</v>
      </c>
      <c r="J10" s="95">
        <f>J6*J11</f>
        <v>0</v>
      </c>
      <c r="K10" s="95">
        <f t="shared" si="0"/>
        <v>0</v>
      </c>
      <c r="L10" s="95">
        <f t="shared" si="0"/>
        <v>0</v>
      </c>
      <c r="M10" s="95">
        <f t="shared" si="0"/>
        <v>0</v>
      </c>
      <c r="N10" s="95">
        <f t="shared" si="0"/>
        <v>0</v>
      </c>
      <c r="O10" s="95">
        <f t="shared" si="0"/>
        <v>0</v>
      </c>
      <c r="P10" s="95">
        <f t="shared" si="0"/>
        <v>0</v>
      </c>
      <c r="Q10" s="95">
        <f t="shared" si="0"/>
        <v>0</v>
      </c>
      <c r="R10" s="95">
        <f>R6*R11</f>
        <v>0</v>
      </c>
      <c r="S10" s="95">
        <f t="shared" si="0"/>
        <v>0</v>
      </c>
      <c r="T10" s="95">
        <f t="shared" si="0"/>
        <v>0</v>
      </c>
      <c r="U10" s="95">
        <f>SUM(G10:T10)</f>
        <v>0</v>
      </c>
      <c r="V10" s="190"/>
    </row>
    <row r="11" spans="1:27" ht="15.75">
      <c r="B11" s="203" t="s">
        <v>102</v>
      </c>
      <c r="C11" s="204">
        <f>'Hypothetical Summary'!D14</f>
        <v>0</v>
      </c>
      <c r="D11" s="1"/>
      <c r="F11" s="1" t="s">
        <v>174</v>
      </c>
      <c r="G11" s="116">
        <f>C4</f>
        <v>0</v>
      </c>
      <c r="H11" s="116">
        <f>C5</f>
        <v>0</v>
      </c>
      <c r="I11" s="116">
        <f>C6</f>
        <v>0</v>
      </c>
      <c r="J11" s="116">
        <f>C7</f>
        <v>0</v>
      </c>
      <c r="K11" s="116">
        <f>C8</f>
        <v>0</v>
      </c>
      <c r="L11" s="116">
        <f>C9</f>
        <v>0</v>
      </c>
      <c r="M11" s="116">
        <f>C10</f>
        <v>0</v>
      </c>
      <c r="N11" s="116">
        <f>C11</f>
        <v>0</v>
      </c>
      <c r="O11" s="116">
        <f>C12</f>
        <v>0</v>
      </c>
      <c r="P11" s="116">
        <f>C17</f>
        <v>0</v>
      </c>
      <c r="Q11" s="116">
        <f>C14</f>
        <v>0</v>
      </c>
      <c r="R11" s="116">
        <f>C16</f>
        <v>0</v>
      </c>
      <c r="S11" s="116">
        <f>C15</f>
        <v>0</v>
      </c>
      <c r="T11" s="116">
        <f>C13</f>
        <v>0</v>
      </c>
      <c r="U11" s="95">
        <f>SUM(G11:T11)</f>
        <v>0</v>
      </c>
      <c r="V11" s="189"/>
    </row>
    <row r="12" spans="1:27" ht="15.75">
      <c r="B12" s="202" t="s">
        <v>98</v>
      </c>
      <c r="C12" s="204">
        <f>'Hypothetical Summary'!D15</f>
        <v>0</v>
      </c>
      <c r="D12" s="1"/>
      <c r="F12" s="94"/>
      <c r="U12" s="95"/>
    </row>
    <row r="13" spans="1:27" ht="15.75" customHeight="1">
      <c r="B13" s="202" t="s">
        <v>267</v>
      </c>
      <c r="C13" s="204">
        <f>'Hypothetical Summary'!D16</f>
        <v>0</v>
      </c>
      <c r="D13" s="1"/>
      <c r="F13" s="1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190"/>
    </row>
    <row r="14" spans="1:27" ht="15.75" customHeight="1">
      <c r="B14" s="202" t="s">
        <v>10</v>
      </c>
      <c r="C14" s="204">
        <f>'Hypothetical Summary'!D17</f>
        <v>0</v>
      </c>
      <c r="D14" s="1"/>
      <c r="F14" s="1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95"/>
      <c r="V14" s="189"/>
    </row>
    <row r="15" spans="1:27" ht="15.75" customHeight="1">
      <c r="B15" s="202" t="s">
        <v>88</v>
      </c>
      <c r="C15" s="204">
        <f>'Hypothetical Summary'!D18</f>
        <v>0</v>
      </c>
      <c r="D15" s="1"/>
      <c r="F15" s="1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95"/>
      <c r="V15" s="189"/>
    </row>
    <row r="16" spans="1:27" ht="15.75">
      <c r="B16" s="202" t="s">
        <v>235</v>
      </c>
      <c r="C16" s="204">
        <f>'Hypothetical Summary'!D19</f>
        <v>0</v>
      </c>
      <c r="D16" s="1"/>
      <c r="F16" s="219"/>
      <c r="G16" s="39"/>
      <c r="H16" s="39"/>
      <c r="I16" s="39"/>
      <c r="J16" s="39"/>
      <c r="K16" s="93"/>
      <c r="Z16" s="1"/>
      <c r="AA16" s="98" t="s">
        <v>231</v>
      </c>
    </row>
    <row r="17" spans="2:29" ht="15.75">
      <c r="B17" s="202" t="s">
        <v>79</v>
      </c>
      <c r="C17" s="218">
        <f>'Hypothetical Summary'!D20</f>
        <v>0</v>
      </c>
      <c r="D17" s="1"/>
      <c r="U17" s="526" t="s">
        <v>278</v>
      </c>
      <c r="V17" s="527"/>
      <c r="W17" s="526" t="s">
        <v>279</v>
      </c>
      <c r="X17" s="527"/>
      <c r="Z17" s="99" t="s">
        <v>176</v>
      </c>
      <c r="AA17" s="179">
        <f>'SAR and RAR'!AD16</f>
        <v>0.21057305754076552</v>
      </c>
      <c r="AC17" s="180"/>
    </row>
    <row r="18" spans="2:29" ht="15.75">
      <c r="B18" s="1" t="s">
        <v>116</v>
      </c>
      <c r="C18" s="204">
        <f>SUM(C4:C17)</f>
        <v>0</v>
      </c>
      <c r="D18" s="1"/>
      <c r="F18" s="93"/>
      <c r="G18" s="533" t="s">
        <v>177</v>
      </c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29"/>
      <c r="U18" s="528" t="s">
        <v>178</v>
      </c>
      <c r="V18" s="529"/>
      <c r="W18" s="528" t="s">
        <v>178</v>
      </c>
      <c r="X18" s="529"/>
      <c r="Z18" s="99" t="s">
        <v>179</v>
      </c>
      <c r="AA18" s="91">
        <f>'SAR and RAR'!AD17</f>
        <v>0.31728440037264999</v>
      </c>
    </row>
    <row r="19" spans="2:29" ht="31.5">
      <c r="B19" s="2"/>
      <c r="C19" s="204"/>
      <c r="D19" s="1"/>
      <c r="G19" s="90" t="s">
        <v>3</v>
      </c>
      <c r="H19" s="90" t="s">
        <v>433</v>
      </c>
      <c r="I19" s="90" t="s">
        <v>60</v>
      </c>
      <c r="J19" s="90" t="s">
        <v>5</v>
      </c>
      <c r="K19" s="90" t="s">
        <v>100</v>
      </c>
      <c r="L19" s="90" t="s">
        <v>14</v>
      </c>
      <c r="M19" s="90" t="s">
        <v>81</v>
      </c>
      <c r="N19" s="90" t="s">
        <v>102</v>
      </c>
      <c r="O19" s="90" t="s">
        <v>98</v>
      </c>
      <c r="P19" s="90" t="s">
        <v>79</v>
      </c>
      <c r="Q19" s="90" t="s">
        <v>10</v>
      </c>
      <c r="R19" s="90" t="s">
        <v>235</v>
      </c>
      <c r="S19" s="90" t="s">
        <v>88</v>
      </c>
      <c r="T19" s="90" t="s">
        <v>267</v>
      </c>
      <c r="U19" s="100" t="s">
        <v>116</v>
      </c>
      <c r="V19" s="20" t="s">
        <v>180</v>
      </c>
      <c r="W19" s="100" t="s">
        <v>116</v>
      </c>
      <c r="X19" s="20" t="s">
        <v>180</v>
      </c>
      <c r="Z19" s="99" t="s">
        <v>367</v>
      </c>
      <c r="AA19" s="325">
        <f>'SAR and RAR'!AD18</f>
        <v>178549.47569957716</v>
      </c>
      <c r="AC19" s="106"/>
    </row>
    <row r="20" spans="2:29" ht="15.75">
      <c r="B20" s="2"/>
      <c r="C20" s="2"/>
      <c r="D20" s="1"/>
      <c r="E20" s="93"/>
      <c r="F20" s="1" t="s">
        <v>158</v>
      </c>
      <c r="G20" s="91">
        <v>1</v>
      </c>
      <c r="H20" s="91">
        <v>0</v>
      </c>
      <c r="I20" s="91">
        <v>1</v>
      </c>
      <c r="J20" s="91">
        <v>1</v>
      </c>
      <c r="K20" s="91">
        <v>1</v>
      </c>
      <c r="L20" s="91">
        <v>1</v>
      </c>
      <c r="M20" s="91">
        <v>1</v>
      </c>
      <c r="N20" s="91">
        <v>1</v>
      </c>
      <c r="O20" s="91">
        <v>1</v>
      </c>
      <c r="P20" s="91">
        <v>1</v>
      </c>
      <c r="Q20" s="91">
        <v>1</v>
      </c>
      <c r="R20" s="91">
        <v>1</v>
      </c>
      <c r="S20" s="91">
        <v>1</v>
      </c>
      <c r="T20" s="91">
        <v>0</v>
      </c>
      <c r="U20" s="103">
        <f>SUMPRODUCT(I10:S10,I20:S20)</f>
        <v>0</v>
      </c>
      <c r="V20" s="324">
        <f>U20</f>
        <v>0</v>
      </c>
      <c r="W20" s="103">
        <f>SUMPRODUCT(G10,G20)</f>
        <v>0</v>
      </c>
      <c r="X20" s="324">
        <f>W20</f>
        <v>0</v>
      </c>
      <c r="Z20" s="235"/>
      <c r="AA20" s="255"/>
    </row>
    <row r="21" spans="2:29" ht="15.75">
      <c r="B21" s="2" t="s">
        <v>261</v>
      </c>
      <c r="C21" s="264">
        <f>'Sales Allocations'!R3</f>
        <v>1E-3</v>
      </c>
      <c r="D21" s="264"/>
      <c r="F21" s="1" t="s">
        <v>174</v>
      </c>
      <c r="G21" s="91">
        <v>1</v>
      </c>
      <c r="H21" s="91">
        <v>0</v>
      </c>
      <c r="I21" s="91">
        <v>1</v>
      </c>
      <c r="J21" s="91">
        <v>1</v>
      </c>
      <c r="K21" s="91">
        <v>1</v>
      </c>
      <c r="L21" s="91">
        <v>1</v>
      </c>
      <c r="M21" s="91">
        <v>1</v>
      </c>
      <c r="N21" s="91">
        <v>1</v>
      </c>
      <c r="O21" s="91">
        <v>1</v>
      </c>
      <c r="P21" s="91">
        <v>1</v>
      </c>
      <c r="Q21" s="91">
        <v>1</v>
      </c>
      <c r="R21" s="91">
        <v>1</v>
      </c>
      <c r="S21" s="91">
        <v>1</v>
      </c>
      <c r="T21" s="91">
        <v>0</v>
      </c>
      <c r="U21" s="103">
        <f>SUMPRODUCT(I11:S11,I21:S21)</f>
        <v>0</v>
      </c>
      <c r="V21" s="324">
        <f>U21</f>
        <v>0</v>
      </c>
      <c r="W21" s="103">
        <f>SUMPRODUCT(G11,G21)</f>
        <v>0</v>
      </c>
      <c r="X21" s="324">
        <f>W21</f>
        <v>0</v>
      </c>
      <c r="Y21" s="221"/>
      <c r="Z21" s="222" t="s">
        <v>226</v>
      </c>
      <c r="AA21" s="220">
        <f>'SAR and RAR'!AD20</f>
        <v>0.33370761844944563</v>
      </c>
      <c r="AC21" s="1"/>
    </row>
    <row r="22" spans="2:29" ht="15.75">
      <c r="B22" s="2"/>
      <c r="C22" s="2"/>
      <c r="D22" s="1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T22" s="1"/>
      <c r="U22" s="116"/>
      <c r="Y22" s="99"/>
      <c r="Z22" s="103"/>
      <c r="AB22" s="181"/>
    </row>
    <row r="23" spans="2:29" ht="15.75">
      <c r="B23" s="2"/>
      <c r="C23" s="537" t="s">
        <v>409</v>
      </c>
      <c r="D23" s="538"/>
      <c r="E23" s="539"/>
      <c r="F23" s="41"/>
      <c r="T23" s="89"/>
      <c r="U23" s="1"/>
      <c r="Z23" s="108"/>
    </row>
    <row r="24" spans="2:29" ht="31.5">
      <c r="B24" s="1"/>
      <c r="C24" s="89" t="s">
        <v>364</v>
      </c>
      <c r="D24" s="89" t="s">
        <v>365</v>
      </c>
      <c r="E24" s="89" t="s">
        <v>366</v>
      </c>
      <c r="F24" s="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1"/>
      <c r="T24" s="223"/>
      <c r="U24" s="223"/>
      <c r="V24" s="1"/>
      <c r="W24" s="1"/>
      <c r="Y24" s="1"/>
      <c r="Z24" s="1"/>
    </row>
    <row r="25" spans="2:29" ht="15.75">
      <c r="B25" s="114" t="s">
        <v>158</v>
      </c>
      <c r="C25" s="269">
        <f>'SAR and RAR'!C25</f>
        <v>6059160.2758854944</v>
      </c>
      <c r="D25" s="269">
        <f>'SAR and RAR'!D25</f>
        <v>7323388.0995740909</v>
      </c>
      <c r="E25" s="4">
        <f>'SAR and RAR'!E25</f>
        <v>1448759.7289922014</v>
      </c>
      <c r="F25" s="20"/>
      <c r="G25" s="109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23"/>
      <c r="U25" s="223"/>
      <c r="V25" s="110"/>
      <c r="W25" s="110"/>
      <c r="Y25" s="1"/>
      <c r="Z25" s="1"/>
    </row>
    <row r="26" spans="2:29" ht="15.75">
      <c r="B26" s="114" t="s">
        <v>174</v>
      </c>
      <c r="C26" s="269">
        <f>'SAR and RAR'!C26</f>
        <v>18290443.717099715</v>
      </c>
      <c r="D26" s="269">
        <f>'SAR and RAR'!D26</f>
        <v>19824065.592477757</v>
      </c>
      <c r="E26" s="4">
        <f>'SAR and RAR'!E26</f>
        <v>3624964.0447133603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111"/>
      <c r="U26" s="112"/>
      <c r="V26" s="112"/>
      <c r="W26" s="112"/>
      <c r="Y26" s="1"/>
      <c r="Z26" s="1"/>
    </row>
    <row r="27" spans="2:29" ht="15.75">
      <c r="B27" s="2"/>
      <c r="C27" s="2"/>
      <c r="E27" s="20"/>
      <c r="F27" s="530" t="s">
        <v>181</v>
      </c>
      <c r="G27" s="531"/>
      <c r="H27" s="531"/>
      <c r="I27" s="532"/>
      <c r="J27" s="2"/>
      <c r="K27" s="2"/>
      <c r="O27" s="1"/>
      <c r="P27" s="530" t="s">
        <v>182</v>
      </c>
      <c r="Q27" s="531"/>
      <c r="R27" s="531"/>
      <c r="S27" s="531"/>
      <c r="T27" s="532"/>
      <c r="U27" s="224"/>
      <c r="V27" s="1"/>
      <c r="W27" s="113"/>
      <c r="AA27" s="1"/>
      <c r="AB27" s="1"/>
    </row>
    <row r="28" spans="2:29" ht="63">
      <c r="B28" s="2"/>
      <c r="C28" s="2"/>
      <c r="D28" s="1"/>
      <c r="E28" s="1"/>
      <c r="F28" s="89" t="str">
        <f>Summary!I3&amp;" Authorized Sales Forecast - Bundled"</f>
        <v>2024 Authorized Sales Forecast - Bundled</v>
      </c>
      <c r="G28" s="89" t="str">
        <f>'SAR and RAR'!H23</f>
        <v>3/1/2024 Avg Rates(sales adj.)</v>
      </c>
      <c r="H28" s="89" t="s">
        <v>232</v>
      </c>
      <c r="I28" s="89" t="s">
        <v>233</v>
      </c>
      <c r="J28" s="89"/>
      <c r="K28" s="89"/>
      <c r="O28" s="1"/>
      <c r="P28" s="89" t="str">
        <f>F28</f>
        <v>2024 Authorized Sales Forecast - Bundled</v>
      </c>
      <c r="Q28" s="89" t="str">
        <f>G28</f>
        <v>3/1/2024 Avg Rates(sales adj.)</v>
      </c>
      <c r="R28" s="89" t="s">
        <v>232</v>
      </c>
      <c r="S28" s="89" t="s">
        <v>233</v>
      </c>
      <c r="U28" s="89"/>
      <c r="V28" s="89"/>
      <c r="W28" s="113"/>
      <c r="AA28" s="1"/>
      <c r="AB28" s="1"/>
    </row>
    <row r="29" spans="2:29" ht="15.75">
      <c r="B29" s="2"/>
      <c r="C29" s="2"/>
      <c r="D29" s="1"/>
      <c r="E29" s="114" t="s">
        <v>158</v>
      </c>
      <c r="F29" s="269">
        <f>'SAR and RAR'!G24</f>
        <v>1448759.7289922014</v>
      </c>
      <c r="G29" s="165">
        <f>'SAR and RAR'!H24</f>
        <v>34.665999999999997</v>
      </c>
      <c r="H29" s="183">
        <f>(SUM($I10:$K10,$P10:$Q10,$S10)/(IF(Summary!D2=2024,$C25,$C35))*100)+(SUM($L10:$O10,$R10)/(IF(Summary!D2=2024,$D25,$D35))*100)+($G10/(IF(Summary!D2=2024,$E25,$E35))*100)+G29</f>
        <v>34.665999999999997</v>
      </c>
      <c r="I29" s="361">
        <f>H29/G29-1</f>
        <v>0</v>
      </c>
      <c r="J29" s="115"/>
      <c r="K29" s="115"/>
      <c r="O29" s="114" t="s">
        <v>158</v>
      </c>
      <c r="P29" s="105">
        <f>'SAR and RAR'!R24</f>
        <v>6059160.2758854944</v>
      </c>
      <c r="Q29" s="166">
        <f>'SAR and RAR'!S24</f>
        <v>35.576697140214826</v>
      </c>
      <c r="R29" s="183">
        <f>H29+($Q29-$G29)+($T10/((IF(Summary!D2=2024,$C25,$C35))-(IF(Summary!D2=2024,$E25,$E35)))/10)</f>
        <v>35.576697140214826</v>
      </c>
      <c r="S29" s="225">
        <f>R29/Q29-1</f>
        <v>0</v>
      </c>
      <c r="U29" s="115"/>
      <c r="V29" s="115"/>
      <c r="W29" s="113"/>
      <c r="Y29" s="116"/>
    </row>
    <row r="30" spans="2:29" ht="15.75">
      <c r="B30" s="2"/>
      <c r="C30" s="2"/>
      <c r="D30" s="1"/>
      <c r="E30" s="114" t="s">
        <v>174</v>
      </c>
      <c r="F30" s="269">
        <f>'SAR and RAR'!G25</f>
        <v>3624964.0447133603</v>
      </c>
      <c r="G30" s="165">
        <f>'SAR and RAR'!H25</f>
        <v>33.097999999999999</v>
      </c>
      <c r="H30" s="183">
        <f>(SUM($I11:$K11,$P11:$Q11,$S11)/(IF(Summary!D2=2024,$C26,$C36))*100)+(SUM($L11:$O11,$R11)/(IF(Summary!D2=2024,$D26,$D36))*100)+($G11/(IF(Summary!D2=2024,$E26,$E36))*100)+G30</f>
        <v>33.097999999999999</v>
      </c>
      <c r="I30" s="361">
        <f>H30/G30-1</f>
        <v>0</v>
      </c>
      <c r="J30" s="115"/>
      <c r="K30" s="115"/>
      <c r="O30" s="114" t="s">
        <v>174</v>
      </c>
      <c r="P30" s="105">
        <f>'SAR and RAR'!R25</f>
        <v>18290443.717099715</v>
      </c>
      <c r="Q30" s="166">
        <f>'SAR and RAR'!S25</f>
        <v>33.797553926204316</v>
      </c>
      <c r="R30" s="183">
        <f>H30+($Q30-$G30)+($T11/((IF(Summary!D2=2024,$C26,$C36))-(IF(Summary!D2=2024,$E26,$E36)))/10)</f>
        <v>33.797553926204316</v>
      </c>
      <c r="S30" s="225">
        <f>R30/Q30-1</f>
        <v>0</v>
      </c>
      <c r="U30" s="115"/>
      <c r="V30" s="115"/>
      <c r="W30" s="117"/>
    </row>
    <row r="31" spans="2:29" ht="15.75">
      <c r="R31" s="1"/>
      <c r="S31" s="1"/>
      <c r="T31" s="111"/>
      <c r="U31" s="112"/>
      <c r="V31" s="111"/>
      <c r="W31" s="113"/>
    </row>
    <row r="32" spans="2:29" ht="15.75">
      <c r="R32" s="1"/>
      <c r="S32" s="1"/>
      <c r="T32" s="111"/>
      <c r="U32" s="112"/>
      <c r="V32" s="111"/>
      <c r="W32" s="117"/>
      <c r="X32" s="117"/>
    </row>
    <row r="33" spans="2:25" ht="15.75">
      <c r="C33" s="537" t="s">
        <v>516</v>
      </c>
      <c r="D33" s="538"/>
      <c r="E33" s="539"/>
      <c r="F33" s="320"/>
      <c r="G33" s="320"/>
      <c r="H33" s="320"/>
      <c r="I33" s="20"/>
      <c r="J33" s="20"/>
      <c r="K33" s="20"/>
      <c r="L33" s="1"/>
      <c r="M33" s="1"/>
      <c r="N33" s="1"/>
      <c r="O33" s="1"/>
      <c r="P33" s="1"/>
      <c r="Q33" s="1"/>
      <c r="R33" s="1"/>
      <c r="S33" s="1"/>
      <c r="T33" s="111"/>
      <c r="U33" s="112"/>
      <c r="V33" s="111"/>
      <c r="W33" s="117"/>
      <c r="X33" s="117"/>
      <c r="Y33" s="113"/>
    </row>
    <row r="34" spans="2:25" ht="31.5">
      <c r="B34" s="1"/>
      <c r="C34" s="89" t="s">
        <v>364</v>
      </c>
      <c r="D34" s="89" t="s">
        <v>365</v>
      </c>
      <c r="E34" s="89" t="s">
        <v>366</v>
      </c>
      <c r="F34" s="89"/>
      <c r="G34" s="89"/>
      <c r="H34" s="360"/>
      <c r="I34" s="20"/>
      <c r="J34" s="20"/>
      <c r="K34" s="20"/>
      <c r="L34" s="1"/>
      <c r="M34" s="1"/>
      <c r="N34" s="1"/>
      <c r="O34" s="1"/>
      <c r="P34" s="1"/>
      <c r="Q34" s="1"/>
      <c r="R34" s="1"/>
      <c r="S34" s="1"/>
      <c r="T34" s="111"/>
      <c r="U34" s="112"/>
      <c r="V34" s="111"/>
      <c r="W34" s="113"/>
      <c r="X34" s="117"/>
      <c r="Y34" s="113"/>
    </row>
    <row r="35" spans="2:25" ht="15.75">
      <c r="B35" s="114" t="s">
        <v>158</v>
      </c>
      <c r="C35" s="354">
        <f>'SAR and RAR'!C38</f>
        <v>6059160.2764376383</v>
      </c>
      <c r="D35" s="354">
        <f>'SAR and RAR'!D38</f>
        <v>7793802.9381372696</v>
      </c>
      <c r="E35" s="4">
        <f>'SAR and RAR'!E38</f>
        <v>1515275.3552196764</v>
      </c>
      <c r="F35" s="3"/>
      <c r="G35" s="4"/>
      <c r="H35" s="5"/>
      <c r="I35" s="20"/>
      <c r="J35" s="20"/>
      <c r="K35" s="20"/>
      <c r="L35" s="1"/>
      <c r="M35" s="1"/>
      <c r="N35" s="1"/>
      <c r="O35" s="1"/>
      <c r="P35" s="1"/>
      <c r="Q35" s="1"/>
      <c r="R35" s="1"/>
      <c r="S35" s="1"/>
      <c r="T35" s="111"/>
      <c r="U35" s="112"/>
      <c r="V35" s="112"/>
      <c r="W35" s="110"/>
      <c r="X35" s="117"/>
      <c r="Y35" s="113"/>
    </row>
    <row r="36" spans="2:25" ht="15.75">
      <c r="B36" s="114" t="s">
        <v>174</v>
      </c>
      <c r="C36" s="354">
        <f>'SAR and RAR'!C39</f>
        <v>18290445.652985182</v>
      </c>
      <c r="D36" s="354">
        <f>'SAR and RAR'!D39</f>
        <v>20272867.503732543</v>
      </c>
      <c r="E36" s="4">
        <f>'SAR and RAR'!E39</f>
        <v>3877834.6865865677</v>
      </c>
      <c r="F36" s="3"/>
      <c r="G36" s="4"/>
      <c r="H36" s="5"/>
      <c r="I36" s="20"/>
      <c r="J36" s="20"/>
      <c r="K36" s="20"/>
      <c r="L36" s="1"/>
      <c r="M36" s="1"/>
      <c r="N36" s="1"/>
      <c r="O36" s="1"/>
      <c r="P36" s="1"/>
      <c r="Q36" s="1"/>
      <c r="R36" s="1"/>
      <c r="S36" s="1"/>
      <c r="T36" s="111"/>
      <c r="U36" s="112"/>
      <c r="V36" s="111"/>
      <c r="W36" s="113"/>
      <c r="X36" s="117"/>
      <c r="Y36" s="117"/>
    </row>
    <row r="37" spans="2:25" ht="15.75">
      <c r="E37" s="1"/>
      <c r="F37" s="3"/>
      <c r="G37" s="4"/>
      <c r="H37" s="5"/>
      <c r="I37" s="20"/>
      <c r="J37" s="20"/>
      <c r="K37" s="20"/>
      <c r="L37" s="1"/>
      <c r="M37" s="1"/>
      <c r="N37" s="1"/>
      <c r="O37" s="1"/>
      <c r="P37" s="1"/>
      <c r="Q37" s="1"/>
      <c r="R37" s="1"/>
      <c r="S37" s="1"/>
      <c r="T37" s="111"/>
      <c r="U37" s="112"/>
      <c r="V37" s="112"/>
      <c r="W37" s="112"/>
      <c r="X37" s="112"/>
      <c r="Y37" s="113"/>
    </row>
    <row r="38" spans="2:25" ht="15.75">
      <c r="E38" s="1"/>
      <c r="F38" s="3"/>
      <c r="G38" s="4"/>
      <c r="H38" s="5"/>
      <c r="I38" s="20"/>
      <c r="J38" s="20"/>
      <c r="K38" s="20"/>
      <c r="L38" s="1"/>
      <c r="M38" s="1"/>
      <c r="N38" s="1"/>
      <c r="O38" s="1"/>
      <c r="P38" s="1"/>
      <c r="Q38" s="1"/>
      <c r="R38" s="1"/>
      <c r="S38" s="1"/>
      <c r="T38" s="111"/>
      <c r="U38" s="525"/>
      <c r="V38" s="525"/>
      <c r="W38" s="112"/>
      <c r="X38" s="117"/>
      <c r="Y38" s="112"/>
    </row>
    <row r="39" spans="2:25" ht="15.75">
      <c r="E39" s="1"/>
      <c r="F39" s="3"/>
      <c r="G39" s="4"/>
      <c r="H39" s="5"/>
      <c r="I39" s="20"/>
      <c r="J39" s="20"/>
      <c r="K39" s="20"/>
      <c r="L39" s="1"/>
      <c r="M39" s="1"/>
      <c r="N39" s="1"/>
      <c r="O39" s="1"/>
      <c r="P39" s="1"/>
      <c r="Q39" s="1"/>
      <c r="R39" s="1"/>
      <c r="S39" s="1"/>
      <c r="T39" s="111"/>
      <c r="U39" s="112"/>
      <c r="V39" s="111"/>
      <c r="W39" s="117"/>
      <c r="X39" s="113"/>
      <c r="Y39" s="113"/>
    </row>
    <row r="40" spans="2:25" ht="15.75">
      <c r="B40" s="2"/>
      <c r="C40" s="2"/>
      <c r="E40" s="1"/>
      <c r="F40" s="3"/>
      <c r="G40" s="4"/>
      <c r="H40" s="5"/>
      <c r="I40" s="20"/>
      <c r="J40" s="20"/>
      <c r="K40" s="20"/>
      <c r="L40" s="1"/>
      <c r="M40" s="1"/>
      <c r="N40" s="1"/>
      <c r="O40" s="1"/>
      <c r="P40" s="1"/>
      <c r="Q40" s="1"/>
      <c r="R40" s="1"/>
      <c r="S40" s="1"/>
      <c r="T40" s="111"/>
      <c r="U40" s="112"/>
      <c r="V40" s="111"/>
      <c r="W40" s="117"/>
      <c r="X40" s="117"/>
      <c r="Y40" s="113"/>
    </row>
    <row r="41" spans="2:25" ht="15.75">
      <c r="B41" s="2"/>
      <c r="C41" s="2"/>
      <c r="E41" s="1"/>
      <c r="F41" s="3"/>
      <c r="G41" s="4"/>
      <c r="H41" s="5"/>
      <c r="I41" s="20"/>
      <c r="J41" s="20"/>
      <c r="K41" s="20"/>
      <c r="L41" s="1"/>
      <c r="M41" s="1"/>
      <c r="N41" s="1"/>
      <c r="O41" s="1"/>
      <c r="P41" s="1"/>
      <c r="Q41" s="1"/>
      <c r="R41" s="1"/>
      <c r="S41" s="1"/>
      <c r="T41" s="111"/>
      <c r="U41" s="112"/>
      <c r="V41" s="111"/>
      <c r="W41" s="117"/>
      <c r="X41" s="117"/>
      <c r="Y41" s="117"/>
    </row>
    <row r="42" spans="2:25" ht="15.75">
      <c r="B42" s="2"/>
      <c r="C42" s="2"/>
      <c r="E42" s="1"/>
      <c r="F42" s="20"/>
      <c r="G42" s="20"/>
      <c r="H42" s="20"/>
      <c r="I42" s="20"/>
      <c r="J42" s="20"/>
      <c r="K42" s="20"/>
      <c r="L42" s="1"/>
      <c r="M42" s="1"/>
      <c r="N42" s="1"/>
      <c r="O42" s="1"/>
      <c r="P42" s="1"/>
      <c r="Q42" s="1"/>
      <c r="R42" s="1"/>
      <c r="S42" s="1"/>
      <c r="T42" s="111"/>
      <c r="U42" s="112"/>
      <c r="V42" s="111"/>
      <c r="W42" s="117"/>
      <c r="X42" s="113"/>
      <c r="Y42" s="113"/>
    </row>
    <row r="43" spans="2:25" ht="15.75">
      <c r="B43" s="2"/>
      <c r="C43" s="2"/>
      <c r="D43" s="1"/>
      <c r="E43" s="1"/>
      <c r="F43" s="20"/>
      <c r="G43" s="20"/>
      <c r="H43" s="20"/>
      <c r="I43" s="20"/>
      <c r="J43" s="20"/>
      <c r="K43" s="20"/>
      <c r="L43" s="1"/>
      <c r="M43" s="1"/>
      <c r="N43" s="1"/>
      <c r="O43" s="1"/>
      <c r="P43" s="1"/>
      <c r="Q43" s="1"/>
      <c r="R43" s="1"/>
      <c r="S43" s="1"/>
      <c r="T43" s="111"/>
      <c r="U43" s="112"/>
      <c r="V43" s="111"/>
      <c r="W43" s="117"/>
      <c r="X43" s="110"/>
      <c r="Y43" s="113"/>
    </row>
    <row r="44" spans="2:25" ht="15.75">
      <c r="B44" s="2"/>
      <c r="C44" s="2"/>
      <c r="D44" s="1"/>
      <c r="E44" s="1"/>
      <c r="F44" s="20"/>
      <c r="G44" s="20"/>
      <c r="H44" s="20"/>
      <c r="I44" s="20"/>
      <c r="J44" s="20"/>
      <c r="K44" s="20"/>
      <c r="L44" s="1"/>
      <c r="M44" s="1"/>
      <c r="N44" s="1"/>
      <c r="O44" s="1"/>
      <c r="P44" s="1"/>
      <c r="Q44" s="1"/>
      <c r="R44" s="1"/>
      <c r="S44" s="1"/>
      <c r="T44" s="111"/>
      <c r="U44" s="112"/>
      <c r="V44" s="111"/>
      <c r="W44" s="117"/>
      <c r="X44" s="113"/>
      <c r="Y44" s="110"/>
    </row>
    <row r="45" spans="2:25" ht="15.75">
      <c r="B45" s="2"/>
      <c r="C45" s="2"/>
      <c r="D45" s="1"/>
      <c r="E45" s="1"/>
      <c r="F45" s="20"/>
      <c r="G45" s="20"/>
      <c r="H45" s="20"/>
      <c r="I45" s="20"/>
      <c r="J45" s="20"/>
      <c r="K45" s="20"/>
      <c r="L45" s="1"/>
      <c r="M45" s="1"/>
      <c r="N45" s="1"/>
      <c r="O45" s="1"/>
      <c r="P45" s="1"/>
      <c r="Q45" s="1"/>
      <c r="R45" s="1"/>
      <c r="S45" s="1"/>
      <c r="T45" s="111"/>
      <c r="U45" s="112"/>
      <c r="V45" s="112"/>
      <c r="W45" s="110"/>
      <c r="X45" s="112"/>
      <c r="Y45" s="113"/>
    </row>
    <row r="46" spans="2:25" ht="15.75">
      <c r="B46" s="2"/>
      <c r="C46" s="2"/>
      <c r="D46" s="1"/>
      <c r="E46" s="1"/>
      <c r="F46" s="20"/>
      <c r="G46" s="20"/>
      <c r="H46" s="20"/>
      <c r="I46" s="20"/>
      <c r="J46" s="20"/>
      <c r="K46" s="20"/>
      <c r="L46" s="1"/>
      <c r="M46" s="1"/>
      <c r="N46" s="1"/>
      <c r="O46" s="1"/>
      <c r="P46" s="1"/>
      <c r="Q46" s="1"/>
      <c r="R46" s="1"/>
      <c r="S46" s="1"/>
      <c r="T46" s="111"/>
      <c r="U46" s="112"/>
      <c r="V46" s="111"/>
      <c r="W46" s="117"/>
      <c r="X46" s="112"/>
      <c r="Y46" s="112"/>
    </row>
    <row r="47" spans="2:25" ht="15.75">
      <c r="B47" s="2"/>
      <c r="C47" s="2"/>
      <c r="D47" s="1"/>
      <c r="E47" s="1"/>
      <c r="F47" s="20"/>
      <c r="G47" s="20"/>
      <c r="H47" s="20"/>
      <c r="I47" s="20"/>
      <c r="J47" s="20"/>
      <c r="K47" s="20"/>
      <c r="L47" s="1"/>
      <c r="M47" s="1"/>
      <c r="N47" s="1"/>
      <c r="O47" s="1"/>
      <c r="P47" s="1"/>
      <c r="Q47" s="1"/>
      <c r="R47" s="1"/>
      <c r="S47" s="1"/>
      <c r="T47" s="111"/>
      <c r="U47" s="112"/>
      <c r="V47" s="112"/>
      <c r="W47" s="112"/>
      <c r="X47" s="113"/>
      <c r="Y47" s="112"/>
    </row>
    <row r="48" spans="2:25" ht="15.75">
      <c r="B48" s="2"/>
      <c r="C48" s="2"/>
      <c r="D48" s="1"/>
      <c r="E48" s="1"/>
      <c r="F48" s="20"/>
      <c r="G48" s="20"/>
      <c r="H48" s="20"/>
      <c r="I48" s="20"/>
      <c r="J48" s="20"/>
      <c r="K48" s="20"/>
      <c r="L48" s="1"/>
      <c r="M48" s="1"/>
      <c r="N48" s="1"/>
      <c r="O48" s="1"/>
      <c r="P48" s="1"/>
      <c r="Q48" s="1"/>
      <c r="R48" s="1"/>
      <c r="S48" s="1"/>
      <c r="T48" s="111"/>
      <c r="U48" s="525"/>
      <c r="V48" s="525"/>
      <c r="W48" s="112"/>
      <c r="X48" s="113"/>
      <c r="Y48" s="113"/>
    </row>
    <row r="49" spans="2:25" ht="15.75">
      <c r="B49" s="2"/>
      <c r="C49" s="2"/>
      <c r="D49" s="1"/>
      <c r="E49" s="1"/>
      <c r="F49" s="20"/>
      <c r="G49" s="20"/>
      <c r="H49" s="20"/>
      <c r="I49" s="20"/>
      <c r="J49" s="20"/>
      <c r="K49" s="20"/>
      <c r="L49" s="1"/>
      <c r="M49" s="1"/>
      <c r="N49" s="1"/>
      <c r="O49" s="1"/>
      <c r="P49" s="1"/>
      <c r="Q49" s="1"/>
      <c r="R49" s="1"/>
      <c r="S49" s="1"/>
      <c r="T49" s="111"/>
      <c r="U49" s="112"/>
      <c r="V49" s="111"/>
      <c r="W49" s="117"/>
      <c r="X49" s="113"/>
      <c r="Y49" s="113"/>
    </row>
    <row r="50" spans="2:25" ht="15.75">
      <c r="B50" s="2"/>
      <c r="C50" s="2"/>
      <c r="D50" s="1"/>
      <c r="E50" s="1"/>
      <c r="F50" s="20"/>
      <c r="G50" s="20"/>
      <c r="H50" s="20"/>
      <c r="I50" s="20"/>
      <c r="J50" s="20"/>
      <c r="K50" s="20"/>
      <c r="L50" s="1"/>
      <c r="M50" s="1"/>
      <c r="N50" s="1"/>
      <c r="O50" s="1"/>
      <c r="P50" s="1"/>
      <c r="Q50" s="1"/>
      <c r="R50" s="1"/>
      <c r="S50" s="1"/>
      <c r="T50" s="111"/>
      <c r="U50" s="112"/>
      <c r="V50" s="111"/>
      <c r="W50" s="117"/>
      <c r="X50" s="117"/>
      <c r="Y50" s="113"/>
    </row>
    <row r="51" spans="2:25" ht="15.75">
      <c r="B51" s="2"/>
      <c r="C51" s="2"/>
      <c r="D51" s="1"/>
      <c r="E51" s="1"/>
      <c r="F51" s="20"/>
      <c r="G51" s="20"/>
      <c r="H51" s="20"/>
      <c r="I51" s="20"/>
      <c r="J51" s="20"/>
      <c r="K51" s="20"/>
      <c r="L51" s="1"/>
      <c r="M51" s="1"/>
      <c r="N51" s="1"/>
      <c r="O51" s="1"/>
      <c r="P51" s="1"/>
      <c r="Q51" s="1"/>
      <c r="R51" s="1"/>
      <c r="S51" s="1"/>
      <c r="T51" s="111"/>
      <c r="U51" s="112"/>
      <c r="V51" s="112"/>
      <c r="W51" s="110"/>
      <c r="X51" s="117"/>
      <c r="Y51" s="113"/>
    </row>
    <row r="52" spans="2:25" ht="15.75">
      <c r="B52" s="2"/>
      <c r="C52" s="2"/>
      <c r="D52" s="1"/>
      <c r="E52" s="1"/>
      <c r="F52" s="20"/>
      <c r="G52" s="20"/>
      <c r="H52" s="20"/>
      <c r="I52" s="20"/>
      <c r="J52" s="20"/>
      <c r="K52" s="20"/>
      <c r="L52" s="1"/>
      <c r="M52" s="1"/>
      <c r="N52" s="1"/>
      <c r="O52" s="1"/>
      <c r="P52" s="1"/>
      <c r="Q52" s="1"/>
      <c r="R52" s="1"/>
      <c r="S52" s="1"/>
      <c r="T52" s="111"/>
      <c r="U52" s="112"/>
      <c r="V52" s="111"/>
      <c r="W52" s="117"/>
      <c r="X52" s="113"/>
      <c r="Y52" s="113"/>
    </row>
    <row r="53" spans="2:25" ht="15.75">
      <c r="B53" s="2"/>
      <c r="C53" s="2"/>
      <c r="D53" s="1"/>
      <c r="E53" s="1"/>
      <c r="F53" s="20"/>
      <c r="G53" s="20"/>
      <c r="H53" s="20"/>
      <c r="I53" s="20"/>
      <c r="J53" s="20"/>
      <c r="K53" s="20"/>
      <c r="L53" s="1"/>
      <c r="M53" s="1"/>
      <c r="N53" s="1"/>
      <c r="O53" s="1"/>
      <c r="P53" s="1"/>
      <c r="Q53" s="1"/>
      <c r="R53" s="1"/>
      <c r="S53" s="1"/>
      <c r="T53" s="111"/>
      <c r="U53" s="112"/>
      <c r="V53" s="112"/>
      <c r="W53" s="112"/>
      <c r="X53" s="110"/>
      <c r="Y53" s="113"/>
    </row>
    <row r="54" spans="2:25" ht="15.75">
      <c r="B54" s="2"/>
      <c r="C54" s="2"/>
      <c r="D54" s="1"/>
      <c r="E54" s="1"/>
      <c r="F54" s="20"/>
      <c r="G54" s="20"/>
      <c r="H54" s="20"/>
      <c r="I54" s="20"/>
      <c r="J54" s="20"/>
      <c r="K54" s="20"/>
      <c r="L54" s="1"/>
      <c r="M54" s="1"/>
      <c r="N54" s="1"/>
      <c r="O54" s="1"/>
      <c r="P54" s="1"/>
      <c r="Q54" s="1"/>
      <c r="R54" s="1"/>
      <c r="S54" s="1"/>
      <c r="T54" s="111"/>
      <c r="U54" s="525"/>
      <c r="V54" s="525"/>
      <c r="W54" s="112"/>
      <c r="X54" s="113"/>
      <c r="Y54" s="110"/>
    </row>
    <row r="55" spans="2:25" ht="15.75">
      <c r="B55" s="2"/>
      <c r="C55" s="2"/>
      <c r="D55" s="1"/>
      <c r="E55" s="1"/>
      <c r="F55" s="20"/>
      <c r="G55" s="20"/>
      <c r="H55" s="20"/>
      <c r="I55" s="20"/>
      <c r="J55" s="20"/>
      <c r="K55" s="20"/>
      <c r="L55" s="1"/>
      <c r="M55" s="1"/>
      <c r="N55" s="1"/>
      <c r="O55" s="1"/>
      <c r="P55" s="1"/>
      <c r="Q55" s="1"/>
      <c r="R55" s="1"/>
      <c r="S55" s="1"/>
      <c r="T55" s="111"/>
      <c r="U55" s="112"/>
      <c r="V55" s="111"/>
      <c r="W55" s="117"/>
      <c r="X55" s="112"/>
      <c r="Y55" s="113"/>
    </row>
    <row r="56" spans="2:25" ht="15.75">
      <c r="B56" s="1"/>
      <c r="C56" s="1"/>
      <c r="D56" s="1"/>
      <c r="E56" s="1"/>
      <c r="F56" s="20"/>
      <c r="G56" s="20"/>
      <c r="H56" s="20"/>
      <c r="I56" s="20"/>
      <c r="J56" s="20"/>
      <c r="K56" s="20"/>
      <c r="L56" s="1"/>
      <c r="M56" s="1"/>
      <c r="N56" s="1"/>
      <c r="O56" s="1"/>
      <c r="P56" s="1"/>
      <c r="Q56" s="1"/>
      <c r="R56" s="1"/>
      <c r="S56" s="1"/>
      <c r="T56" s="111"/>
      <c r="U56" s="112"/>
      <c r="V56" s="111"/>
      <c r="W56" s="117"/>
      <c r="X56" s="112"/>
      <c r="Y56" s="112"/>
    </row>
    <row r="57" spans="2:25" ht="15.75">
      <c r="B57" s="1"/>
      <c r="C57" s="1"/>
      <c r="D57" s="1"/>
      <c r="E57" s="1"/>
      <c r="F57" s="20"/>
      <c r="G57" s="20"/>
      <c r="H57" s="20"/>
      <c r="I57" s="20"/>
      <c r="J57" s="20"/>
      <c r="K57" s="20"/>
      <c r="L57" s="1"/>
      <c r="M57" s="1"/>
      <c r="N57" s="1"/>
      <c r="O57" s="1"/>
      <c r="P57" s="1"/>
      <c r="Q57" s="1"/>
      <c r="R57" s="1"/>
      <c r="S57" s="1"/>
      <c r="T57" s="111"/>
      <c r="U57" s="112"/>
      <c r="V57" s="111"/>
      <c r="W57" s="113"/>
      <c r="X57" s="117"/>
      <c r="Y57" s="112"/>
    </row>
    <row r="58" spans="2:25" ht="15.75">
      <c r="B58" s="1"/>
      <c r="C58" s="1"/>
      <c r="D58" s="1"/>
      <c r="E58" s="1"/>
      <c r="F58" s="20"/>
      <c r="G58" s="20"/>
      <c r="H58" s="20"/>
      <c r="I58" s="20"/>
      <c r="J58" s="20"/>
      <c r="K58" s="20"/>
      <c r="L58" s="1"/>
      <c r="M58" s="1"/>
      <c r="N58" s="1"/>
      <c r="O58" s="1"/>
      <c r="P58" s="1"/>
      <c r="Q58" s="1"/>
      <c r="R58" s="1"/>
      <c r="S58" s="1"/>
      <c r="T58" s="111"/>
      <c r="U58" s="112"/>
      <c r="V58" s="111"/>
      <c r="W58" s="117"/>
      <c r="X58" s="117"/>
      <c r="Y58" s="113"/>
    </row>
    <row r="59" spans="2:25" ht="15.75">
      <c r="B59" s="1"/>
      <c r="C59" s="1"/>
      <c r="D59" s="1"/>
      <c r="E59" s="1"/>
      <c r="F59" s="20"/>
      <c r="G59" s="20"/>
      <c r="H59" s="20"/>
      <c r="I59" s="20"/>
      <c r="J59" s="20"/>
      <c r="K59" s="20"/>
      <c r="L59" s="1"/>
      <c r="M59" s="1"/>
      <c r="N59" s="1"/>
      <c r="O59" s="1"/>
      <c r="P59" s="1"/>
      <c r="Q59" s="1"/>
      <c r="R59" s="1"/>
      <c r="S59" s="1"/>
      <c r="T59" s="111"/>
      <c r="U59" s="112"/>
      <c r="V59" s="111"/>
      <c r="W59" s="117"/>
      <c r="X59" s="110"/>
      <c r="Y59" s="113"/>
    </row>
    <row r="60" spans="2:25" ht="15.75">
      <c r="B60" s="1"/>
      <c r="C60" s="1"/>
      <c r="D60" s="1"/>
      <c r="E60" s="1"/>
      <c r="F60" s="20"/>
      <c r="G60" s="20"/>
      <c r="H60" s="20"/>
      <c r="I60" s="20"/>
      <c r="J60" s="20"/>
      <c r="K60" s="20"/>
      <c r="L60" s="1"/>
      <c r="M60" s="1"/>
      <c r="N60" s="1"/>
      <c r="O60" s="1"/>
      <c r="P60" s="1"/>
      <c r="Q60" s="1"/>
      <c r="R60" s="1"/>
      <c r="S60" s="1"/>
      <c r="T60" s="111"/>
      <c r="U60" s="112"/>
      <c r="V60" s="112"/>
      <c r="W60" s="110"/>
      <c r="X60" s="117"/>
      <c r="Y60" s="110"/>
    </row>
    <row r="61" spans="2:25" ht="15.75">
      <c r="B61" s="1"/>
      <c r="C61" s="1"/>
      <c r="D61" s="1"/>
      <c r="E61" s="1"/>
      <c r="F61" s="20"/>
      <c r="G61" s="20"/>
      <c r="H61" s="20"/>
      <c r="I61" s="20"/>
      <c r="J61" s="20"/>
      <c r="K61" s="20"/>
      <c r="L61" s="1"/>
      <c r="M61" s="1"/>
      <c r="N61" s="1"/>
      <c r="O61" s="1"/>
      <c r="P61" s="1"/>
      <c r="Q61" s="1"/>
      <c r="R61" s="1"/>
      <c r="S61" s="1"/>
      <c r="T61" s="111"/>
      <c r="U61" s="112"/>
      <c r="V61" s="111"/>
      <c r="W61" s="113"/>
      <c r="X61" s="112"/>
      <c r="Y61" s="113"/>
    </row>
    <row r="62" spans="2:25" ht="15.75">
      <c r="B62" s="1"/>
      <c r="C62" s="1"/>
      <c r="D62" s="1"/>
      <c r="E62" s="1"/>
      <c r="F62" s="20"/>
      <c r="G62" s="20"/>
      <c r="H62" s="20"/>
      <c r="I62" s="20"/>
      <c r="J62" s="20"/>
      <c r="K62" s="20"/>
      <c r="L62" s="1"/>
      <c r="M62" s="1"/>
      <c r="N62" s="1"/>
      <c r="O62" s="1"/>
      <c r="P62" s="1"/>
      <c r="Q62" s="1"/>
      <c r="R62" s="1"/>
      <c r="S62" s="1"/>
      <c r="T62" s="111"/>
      <c r="U62" s="112"/>
      <c r="V62" s="112"/>
      <c r="W62" s="112"/>
      <c r="X62" s="112"/>
      <c r="Y62" s="112"/>
    </row>
    <row r="63" spans="2:25" ht="15.75">
      <c r="B63" s="1"/>
      <c r="C63" s="1"/>
      <c r="D63" s="1"/>
      <c r="E63" s="1"/>
      <c r="F63" s="20"/>
      <c r="G63" s="20"/>
      <c r="H63" s="20"/>
      <c r="I63" s="20"/>
      <c r="J63" s="20"/>
      <c r="K63" s="20"/>
      <c r="L63" s="1"/>
      <c r="M63" s="1"/>
      <c r="N63" s="1"/>
      <c r="O63" s="1"/>
      <c r="P63" s="1"/>
      <c r="Q63" s="1"/>
      <c r="R63" s="1"/>
      <c r="S63" s="1"/>
      <c r="T63" s="111"/>
      <c r="U63" s="112"/>
      <c r="V63" s="112"/>
      <c r="W63" s="112"/>
      <c r="X63" s="117"/>
      <c r="Y63" s="112"/>
    </row>
    <row r="64" spans="2:25" ht="15.75">
      <c r="B64" s="1"/>
      <c r="C64" s="1"/>
      <c r="D64" s="1"/>
      <c r="E64" s="1"/>
      <c r="F64" s="20"/>
      <c r="G64" s="20"/>
      <c r="H64" s="20"/>
      <c r="I64" s="20"/>
      <c r="J64" s="20"/>
      <c r="K64" s="20"/>
      <c r="L64" s="1"/>
      <c r="M64" s="1"/>
      <c r="N64" s="1"/>
      <c r="O64" s="1"/>
      <c r="P64" s="1"/>
      <c r="Q64" s="1"/>
      <c r="R64" s="1"/>
      <c r="S64" s="1"/>
      <c r="T64" s="111"/>
      <c r="U64" s="112"/>
      <c r="V64" s="111"/>
      <c r="W64" s="113"/>
      <c r="X64" s="117"/>
      <c r="Y64" s="113"/>
    </row>
    <row r="65" spans="2:25" ht="15.75">
      <c r="B65" s="1"/>
      <c r="C65" s="1"/>
      <c r="D65" s="1"/>
      <c r="E65" s="1"/>
      <c r="F65" s="20"/>
      <c r="G65" s="20"/>
      <c r="H65" s="20"/>
      <c r="I65" s="20"/>
      <c r="J65" s="20"/>
      <c r="K65" s="20"/>
      <c r="L65" s="1"/>
      <c r="M65" s="1"/>
      <c r="N65" s="1"/>
      <c r="O65" s="1"/>
      <c r="P65" s="1"/>
      <c r="Q65" s="1"/>
      <c r="R65" s="1"/>
      <c r="S65" s="1"/>
      <c r="T65" s="111"/>
      <c r="U65" s="112"/>
      <c r="V65" s="112"/>
      <c r="W65" s="110"/>
      <c r="X65" s="117"/>
      <c r="Y65" s="113"/>
    </row>
    <row r="66" spans="2:25" ht="15.75">
      <c r="B66" s="1"/>
      <c r="C66" s="1"/>
      <c r="D66" s="1"/>
      <c r="E66" s="1"/>
      <c r="F66" s="20"/>
      <c r="G66" s="20"/>
      <c r="H66" s="20"/>
      <c r="I66" s="20"/>
      <c r="J66" s="20"/>
      <c r="K66" s="20"/>
      <c r="L66" s="1"/>
      <c r="M66" s="1"/>
      <c r="N66" s="1"/>
      <c r="O66" s="1"/>
      <c r="P66" s="1"/>
      <c r="Q66" s="1"/>
      <c r="R66" s="1"/>
      <c r="S66" s="1"/>
      <c r="T66" s="111"/>
      <c r="U66" s="525"/>
      <c r="V66" s="525"/>
      <c r="W66" s="112"/>
      <c r="X66" s="117"/>
      <c r="Y66" s="113"/>
    </row>
    <row r="67" spans="2:25" ht="15.75">
      <c r="B67" s="1"/>
      <c r="C67" s="1"/>
      <c r="D67" s="1"/>
      <c r="E67" s="1"/>
      <c r="F67" s="20"/>
      <c r="G67" s="20"/>
      <c r="H67" s="20"/>
      <c r="I67" s="20"/>
      <c r="J67" s="20"/>
      <c r="K67" s="20"/>
      <c r="L67" s="1"/>
      <c r="M67" s="1"/>
      <c r="N67" s="1"/>
      <c r="O67" s="1"/>
      <c r="P67" s="1"/>
      <c r="Q67" s="1"/>
      <c r="R67" s="1"/>
      <c r="S67" s="1"/>
      <c r="T67" s="111"/>
      <c r="U67" s="112"/>
      <c r="V67" s="112"/>
      <c r="W67" s="112"/>
      <c r="X67" s="117"/>
      <c r="Y67" s="117"/>
    </row>
    <row r="68" spans="2:25" ht="15.75">
      <c r="B68" s="1"/>
      <c r="C68" s="1"/>
      <c r="D68" s="1"/>
      <c r="E68" s="1"/>
      <c r="F68" s="20"/>
      <c r="G68" s="20"/>
      <c r="H68" s="20"/>
      <c r="I68" s="20"/>
      <c r="J68" s="20"/>
      <c r="K68" s="20"/>
      <c r="L68" s="1"/>
      <c r="M68" s="1"/>
      <c r="N68" s="1"/>
      <c r="O68" s="1"/>
      <c r="P68" s="1"/>
      <c r="Q68" s="1"/>
      <c r="R68" s="1"/>
      <c r="S68" s="1"/>
      <c r="T68" s="111"/>
      <c r="U68" s="112"/>
      <c r="V68" s="111"/>
      <c r="W68" s="112"/>
      <c r="X68" s="110"/>
      <c r="Y68" s="117"/>
    </row>
    <row r="69" spans="2:25" ht="15.75">
      <c r="B69" s="1"/>
      <c r="C69" s="1"/>
      <c r="D69" s="1"/>
      <c r="E69" s="1"/>
      <c r="F69" s="20"/>
      <c r="G69" s="20"/>
      <c r="H69" s="20"/>
      <c r="I69" s="20"/>
      <c r="J69" s="20"/>
      <c r="K69" s="20"/>
      <c r="L69" s="1"/>
      <c r="M69" s="1"/>
      <c r="N69" s="1"/>
      <c r="O69" s="1"/>
      <c r="P69" s="1"/>
      <c r="Q69" s="1"/>
      <c r="R69" s="1"/>
      <c r="S69" s="1"/>
      <c r="T69" s="111"/>
      <c r="U69" s="112"/>
      <c r="V69" s="112"/>
      <c r="W69" s="110"/>
      <c r="X69" s="117"/>
      <c r="Y69" s="110"/>
    </row>
    <row r="70" spans="2:25" ht="15.75">
      <c r="B70" s="1"/>
      <c r="C70" s="1"/>
      <c r="D70" s="1"/>
      <c r="E70" s="1"/>
      <c r="F70" s="20"/>
      <c r="G70" s="20"/>
      <c r="H70" s="20"/>
      <c r="I70" s="20"/>
      <c r="J70" s="20"/>
      <c r="K70" s="20"/>
      <c r="L70" s="1"/>
      <c r="M70" s="1"/>
      <c r="N70" s="1"/>
      <c r="O70" s="1"/>
      <c r="P70" s="1"/>
      <c r="Q70" s="1"/>
      <c r="R70" s="1"/>
      <c r="S70" s="1"/>
      <c r="T70" s="111"/>
      <c r="U70" s="112"/>
      <c r="V70" s="111"/>
      <c r="W70" s="112"/>
      <c r="X70" s="112"/>
      <c r="Y70" s="113"/>
    </row>
    <row r="71" spans="2:25" ht="15.75">
      <c r="B71" s="1"/>
      <c r="C71" s="1"/>
      <c r="D71" s="1"/>
      <c r="E71" s="1"/>
      <c r="F71" s="20"/>
      <c r="G71" s="20"/>
      <c r="H71" s="20"/>
      <c r="I71" s="20"/>
      <c r="J71" s="20"/>
      <c r="K71" s="20"/>
      <c r="L71" s="1"/>
      <c r="M71" s="1"/>
      <c r="N71" s="1"/>
      <c r="O71" s="1"/>
      <c r="P71" s="1"/>
      <c r="Q71" s="1"/>
      <c r="R71" s="1"/>
      <c r="S71" s="1"/>
      <c r="T71" s="111"/>
      <c r="U71" s="112"/>
      <c r="V71" s="112"/>
      <c r="W71" s="112"/>
      <c r="X71" s="112"/>
      <c r="Y71" s="112"/>
    </row>
    <row r="72" spans="2:25" ht="15.75">
      <c r="B72" s="1"/>
      <c r="C72" s="1"/>
      <c r="D72" s="1"/>
      <c r="E72" s="1"/>
      <c r="F72" s="20"/>
      <c r="G72" s="20"/>
      <c r="H72" s="20"/>
      <c r="I72" s="20"/>
      <c r="J72" s="20"/>
      <c r="K72" s="20"/>
      <c r="L72" s="1"/>
      <c r="M72" s="1"/>
      <c r="N72" s="1"/>
      <c r="O72" s="1"/>
      <c r="P72" s="1"/>
      <c r="Q72" s="1"/>
      <c r="R72" s="1"/>
      <c r="S72" s="1"/>
      <c r="T72" s="111"/>
      <c r="U72" s="112"/>
      <c r="V72" s="112"/>
      <c r="W72" s="110"/>
      <c r="X72" s="113"/>
      <c r="Y72" s="112"/>
    </row>
    <row r="73" spans="2:25" ht="15.75">
      <c r="B73" s="1"/>
      <c r="C73" s="1"/>
      <c r="D73" s="1"/>
      <c r="E73" s="1"/>
      <c r="F73" s="20"/>
      <c r="G73" s="20"/>
      <c r="H73" s="20"/>
      <c r="I73" s="20"/>
      <c r="J73" s="20"/>
      <c r="K73" s="20"/>
      <c r="L73" s="1"/>
      <c r="M73" s="1"/>
      <c r="N73" s="1"/>
      <c r="O73" s="1"/>
      <c r="P73" s="1"/>
      <c r="Q73" s="1"/>
      <c r="R73" s="1"/>
      <c r="S73" s="1"/>
      <c r="T73" s="111"/>
      <c r="U73" s="525"/>
      <c r="V73" s="525"/>
      <c r="W73" s="113"/>
      <c r="X73" s="110"/>
      <c r="Y73" s="113"/>
    </row>
    <row r="74" spans="2:25" ht="15.75">
      <c r="B74" s="1"/>
      <c r="C74" s="1"/>
      <c r="D74" s="1"/>
      <c r="E74" s="1"/>
      <c r="F74" s="20"/>
      <c r="G74" s="20"/>
      <c r="H74" s="20"/>
      <c r="I74" s="20"/>
      <c r="J74" s="20"/>
      <c r="K74" s="20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12"/>
      <c r="Y74" s="110"/>
    </row>
    <row r="75" spans="2:25" ht="15.75">
      <c r="B75" s="1"/>
      <c r="C75" s="1"/>
      <c r="D75" s="1"/>
      <c r="E75" s="1"/>
      <c r="X75" s="112"/>
      <c r="Y75" s="112"/>
    </row>
    <row r="76" spans="2:25" ht="15.75">
      <c r="B76" s="1"/>
      <c r="C76" s="1"/>
      <c r="D76" s="1"/>
      <c r="X76" s="112"/>
      <c r="Y76" s="112"/>
    </row>
    <row r="77" spans="2:25" ht="15.75">
      <c r="B77" s="1"/>
      <c r="C77" s="1"/>
      <c r="D77" s="1"/>
      <c r="X77" s="110"/>
      <c r="Y77" s="112"/>
    </row>
    <row r="78" spans="2:25" ht="15.75">
      <c r="B78" s="1"/>
      <c r="C78" s="1"/>
      <c r="D78" s="1"/>
      <c r="X78" s="112"/>
      <c r="Y78" s="110"/>
    </row>
    <row r="79" spans="2:25" ht="15.75">
      <c r="B79" s="1"/>
      <c r="C79" s="1"/>
      <c r="D79" s="1"/>
      <c r="X79" s="112"/>
      <c r="Y79" s="112"/>
    </row>
    <row r="80" spans="2:25" ht="15.75">
      <c r="B80" s="1"/>
      <c r="C80" s="1"/>
      <c r="D80" s="1"/>
      <c r="X80" s="110"/>
      <c r="Y80" s="112"/>
    </row>
    <row r="81" spans="2:25" ht="15.75">
      <c r="B81" s="1"/>
      <c r="C81" s="1"/>
      <c r="D81" s="1"/>
      <c r="X81" s="113"/>
      <c r="Y81" s="110"/>
    </row>
    <row r="82" spans="2:25" ht="15.75">
      <c r="B82" s="1"/>
      <c r="C82" s="1"/>
      <c r="D82" s="1"/>
      <c r="X82" s="1"/>
      <c r="Y82" s="113"/>
    </row>
    <row r="83" spans="2:25" ht="15.75">
      <c r="B83" s="1"/>
      <c r="C83" s="1"/>
      <c r="D83" s="1"/>
      <c r="Y83" s="1"/>
    </row>
    <row r="84" spans="2:25" ht="15.75">
      <c r="B84" s="1"/>
      <c r="C84" s="1"/>
      <c r="D84" s="1"/>
    </row>
  </sheetData>
  <mergeCells count="16">
    <mergeCell ref="W18:X18"/>
    <mergeCell ref="U17:V17"/>
    <mergeCell ref="W17:X17"/>
    <mergeCell ref="G18:T18"/>
    <mergeCell ref="G8:T8"/>
    <mergeCell ref="G4:T4"/>
    <mergeCell ref="C23:E23"/>
    <mergeCell ref="C33:E33"/>
    <mergeCell ref="U66:V66"/>
    <mergeCell ref="U18:V18"/>
    <mergeCell ref="U73:V73"/>
    <mergeCell ref="F27:I27"/>
    <mergeCell ref="P27:T27"/>
    <mergeCell ref="U38:V38"/>
    <mergeCell ref="U48:V48"/>
    <mergeCell ref="U54:V5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B8127-2810-44C9-93B5-DC983F08148F}">
  <sheetPr codeName="Sheet10">
    <tabColor rgb="FF92D050"/>
  </sheetPr>
  <dimension ref="A1:AE97"/>
  <sheetViews>
    <sheetView workbookViewId="0"/>
  </sheetViews>
  <sheetFormatPr defaultColWidth="8.85546875" defaultRowHeight="15"/>
  <cols>
    <col min="1" max="1" width="7.42578125" style="6" customWidth="1"/>
    <col min="2" max="2" width="14.42578125" style="6" customWidth="1"/>
    <col min="3" max="4" width="13" style="6" customWidth="1"/>
    <col min="5" max="5" width="18" style="6" bestFit="1" customWidth="1"/>
    <col min="6" max="6" width="13.5703125" style="6" customWidth="1"/>
    <col min="7" max="7" width="15" style="6" bestFit="1" customWidth="1"/>
    <col min="8" max="8" width="14.140625" style="6" customWidth="1"/>
    <col min="9" max="10" width="15.5703125" style="6" customWidth="1"/>
    <col min="11" max="11" width="15" style="6" bestFit="1" customWidth="1"/>
    <col min="12" max="17" width="15.5703125" style="6" customWidth="1"/>
    <col min="18" max="18" width="15" style="6" customWidth="1"/>
    <col min="19" max="19" width="14" style="6" customWidth="1"/>
    <col min="20" max="20" width="15.5703125" style="6" customWidth="1"/>
    <col min="21" max="21" width="16.5703125" style="6" customWidth="1"/>
    <col min="22" max="23" width="14" style="6" customWidth="1"/>
    <col min="24" max="24" width="29.140625" style="6" bestFit="1" customWidth="1"/>
    <col min="25" max="25" width="14.85546875" style="6" bestFit="1" customWidth="1"/>
    <col min="26" max="26" width="12.85546875" style="6" customWidth="1"/>
    <col min="27" max="27" width="14.7109375" style="6" customWidth="1"/>
    <col min="28" max="28" width="8.85546875" style="6"/>
    <col min="29" max="31" width="16.28515625" style="6" customWidth="1"/>
    <col min="32" max="16384" width="8.85546875" style="6"/>
  </cols>
  <sheetData>
    <row r="1" spans="1:31" s="184" customFormat="1" ht="25.5" customHeight="1">
      <c r="A1" s="469"/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</row>
    <row r="2" spans="1:31">
      <c r="A2" s="93"/>
      <c r="B2" s="549"/>
      <c r="C2" s="549"/>
      <c r="D2" s="549"/>
      <c r="F2" s="93"/>
    </row>
    <row r="3" spans="1:31">
      <c r="E3" s="550" t="s">
        <v>221</v>
      </c>
      <c r="F3" s="550"/>
      <c r="G3" s="550"/>
      <c r="H3" s="550"/>
      <c r="I3" s="550"/>
      <c r="J3" s="288"/>
      <c r="K3" s="288"/>
      <c r="M3" s="118"/>
      <c r="N3" s="118"/>
      <c r="O3" s="118"/>
      <c r="P3" s="550" t="s">
        <v>222</v>
      </c>
      <c r="Q3" s="550"/>
      <c r="R3" s="550"/>
      <c r="S3" s="550"/>
      <c r="T3" s="550"/>
      <c r="U3" s="288"/>
      <c r="V3" s="288"/>
    </row>
    <row r="4" spans="1:31" ht="15.75" customHeight="1">
      <c r="D4" s="1"/>
      <c r="E4" s="156">
        <f>'Res Bill Impact'!E4</f>
        <v>2024</v>
      </c>
      <c r="F4" s="191">
        <f>'Res Bill Impact'!F4</f>
        <v>45352</v>
      </c>
      <c r="G4" s="191">
        <f>'Res Bill Impact'!G4</f>
        <v>45352</v>
      </c>
      <c r="H4" s="119" t="s">
        <v>187</v>
      </c>
      <c r="I4" s="119" t="s">
        <v>187</v>
      </c>
      <c r="J4" s="119"/>
      <c r="K4" s="119"/>
      <c r="L4" s="20"/>
      <c r="O4" s="1"/>
      <c r="P4" s="156">
        <f>'Res Bill Impact'!P4</f>
        <v>2024</v>
      </c>
      <c r="Q4" s="191">
        <f>'Res Bill Impact'!Q4</f>
        <v>45352</v>
      </c>
      <c r="R4" s="191">
        <f>'Res Bill Impact'!R4</f>
        <v>45352</v>
      </c>
      <c r="S4" s="119" t="s">
        <v>187</v>
      </c>
      <c r="T4" s="119" t="s">
        <v>187</v>
      </c>
      <c r="U4" s="119"/>
      <c r="V4" s="119"/>
    </row>
    <row r="5" spans="1:31" ht="30.75" customHeight="1">
      <c r="D5" s="1"/>
      <c r="E5" s="119" t="s">
        <v>132</v>
      </c>
      <c r="F5" s="119" t="s">
        <v>188</v>
      </c>
      <c r="G5" s="119" t="s">
        <v>189</v>
      </c>
      <c r="H5" s="119" t="s">
        <v>188</v>
      </c>
      <c r="I5" s="119" t="s">
        <v>189</v>
      </c>
      <c r="J5" s="119"/>
      <c r="K5" s="119"/>
      <c r="L5" s="89"/>
      <c r="M5" s="120"/>
      <c r="N5" s="120"/>
      <c r="O5" s="89"/>
      <c r="P5" s="119" t="s">
        <v>132</v>
      </c>
      <c r="Q5" s="119" t="s">
        <v>188</v>
      </c>
      <c r="R5" s="119" t="s">
        <v>189</v>
      </c>
      <c r="S5" s="119" t="s">
        <v>188</v>
      </c>
      <c r="T5" s="119" t="s">
        <v>189</v>
      </c>
      <c r="U5" s="119"/>
      <c r="V5" s="119"/>
      <c r="AD5" s="51"/>
      <c r="AE5" s="51"/>
    </row>
    <row r="6" spans="1:31" ht="42" customHeight="1">
      <c r="B6" s="121"/>
      <c r="D6" s="121"/>
      <c r="E6" s="1"/>
      <c r="F6" s="1"/>
      <c r="G6" s="1"/>
      <c r="J6" s="20"/>
      <c r="K6" s="20"/>
      <c r="L6" s="20"/>
      <c r="O6" s="121"/>
      <c r="P6" s="1"/>
      <c r="Q6" s="1"/>
      <c r="R6" s="1"/>
      <c r="U6" s="20"/>
      <c r="V6" s="20"/>
      <c r="Y6" s="307" t="s">
        <v>116</v>
      </c>
      <c r="Z6" s="307" t="s">
        <v>351</v>
      </c>
      <c r="AA6" s="307" t="s">
        <v>3</v>
      </c>
      <c r="AC6" s="120"/>
      <c r="AD6" s="120"/>
      <c r="AE6" s="120"/>
    </row>
    <row r="7" spans="1:31" ht="15.75">
      <c r="D7" s="122" t="s">
        <v>194</v>
      </c>
      <c r="E7" s="284">
        <f>'Res Bill Impact'!E7</f>
        <v>185316399.23448935</v>
      </c>
      <c r="F7" s="123">
        <f>'Res Bill Impact'!F7</f>
        <v>0.40437175004956721</v>
      </c>
      <c r="G7" s="124">
        <f t="shared" ref="G7:G12" si="0">F7*E7</f>
        <v>74936716.671334743</v>
      </c>
      <c r="H7" s="186">
        <f>F7+(F7*$AD$12)</f>
        <v>0.40437175004956721</v>
      </c>
      <c r="I7" s="124">
        <f t="shared" ref="I7:I12" si="1">E7*H7</f>
        <v>74936716.671334743</v>
      </c>
      <c r="J7" s="186"/>
      <c r="K7" s="312"/>
      <c r="L7" s="125"/>
      <c r="O7" s="122" t="s">
        <v>194</v>
      </c>
      <c r="P7" s="284">
        <f>'Res Bill Impact'!P7</f>
        <v>134583133.05701688</v>
      </c>
      <c r="Q7" s="123">
        <f>'Res Bill Impact'!Q7</f>
        <v>0.26238</v>
      </c>
      <c r="R7" s="124">
        <f>'Res Bill Impact'!R7</f>
        <v>35311922.451500088</v>
      </c>
      <c r="S7" s="186">
        <f t="shared" ref="S7:S12" si="2">H7*(1+(Q7/F7-1))</f>
        <v>0.26238</v>
      </c>
      <c r="T7" s="124">
        <f t="shared" ref="T7:T12" si="3">P7*S7</f>
        <v>35311922.451500088</v>
      </c>
      <c r="U7" s="186"/>
      <c r="V7" s="312"/>
      <c r="W7" s="125"/>
      <c r="X7" s="6" t="s">
        <v>195</v>
      </c>
      <c r="AC7" s="363"/>
      <c r="AD7" s="318"/>
      <c r="AE7" s="318"/>
    </row>
    <row r="8" spans="1:31" ht="15.75">
      <c r="D8" s="126" t="s">
        <v>196</v>
      </c>
      <c r="E8" s="284">
        <f>'Res Bill Impact'!E8</f>
        <v>259836290.12757075</v>
      </c>
      <c r="F8" s="123">
        <f>'Res Bill Impact'!F8</f>
        <v>0.40437175004956721</v>
      </c>
      <c r="G8" s="124">
        <f t="shared" si="0"/>
        <v>105070455.36527286</v>
      </c>
      <c r="H8" s="186">
        <f>H7</f>
        <v>0.40437175004956721</v>
      </c>
      <c r="I8" s="124">
        <f t="shared" si="1"/>
        <v>105070455.36527286</v>
      </c>
      <c r="J8" s="186"/>
      <c r="K8" s="312"/>
      <c r="L8" s="125"/>
      <c r="O8" s="126" t="s">
        <v>196</v>
      </c>
      <c r="P8" s="284">
        <f>'Res Bill Impact'!P8</f>
        <v>193391763.02286547</v>
      </c>
      <c r="Q8" s="123">
        <f>'Res Bill Impact'!Q8</f>
        <v>0.26238</v>
      </c>
      <c r="R8" s="124">
        <f>'Res Bill Impact'!R8</f>
        <v>50742130.781939447</v>
      </c>
      <c r="S8" s="186">
        <f t="shared" si="2"/>
        <v>0.26238</v>
      </c>
      <c r="T8" s="124">
        <f t="shared" si="3"/>
        <v>50742130.781939447</v>
      </c>
      <c r="U8" s="186"/>
      <c r="V8" s="312"/>
      <c r="W8" s="125"/>
      <c r="X8" s="6" t="s">
        <v>197</v>
      </c>
      <c r="Y8" s="127">
        <f>'Res Bill Impact'!Y8</f>
        <v>1645330521</v>
      </c>
      <c r="Z8" s="127">
        <f>'Res Bill Impact'!Z8</f>
        <v>1425618710</v>
      </c>
      <c r="AA8" s="127">
        <f>'Res Bill Impact'!AA8</f>
        <v>219711811</v>
      </c>
    </row>
    <row r="9" spans="1:31" ht="15.75">
      <c r="D9" s="122" t="s">
        <v>223</v>
      </c>
      <c r="E9" s="284">
        <f>'Res Bill Impact'!E9</f>
        <v>82713503.336138025</v>
      </c>
      <c r="F9" s="123">
        <f>'Res Bill Impact'!F9</f>
        <v>0.50915430016833085</v>
      </c>
      <c r="G9" s="124">
        <f t="shared" si="0"/>
        <v>42113935.905582257</v>
      </c>
      <c r="H9" s="186">
        <f>F9/F$7*H$7</f>
        <v>0.50915430016833085</v>
      </c>
      <c r="I9" s="124">
        <f t="shared" si="1"/>
        <v>42113935.905582257</v>
      </c>
      <c r="J9" s="186"/>
      <c r="K9" s="312"/>
      <c r="L9" s="125"/>
      <c r="O9" s="122" t="s">
        <v>198</v>
      </c>
      <c r="P9" s="284">
        <f>'Res Bill Impact'!P9</f>
        <v>44733373.310888238</v>
      </c>
      <c r="Q9" s="123">
        <f>'Res Bill Impact'!Q9</f>
        <v>0.33390999999999998</v>
      </c>
      <c r="R9" s="124">
        <f>'Res Bill Impact'!R9</f>
        <v>14936920.682238691</v>
      </c>
      <c r="S9" s="186">
        <f t="shared" si="2"/>
        <v>0.33390999999999998</v>
      </c>
      <c r="T9" s="124">
        <f t="shared" si="3"/>
        <v>14936920.682238691</v>
      </c>
      <c r="U9" s="186"/>
      <c r="V9" s="312"/>
      <c r="W9" s="125"/>
      <c r="X9" s="6" t="s">
        <v>282</v>
      </c>
      <c r="Y9" s="226">
        <f>('Hypothetical SAR and RAR'!V20+'Hypothetical SAR and RAR'!X20)*1000</f>
        <v>0</v>
      </c>
      <c r="Z9" s="226">
        <f>('Hypothetical SAR and RAR'!V20)*1000</f>
        <v>0</v>
      </c>
      <c r="AA9" s="185">
        <f>('Hypothetical SAR and RAR'!X20)*1000</f>
        <v>0</v>
      </c>
    </row>
    <row r="10" spans="1:31" ht="15.75">
      <c r="D10" s="126" t="s">
        <v>196</v>
      </c>
      <c r="E10" s="284">
        <f>'Res Bill Impact'!E10</f>
        <v>67764318.55888626</v>
      </c>
      <c r="F10" s="123">
        <f>'Res Bill Impact'!F10</f>
        <v>0.50915430016833085</v>
      </c>
      <c r="G10" s="124">
        <f t="shared" si="0"/>
        <v>34502494.19223357</v>
      </c>
      <c r="H10" s="186">
        <f>H9</f>
        <v>0.50915430016833085</v>
      </c>
      <c r="I10" s="124">
        <f t="shared" si="1"/>
        <v>34502494.19223357</v>
      </c>
      <c r="J10" s="186"/>
      <c r="K10" s="312"/>
      <c r="L10" s="125"/>
      <c r="O10" s="126" t="s">
        <v>196</v>
      </c>
      <c r="P10" s="284">
        <f>'Res Bill Impact'!P10</f>
        <v>39092034.521531247</v>
      </c>
      <c r="Q10" s="123">
        <f>'Res Bill Impact'!Q10</f>
        <v>0.33390999999999998</v>
      </c>
      <c r="R10" s="124">
        <f>'Res Bill Impact'!R10</f>
        <v>13053221.247084498</v>
      </c>
      <c r="S10" s="186">
        <f t="shared" si="2"/>
        <v>0.33390999999999998</v>
      </c>
      <c r="T10" s="124">
        <f t="shared" si="3"/>
        <v>13053221.247084498</v>
      </c>
      <c r="U10" s="186"/>
      <c r="V10" s="312"/>
      <c r="W10" s="125"/>
      <c r="X10" s="6" t="s">
        <v>283</v>
      </c>
      <c r="Y10" s="127">
        <f>Y8+Y9</f>
        <v>1645330521</v>
      </c>
      <c r="Z10" s="127">
        <f>Z8+Z9</f>
        <v>1425618710</v>
      </c>
      <c r="AA10" s="127">
        <f>AA8+AA9</f>
        <v>219711811</v>
      </c>
      <c r="AD10" s="51" t="s">
        <v>353</v>
      </c>
      <c r="AE10" s="51"/>
    </row>
    <row r="11" spans="1:31" ht="15.75">
      <c r="D11" s="122" t="s">
        <v>201</v>
      </c>
      <c r="E11" s="284">
        <f>'Res Bill Impact'!E11</f>
        <v>10082634.154664932</v>
      </c>
      <c r="F11" s="123">
        <f>'Res Bill Impact'!F11</f>
        <v>0.50915430016833085</v>
      </c>
      <c r="G11" s="124">
        <f t="shared" si="0"/>
        <v>5133616.5368717331</v>
      </c>
      <c r="H11" s="186">
        <f>F11/F$7*H$7</f>
        <v>0.50915430016833085</v>
      </c>
      <c r="I11" s="124">
        <f t="shared" si="1"/>
        <v>5133616.5368717331</v>
      </c>
      <c r="J11" s="186"/>
      <c r="K11" s="312"/>
      <c r="L11" s="125"/>
      <c r="O11" s="122" t="s">
        <v>201</v>
      </c>
      <c r="P11" s="284">
        <f>'Res Bill Impact'!P11</f>
        <v>2017849.6437090929</v>
      </c>
      <c r="Q11" s="123">
        <f>'Res Bill Impact'!Q11</f>
        <v>0.33390999999999998</v>
      </c>
      <c r="R11" s="124">
        <f>'Res Bill Impact'!R11</f>
        <v>673780.17453090311</v>
      </c>
      <c r="S11" s="186">
        <f t="shared" si="2"/>
        <v>0.33390999999999998</v>
      </c>
      <c r="T11" s="124">
        <f t="shared" si="3"/>
        <v>673780.17453090311</v>
      </c>
      <c r="U11" s="186"/>
      <c r="V11" s="312"/>
      <c r="W11" s="125"/>
      <c r="Y11" s="127"/>
      <c r="AC11" s="141" t="s">
        <v>352</v>
      </c>
      <c r="AD11" s="307" t="s">
        <v>354</v>
      </c>
      <c r="AE11" s="51"/>
    </row>
    <row r="12" spans="1:31" ht="15.75">
      <c r="D12" s="126" t="s">
        <v>196</v>
      </c>
      <c r="E12" s="284">
        <f>'Res Bill Impact'!E12</f>
        <v>8724211.9362895209</v>
      </c>
      <c r="F12" s="123">
        <f>'Res Bill Impact'!F12</f>
        <v>0.50915430016833085</v>
      </c>
      <c r="G12" s="124">
        <f t="shared" si="0"/>
        <v>4441970.0229416899</v>
      </c>
      <c r="H12" s="186">
        <f>H11</f>
        <v>0.50915430016833085</v>
      </c>
      <c r="I12" s="124">
        <f t="shared" si="1"/>
        <v>4441970.0229416899</v>
      </c>
      <c r="J12" s="186"/>
      <c r="K12" s="312"/>
      <c r="L12" s="125"/>
      <c r="O12" s="126" t="s">
        <v>196</v>
      </c>
      <c r="P12" s="284">
        <f>'Res Bill Impact'!P12</f>
        <v>1054317.758514751</v>
      </c>
      <c r="Q12" s="123">
        <f>'Res Bill Impact'!Q12</f>
        <v>0.33390999999999998</v>
      </c>
      <c r="R12" s="124">
        <f>'Res Bill Impact'!R12</f>
        <v>352047.24274566048</v>
      </c>
      <c r="S12" s="186">
        <f t="shared" si="2"/>
        <v>0.33390999999999998</v>
      </c>
      <c r="T12" s="124">
        <f t="shared" si="3"/>
        <v>352047.24274566048</v>
      </c>
      <c r="U12" s="186"/>
      <c r="V12" s="312"/>
      <c r="W12" s="125"/>
      <c r="X12" s="6" t="s">
        <v>410</v>
      </c>
      <c r="Y12" s="307" t="s">
        <v>116</v>
      </c>
      <c r="Z12" s="307" t="s">
        <v>351</v>
      </c>
      <c r="AA12" s="307" t="s">
        <v>3</v>
      </c>
      <c r="AC12" s="6">
        <v>0.43184</v>
      </c>
      <c r="AD12" s="180">
        <f>Y14/100/AC12</f>
        <v>0</v>
      </c>
      <c r="AE12" s="315"/>
    </row>
    <row r="13" spans="1:31" ht="15.75">
      <c r="D13" s="126"/>
      <c r="E13" s="128"/>
      <c r="F13" s="129"/>
      <c r="G13" s="130"/>
      <c r="H13" s="1"/>
      <c r="I13" s="131"/>
      <c r="J13" s="1"/>
      <c r="K13" s="131"/>
      <c r="L13" s="125"/>
      <c r="O13" s="126"/>
      <c r="P13" s="130"/>
      <c r="Q13" s="129"/>
      <c r="R13" s="130"/>
      <c r="S13" s="1"/>
      <c r="T13" s="131"/>
      <c r="U13" s="1"/>
      <c r="V13" s="131"/>
      <c r="X13" s="6" t="s">
        <v>411</v>
      </c>
      <c r="Y13" s="358">
        <f>+Z13+AA13</f>
        <v>38.260999999999996</v>
      </c>
      <c r="Z13" s="358">
        <f>'Res Bill Impact'!Z15</f>
        <v>23.094999999999999</v>
      </c>
      <c r="AA13" s="358">
        <f>'Res Bill Impact'!AA15</f>
        <v>15.166</v>
      </c>
      <c r="AC13" s="314"/>
      <c r="AD13" s="106"/>
      <c r="AE13" s="308"/>
    </row>
    <row r="14" spans="1:31" ht="15.75">
      <c r="D14" s="126"/>
      <c r="E14" s="128"/>
      <c r="F14" s="129"/>
      <c r="G14" s="130"/>
      <c r="H14" s="130"/>
      <c r="I14" s="130"/>
      <c r="J14" s="130"/>
      <c r="K14" s="130"/>
      <c r="L14" s="125"/>
      <c r="O14" s="126"/>
      <c r="P14" s="130"/>
      <c r="Q14" s="129"/>
      <c r="R14" s="130"/>
      <c r="S14" s="130"/>
      <c r="T14" s="130"/>
      <c r="U14" s="130"/>
      <c r="V14" s="130"/>
      <c r="X14" s="6" t="s">
        <v>282</v>
      </c>
      <c r="Y14" s="358">
        <f>+Z14+AA14</f>
        <v>0</v>
      </c>
      <c r="Z14" s="358">
        <f>+Z9/(IF(Summary!D2=2024,'SAR and RAR'!$C$25,'SAR and RAR'!$C$38)*1000)*100</f>
        <v>0</v>
      </c>
      <c r="AA14" s="358">
        <f>+AA9/(IF(Summary!D2=2024,'SAR and RAR'!$E$25,'SAR and RAR'!$E$38)*1000)*100</f>
        <v>0</v>
      </c>
      <c r="AD14" s="51"/>
      <c r="AE14" s="51"/>
    </row>
    <row r="15" spans="1:31" ht="15.75">
      <c r="D15" s="126"/>
      <c r="E15" s="128"/>
      <c r="F15" s="129"/>
      <c r="G15" s="130"/>
      <c r="H15" s="130"/>
      <c r="I15" s="130"/>
      <c r="J15" s="130"/>
      <c r="K15" s="130"/>
      <c r="L15" s="125"/>
      <c r="O15" s="132"/>
      <c r="P15" s="130"/>
      <c r="Q15" s="129"/>
      <c r="R15" s="130"/>
      <c r="S15" s="130"/>
      <c r="T15" s="130"/>
      <c r="U15" s="130"/>
      <c r="V15" s="130"/>
      <c r="X15" s="6" t="s">
        <v>283</v>
      </c>
      <c r="Y15" s="358">
        <f>+Y14+Y13</f>
        <v>38.260999999999996</v>
      </c>
      <c r="Z15" s="358">
        <f>+Z14+Z13</f>
        <v>23.094999999999999</v>
      </c>
      <c r="AA15" s="358">
        <f>+AA14+AA13</f>
        <v>15.166</v>
      </c>
      <c r="AC15" s="51"/>
      <c r="AD15" s="51"/>
      <c r="AE15" s="51"/>
    </row>
    <row r="16" spans="1:31" ht="15.75">
      <c r="P16" s="130"/>
      <c r="Q16" s="129"/>
      <c r="R16" s="130"/>
      <c r="AC16" s="310"/>
      <c r="AD16" s="309"/>
      <c r="AE16" s="310"/>
    </row>
    <row r="17" spans="1:31" ht="15.75">
      <c r="O17" s="133"/>
      <c r="R17" s="130"/>
      <c r="Y17" s="51"/>
      <c r="Z17" s="356"/>
      <c r="AA17" s="356"/>
    </row>
    <row r="18" spans="1:31" ht="15.75">
      <c r="Y18" s="51"/>
      <c r="Z18" s="356"/>
      <c r="AA18" s="356"/>
    </row>
    <row r="19" spans="1:31">
      <c r="B19" s="7"/>
      <c r="P19" s="6" t="str">
        <f>'Res Bill Impact'!P19</f>
        <v>2023 Recorded Data - Average Monthly Usage - BASIC kWh</v>
      </c>
      <c r="AD19" s="51"/>
      <c r="AE19" s="51"/>
    </row>
    <row r="20" spans="1:31">
      <c r="B20" s="134" t="s">
        <v>224</v>
      </c>
      <c r="C20" s="134"/>
      <c r="E20" s="135"/>
      <c r="F20" s="135"/>
      <c r="H20" s="134" t="s">
        <v>294</v>
      </c>
      <c r="I20" s="134"/>
      <c r="J20" s="134"/>
      <c r="K20" s="134" t="s">
        <v>293</v>
      </c>
      <c r="L20" s="134"/>
      <c r="M20" s="134"/>
      <c r="N20" s="134"/>
      <c r="P20" s="136" t="s">
        <v>204</v>
      </c>
      <c r="Q20" s="137" t="s">
        <v>205</v>
      </c>
      <c r="R20" s="137" t="s">
        <v>206</v>
      </c>
      <c r="S20" s="137" t="s">
        <v>205</v>
      </c>
      <c r="T20" s="137" t="s">
        <v>206</v>
      </c>
      <c r="U20" s="546" t="s">
        <v>209</v>
      </c>
      <c r="V20" s="547"/>
      <c r="AD20" s="51"/>
      <c r="AE20" s="51"/>
    </row>
    <row r="21" spans="1:31">
      <c r="B21" s="138" t="s">
        <v>188</v>
      </c>
      <c r="C21" s="139" t="str">
        <f>'Res Bill Impact'!C21</f>
        <v>1/1/2024</v>
      </c>
      <c r="D21" s="139" t="str">
        <f>'Res Bill Impact'!D21</f>
        <v>3/1/2024</v>
      </c>
      <c r="E21" s="140" t="s">
        <v>187</v>
      </c>
      <c r="F21" s="135"/>
      <c r="H21" s="141" t="s">
        <v>204</v>
      </c>
      <c r="I21" s="141" t="s">
        <v>205</v>
      </c>
      <c r="J21" s="141" t="s">
        <v>206</v>
      </c>
      <c r="K21" s="141" t="s">
        <v>204</v>
      </c>
      <c r="L21" s="141" t="s">
        <v>205</v>
      </c>
      <c r="M21" s="141" t="s">
        <v>206</v>
      </c>
      <c r="P21" s="57"/>
      <c r="Q21" s="537" t="s">
        <v>162</v>
      </c>
      <c r="R21" s="539"/>
      <c r="S21" s="537" t="s">
        <v>163</v>
      </c>
      <c r="T21" s="539"/>
      <c r="U21" s="51" t="s">
        <v>162</v>
      </c>
      <c r="V21" s="51" t="s">
        <v>163</v>
      </c>
      <c r="AD21" s="315"/>
      <c r="AE21" s="315"/>
    </row>
    <row r="22" spans="1:31">
      <c r="A22" s="6" t="s">
        <v>205</v>
      </c>
      <c r="B22" s="142" t="s">
        <v>207</v>
      </c>
      <c r="C22" s="145">
        <f>'Res Bill Impact'!C22</f>
        <v>0.38384750952509178</v>
      </c>
      <c r="D22" s="145">
        <f>'Res Bill Impact'!D22</f>
        <v>0.40437175004956721</v>
      </c>
      <c r="E22" s="145">
        <f>H7</f>
        <v>0.40437175004956721</v>
      </c>
      <c r="F22" s="289"/>
      <c r="H22" s="6" t="s">
        <v>131</v>
      </c>
      <c r="I22" s="168">
        <f>'Res Bill Impact'!I22</f>
        <v>351</v>
      </c>
      <c r="J22" s="168">
        <f>'Res Bill Impact'!J22</f>
        <v>359</v>
      </c>
      <c r="K22" s="6" t="s">
        <v>131</v>
      </c>
      <c r="L22" s="168">
        <f>'Res Bill Impact'!L22</f>
        <v>235</v>
      </c>
      <c r="M22" s="168">
        <f>'Res Bill Impact'!M22</f>
        <v>343</v>
      </c>
      <c r="N22" s="127"/>
      <c r="P22" s="146" t="s">
        <v>131</v>
      </c>
      <c r="Q22" s="147">
        <f>'Res Bill Impact'!Q22</f>
        <v>328.11371100000002</v>
      </c>
      <c r="R22" s="147">
        <f>'Res Bill Impact'!R22</f>
        <v>322.03055999999998</v>
      </c>
      <c r="S22" s="147">
        <f>'Res Bill Impact'!S22</f>
        <v>316.79218400000002</v>
      </c>
      <c r="T22" s="147">
        <f>'Res Bill Impact'!T22</f>
        <v>308.01969600000001</v>
      </c>
      <c r="U22" s="227">
        <f>'Res Bill Impact'!U22</f>
        <v>0.59597451441721483</v>
      </c>
      <c r="V22" s="227">
        <f>'Res Bill Impact'!V22</f>
        <v>0.51298276797655107</v>
      </c>
    </row>
    <row r="23" spans="1:31">
      <c r="B23" s="142" t="s">
        <v>208</v>
      </c>
      <c r="C23" s="145">
        <f>'Res Bill Impact'!C23</f>
        <v>0.48331173000994354</v>
      </c>
      <c r="D23" s="145">
        <f>'Res Bill Impact'!D23</f>
        <v>0.50915430016833085</v>
      </c>
      <c r="E23" s="145">
        <f>H9</f>
        <v>0.50915430016833085</v>
      </c>
      <c r="F23" s="289"/>
      <c r="H23" s="6" t="s">
        <v>210</v>
      </c>
      <c r="I23" s="168">
        <f>'Res Bill Impact'!I23</f>
        <v>530</v>
      </c>
      <c r="J23" s="168">
        <f>'Res Bill Impact'!J23</f>
        <v>503</v>
      </c>
      <c r="K23" s="6" t="s">
        <v>210</v>
      </c>
      <c r="L23" s="168">
        <f>'Res Bill Impact'!L23</f>
        <v>593</v>
      </c>
      <c r="M23" s="168">
        <f>'Res Bill Impact'!M23</f>
        <v>863</v>
      </c>
      <c r="N23" s="127"/>
      <c r="P23" s="149" t="s">
        <v>210</v>
      </c>
      <c r="Q23" s="147">
        <f>'Res Bill Impact'!Q23</f>
        <v>353.41198100000003</v>
      </c>
      <c r="R23" s="147">
        <f>'Res Bill Impact'!R23</f>
        <v>356.41607499999998</v>
      </c>
      <c r="S23" s="147">
        <f>'Res Bill Impact'!S23</f>
        <v>566.76098300000001</v>
      </c>
      <c r="T23" s="147">
        <f>'Res Bill Impact'!T23</f>
        <v>613.46689600000002</v>
      </c>
      <c r="U23" s="227">
        <f>'Res Bill Impact'!U23</f>
        <v>8.63830737261502E-3</v>
      </c>
      <c r="V23" s="227">
        <f>'Res Bill Impact'!V23</f>
        <v>7.9985985361539225E-3</v>
      </c>
    </row>
    <row r="24" spans="1:31">
      <c r="B24" s="142"/>
      <c r="C24" s="145"/>
      <c r="D24" s="145"/>
      <c r="E24" s="145"/>
      <c r="F24" s="289"/>
      <c r="H24" s="6" t="s">
        <v>211</v>
      </c>
      <c r="I24" s="168">
        <f>'Res Bill Impact'!I24</f>
        <v>620</v>
      </c>
      <c r="J24" s="168">
        <f>'Res Bill Impact'!J24</f>
        <v>425</v>
      </c>
      <c r="K24" s="6" t="s">
        <v>211</v>
      </c>
      <c r="L24" s="168">
        <f>'Res Bill Impact'!L24</f>
        <v>662</v>
      </c>
      <c r="M24" s="168">
        <f>'Res Bill Impact'!M24</f>
        <v>667</v>
      </c>
      <c r="N24" s="127"/>
      <c r="P24" s="149" t="s">
        <v>211</v>
      </c>
      <c r="Q24" s="147">
        <f>'Res Bill Impact'!Q24</f>
        <v>357.81761699999998</v>
      </c>
      <c r="R24" s="147">
        <f>'Res Bill Impact'!R24</f>
        <v>190.66869500000001</v>
      </c>
      <c r="S24" s="147">
        <f>'Res Bill Impact'!S24</f>
        <v>611.78059699999994</v>
      </c>
      <c r="T24" s="147">
        <f>'Res Bill Impact'!T24</f>
        <v>367.86298599999998</v>
      </c>
      <c r="U24" s="227">
        <f>'Res Bill Impact'!U24</f>
        <v>1.1886566094950234E-3</v>
      </c>
      <c r="V24" s="227">
        <f>'Res Bill Impact'!V24</f>
        <v>1.5125554924137225E-3</v>
      </c>
    </row>
    <row r="25" spans="1:31">
      <c r="A25" s="221" t="s">
        <v>206</v>
      </c>
      <c r="B25" s="228" t="s">
        <v>207</v>
      </c>
      <c r="C25" s="229">
        <f>'Res Bill Impact'!C25</f>
        <v>0.38384750952509178</v>
      </c>
      <c r="D25" s="229">
        <f>'Res Bill Impact'!D25</f>
        <v>0.40437175004956721</v>
      </c>
      <c r="E25" s="229">
        <f>H8</f>
        <v>0.40437175004956721</v>
      </c>
      <c r="F25" s="289"/>
      <c r="H25" s="6" t="s">
        <v>212</v>
      </c>
      <c r="I25" s="168">
        <f>'Res Bill Impact'!I25</f>
        <v>406</v>
      </c>
      <c r="J25" s="168">
        <f>'Res Bill Impact'!J25</f>
        <v>374</v>
      </c>
      <c r="K25" s="6" t="s">
        <v>212</v>
      </c>
      <c r="L25" s="168">
        <f>'Res Bill Impact'!L25</f>
        <v>341</v>
      </c>
      <c r="M25" s="168">
        <f>'Res Bill Impact'!M25</f>
        <v>475</v>
      </c>
      <c r="N25" s="127"/>
      <c r="P25" s="152" t="s">
        <v>212</v>
      </c>
      <c r="Q25" s="153">
        <f>'Res Bill Impact'!Q25</f>
        <v>324.861941</v>
      </c>
      <c r="R25" s="153">
        <f>'Res Bill Impact'!R25</f>
        <v>287.40318300000001</v>
      </c>
      <c r="S25" s="153">
        <f>'Res Bill Impact'!S25</f>
        <v>408.99671999999998</v>
      </c>
      <c r="T25" s="153">
        <f>'Res Bill Impact'!T25</f>
        <v>353.59490899999997</v>
      </c>
      <c r="U25" s="227">
        <f>'Res Bill Impact'!U25</f>
        <v>0.39419852160067514</v>
      </c>
      <c r="V25" s="227">
        <f>'Res Bill Impact'!V25</f>
        <v>0.47750607799488126</v>
      </c>
    </row>
    <row r="26" spans="1:31">
      <c r="A26" s="221"/>
      <c r="B26" s="228" t="s">
        <v>208</v>
      </c>
      <c r="C26" s="229">
        <f>'Res Bill Impact'!C26</f>
        <v>0.48331173000994354</v>
      </c>
      <c r="D26" s="229">
        <f>'Res Bill Impact'!D26</f>
        <v>0.50915430016833085</v>
      </c>
      <c r="E26" s="229">
        <f>H10</f>
        <v>0.50915430016833085</v>
      </c>
      <c r="F26" s="289"/>
      <c r="I26" s="127"/>
      <c r="J26" s="127"/>
      <c r="M26" s="127"/>
      <c r="N26" s="127"/>
      <c r="Q26" s="158"/>
      <c r="R26" s="158"/>
      <c r="S26" s="158"/>
      <c r="T26" s="158"/>
      <c r="U26" s="230"/>
      <c r="V26" s="230"/>
    </row>
    <row r="27" spans="1:31">
      <c r="A27" s="221"/>
      <c r="B27" s="228"/>
      <c r="C27" s="229"/>
      <c r="D27" s="229"/>
      <c r="E27" s="229"/>
      <c r="F27" s="289"/>
      <c r="I27" s="127"/>
      <c r="J27" s="127"/>
      <c r="M27" s="127"/>
      <c r="N27" s="127"/>
      <c r="Q27" s="158"/>
      <c r="R27" s="158"/>
      <c r="S27" s="158"/>
      <c r="T27" s="158"/>
      <c r="U27" s="230"/>
      <c r="V27" s="230"/>
    </row>
    <row r="28" spans="1:31">
      <c r="I28" s="127"/>
      <c r="J28" s="127"/>
      <c r="M28" s="127"/>
      <c r="N28" s="127"/>
      <c r="P28" s="6" t="str">
        <f>'Res Bill Impact'!P28</f>
        <v>2023 Recorded Data - Average Monthly Usage - ALL-ELECTRIC kWh</v>
      </c>
    </row>
    <row r="29" spans="1:31">
      <c r="B29" s="134" t="s">
        <v>225</v>
      </c>
      <c r="C29" s="134"/>
      <c r="D29" s="134"/>
      <c r="E29" s="135"/>
      <c r="F29" s="135"/>
      <c r="H29" s="134" t="s">
        <v>287</v>
      </c>
      <c r="I29" s="134"/>
      <c r="J29" s="134"/>
      <c r="K29" s="134" t="s">
        <v>286</v>
      </c>
      <c r="L29" s="134"/>
      <c r="M29" s="134"/>
      <c r="N29" s="127"/>
      <c r="P29" s="136" t="s">
        <v>204</v>
      </c>
      <c r="Q29" s="137" t="s">
        <v>205</v>
      </c>
      <c r="R29" s="137" t="s">
        <v>206</v>
      </c>
      <c r="S29" s="137" t="s">
        <v>205</v>
      </c>
      <c r="T29" s="137" t="s">
        <v>206</v>
      </c>
      <c r="U29" s="546" t="s">
        <v>209</v>
      </c>
      <c r="V29" s="547"/>
    </row>
    <row r="30" spans="1:31">
      <c r="B30" s="138" t="s">
        <v>188</v>
      </c>
      <c r="C30" s="139" t="str">
        <f>C21</f>
        <v>1/1/2024</v>
      </c>
      <c r="D30" s="139" t="str">
        <f>D21</f>
        <v>3/1/2024</v>
      </c>
      <c r="E30" s="140" t="s">
        <v>187</v>
      </c>
      <c r="F30" s="135"/>
      <c r="H30" s="141" t="s">
        <v>204</v>
      </c>
      <c r="I30" s="141" t="s">
        <v>205</v>
      </c>
      <c r="J30" s="141" t="s">
        <v>206</v>
      </c>
      <c r="K30" s="141" t="s">
        <v>204</v>
      </c>
      <c r="L30" s="141" t="s">
        <v>205</v>
      </c>
      <c r="M30" s="141" t="s">
        <v>206</v>
      </c>
      <c r="N30" s="127"/>
      <c r="P30" s="57"/>
      <c r="Q30" s="537" t="s">
        <v>162</v>
      </c>
      <c r="R30" s="539"/>
      <c r="S30" s="537" t="s">
        <v>163</v>
      </c>
      <c r="T30" s="539"/>
      <c r="U30" s="51" t="s">
        <v>162</v>
      </c>
      <c r="V30" s="51" t="s">
        <v>163</v>
      </c>
    </row>
    <row r="31" spans="1:31">
      <c r="A31" s="6" t="s">
        <v>205</v>
      </c>
      <c r="B31" s="142" t="s">
        <v>207</v>
      </c>
      <c r="C31" s="144">
        <f>'Res Bill Impact'!C31</f>
        <v>0.24904999999999999</v>
      </c>
      <c r="D31" s="145">
        <f>'Res Bill Impact'!D31</f>
        <v>0.26238</v>
      </c>
      <c r="E31" s="145">
        <f>S7</f>
        <v>0.26238</v>
      </c>
      <c r="F31" s="289"/>
      <c r="H31" s="6" t="s">
        <v>131</v>
      </c>
      <c r="I31" s="168">
        <f>'Res Bill Impact'!I31</f>
        <v>270</v>
      </c>
      <c r="J31" s="168">
        <f>'Res Bill Impact'!J31</f>
        <v>276</v>
      </c>
      <c r="K31" s="6" t="s">
        <v>131</v>
      </c>
      <c r="L31" s="168">
        <f>'Res Bill Impact'!L31</f>
        <v>181</v>
      </c>
      <c r="M31" s="168">
        <f>'Res Bill Impact'!M31</f>
        <v>264</v>
      </c>
      <c r="N31" s="127"/>
      <c r="P31" s="146" t="s">
        <v>131</v>
      </c>
      <c r="Q31" s="147">
        <f>'Res Bill Impact'!Q31</f>
        <v>285.89174300000002</v>
      </c>
      <c r="R31" s="147">
        <f>'Res Bill Impact'!R31</f>
        <v>293.17082599999998</v>
      </c>
      <c r="S31" s="147">
        <f>'Res Bill Impact'!S31</f>
        <v>286.85188599999998</v>
      </c>
      <c r="T31" s="147">
        <f>'Res Bill Impact'!T31</f>
        <v>296.07458700000001</v>
      </c>
      <c r="U31" s="227">
        <f>'Res Bill Impact'!U31</f>
        <v>0.5836494123707695</v>
      </c>
      <c r="V31" s="227">
        <f>'Res Bill Impact'!V31</f>
        <v>0.44739929605005868</v>
      </c>
    </row>
    <row r="32" spans="1:31">
      <c r="B32" s="142" t="s">
        <v>208</v>
      </c>
      <c r="C32" s="144">
        <f>'Res Bill Impact'!C32</f>
        <v>0.31713000000000002</v>
      </c>
      <c r="D32" s="145">
        <f>'Res Bill Impact'!D32</f>
        <v>0.33390999999999998</v>
      </c>
      <c r="E32" s="145">
        <f>S9</f>
        <v>0.33390999999999998</v>
      </c>
      <c r="F32" s="289"/>
      <c r="H32" s="6" t="s">
        <v>210</v>
      </c>
      <c r="I32" s="168">
        <f>'Res Bill Impact'!I32</f>
        <v>408</v>
      </c>
      <c r="J32" s="168">
        <f>'Res Bill Impact'!J32</f>
        <v>387</v>
      </c>
      <c r="K32" s="6" t="s">
        <v>210</v>
      </c>
      <c r="L32" s="168">
        <f>'Res Bill Impact'!L32</f>
        <v>456</v>
      </c>
      <c r="M32" s="168">
        <f>'Res Bill Impact'!M32</f>
        <v>664</v>
      </c>
      <c r="N32" s="127"/>
      <c r="P32" s="149" t="s">
        <v>210</v>
      </c>
      <c r="Q32" s="147">
        <f>'Res Bill Impact'!Q32</f>
        <v>380.07318400000003</v>
      </c>
      <c r="R32" s="147">
        <f>'Res Bill Impact'!R32</f>
        <v>541.72986900000001</v>
      </c>
      <c r="S32" s="147">
        <f>'Res Bill Impact'!S32</f>
        <v>580.93037400000003</v>
      </c>
      <c r="T32" s="147">
        <f>'Res Bill Impact'!T32</f>
        <v>788.42053199999998</v>
      </c>
      <c r="U32" s="227">
        <f>'Res Bill Impact'!U32</f>
        <v>2.2944560326062253E-2</v>
      </c>
      <c r="V32" s="227">
        <f>'Res Bill Impact'!V32</f>
        <v>1.3276776671379721E-2</v>
      </c>
    </row>
    <row r="33" spans="1:27">
      <c r="B33" s="142"/>
      <c r="C33" s="144"/>
      <c r="D33" s="145"/>
      <c r="E33" s="145"/>
      <c r="F33" s="289"/>
      <c r="H33" s="6" t="s">
        <v>211</v>
      </c>
      <c r="I33" s="168">
        <f>'Res Bill Impact'!I33</f>
        <v>477</v>
      </c>
      <c r="J33" s="168">
        <f>'Res Bill Impact'!J33</f>
        <v>327</v>
      </c>
      <c r="K33" s="6" t="s">
        <v>211</v>
      </c>
      <c r="L33" s="168">
        <f>'Res Bill Impact'!L33</f>
        <v>509</v>
      </c>
      <c r="M33" s="168">
        <f>'Res Bill Impact'!M33</f>
        <v>513</v>
      </c>
      <c r="N33" s="127"/>
      <c r="P33" s="149" t="s">
        <v>211</v>
      </c>
      <c r="Q33" s="147">
        <f>'Res Bill Impact'!Q33</f>
        <v>310.38509499999998</v>
      </c>
      <c r="R33" s="147">
        <f>'Res Bill Impact'!R33</f>
        <v>265.54075399999999</v>
      </c>
      <c r="S33" s="147">
        <f>'Res Bill Impact'!S33</f>
        <v>688.22507099999996</v>
      </c>
      <c r="T33" s="147">
        <f>'Res Bill Impact'!T33</f>
        <v>501.174193</v>
      </c>
      <c r="U33" s="227">
        <f>'Res Bill Impact'!U33</f>
        <v>6.2222536477456953E-3</v>
      </c>
      <c r="V33" s="227">
        <f>'Res Bill Impact'!V33</f>
        <v>3.5698885913981728E-3</v>
      </c>
    </row>
    <row r="34" spans="1:27">
      <c r="A34" s="221" t="s">
        <v>206</v>
      </c>
      <c r="B34" s="228" t="s">
        <v>207</v>
      </c>
      <c r="C34" s="229">
        <f>'Res Bill Impact'!C34</f>
        <v>0.24904999999999999</v>
      </c>
      <c r="D34" s="229">
        <f>'Res Bill Impact'!D34</f>
        <v>0.26238</v>
      </c>
      <c r="E34" s="229">
        <f>S8</f>
        <v>0.26238</v>
      </c>
      <c r="F34" s="289"/>
      <c r="H34" s="6" t="s">
        <v>212</v>
      </c>
      <c r="I34" s="168">
        <f>'Res Bill Impact'!I34</f>
        <v>312</v>
      </c>
      <c r="J34" s="168">
        <f>'Res Bill Impact'!J34</f>
        <v>288</v>
      </c>
      <c r="K34" s="6" t="s">
        <v>212</v>
      </c>
      <c r="L34" s="168">
        <f>'Res Bill Impact'!L34</f>
        <v>262</v>
      </c>
      <c r="M34" s="168">
        <f>'Res Bill Impact'!M34</f>
        <v>365</v>
      </c>
      <c r="N34" s="127"/>
      <c r="P34" s="152" t="s">
        <v>212</v>
      </c>
      <c r="Q34" s="153">
        <f>'Res Bill Impact'!Q34</f>
        <v>341.15286800000001</v>
      </c>
      <c r="R34" s="153">
        <f>'Res Bill Impact'!R34</f>
        <v>372.55017700000002</v>
      </c>
      <c r="S34" s="153">
        <f>'Res Bill Impact'!S34</f>
        <v>383.97805</v>
      </c>
      <c r="T34" s="153">
        <f>'Res Bill Impact'!T34</f>
        <v>365.96839499999999</v>
      </c>
      <c r="U34" s="227">
        <f>'Res Bill Impact'!U34</f>
        <v>0.3871837736554225</v>
      </c>
      <c r="V34" s="227">
        <f>'Res Bill Impact'!V34</f>
        <v>0.53575403868716343</v>
      </c>
    </row>
    <row r="35" spans="1:27">
      <c r="A35" s="221"/>
      <c r="B35" s="228" t="s">
        <v>208</v>
      </c>
      <c r="C35" s="229">
        <f>'Res Bill Impact'!C35</f>
        <v>0.31713000000000002</v>
      </c>
      <c r="D35" s="229">
        <f>'Res Bill Impact'!D35</f>
        <v>0.33390999999999998</v>
      </c>
      <c r="E35" s="229">
        <f>S10</f>
        <v>0.33390999999999998</v>
      </c>
      <c r="F35" s="289"/>
      <c r="I35" s="127"/>
      <c r="J35" s="127"/>
      <c r="M35" s="127"/>
      <c r="N35" s="127"/>
      <c r="Q35" s="158"/>
      <c r="R35" s="158"/>
      <c r="S35" s="158"/>
      <c r="T35" s="158"/>
      <c r="U35" s="230"/>
      <c r="V35" s="230"/>
    </row>
    <row r="36" spans="1:27">
      <c r="A36" s="221"/>
      <c r="B36" s="228"/>
      <c r="C36" s="229"/>
      <c r="D36" s="229"/>
      <c r="E36" s="229"/>
      <c r="F36" s="289"/>
      <c r="I36" s="127"/>
      <c r="J36" s="127"/>
      <c r="M36" s="127"/>
      <c r="N36" s="127"/>
      <c r="Q36" s="158"/>
      <c r="R36" s="158"/>
      <c r="S36" s="158"/>
      <c r="T36" s="158"/>
      <c r="U36" s="230"/>
      <c r="V36" s="230"/>
    </row>
    <row r="37" spans="1:27">
      <c r="B37" s="7"/>
      <c r="C37" s="231"/>
      <c r="D37" s="231"/>
      <c r="E37" s="232"/>
      <c r="F37" s="232"/>
      <c r="I37" s="127"/>
      <c r="J37" s="127"/>
      <c r="M37" s="127"/>
      <c r="N37" s="127"/>
      <c r="Q37" s="158"/>
      <c r="R37" s="158"/>
      <c r="S37" s="158"/>
      <c r="T37" s="158"/>
      <c r="U37" s="230"/>
      <c r="V37" s="230"/>
    </row>
    <row r="38" spans="1:27">
      <c r="B38" s="7"/>
      <c r="C38" s="231"/>
      <c r="D38" s="231"/>
      <c r="E38" s="232"/>
      <c r="F38" s="232"/>
    </row>
    <row r="39" spans="1:27" ht="18.75">
      <c r="A39" s="280"/>
      <c r="B39" s="558" t="s">
        <v>280</v>
      </c>
      <c r="C39" s="558"/>
      <c r="D39" s="558"/>
      <c r="E39" s="558"/>
      <c r="F39" s="558"/>
      <c r="G39" s="558"/>
      <c r="H39" s="558"/>
      <c r="I39" s="280"/>
      <c r="J39" s="280"/>
      <c r="N39" s="56"/>
    </row>
    <row r="40" spans="1:27">
      <c r="B40" s="7"/>
      <c r="C40" s="541" t="s">
        <v>400</v>
      </c>
      <c r="D40" s="541"/>
      <c r="E40" s="541"/>
      <c r="F40" s="541"/>
      <c r="G40" s="541"/>
      <c r="H40" s="541"/>
      <c r="L40" s="541" t="s">
        <v>401</v>
      </c>
      <c r="M40" s="541"/>
      <c r="N40" s="541"/>
      <c r="O40" s="541"/>
      <c r="P40" s="541"/>
      <c r="Q40" s="541"/>
    </row>
    <row r="41" spans="1:27">
      <c r="B41" s="7"/>
      <c r="C41" s="556" t="str">
        <f>C30</f>
        <v>1/1/2024</v>
      </c>
      <c r="D41" s="556"/>
      <c r="E41" s="557" t="str">
        <f>D30</f>
        <v>3/1/2024</v>
      </c>
      <c r="F41" s="556"/>
      <c r="G41" s="556" t="str">
        <f>E30</f>
        <v>Proposed</v>
      </c>
      <c r="H41" s="556"/>
      <c r="I41" s="557"/>
      <c r="J41" s="556"/>
      <c r="K41" s="7"/>
      <c r="L41" s="297" t="str">
        <f>C41</f>
        <v>1/1/2024</v>
      </c>
      <c r="M41" s="297"/>
      <c r="N41" s="298" t="str">
        <f>E41</f>
        <v>3/1/2024</v>
      </c>
      <c r="O41" s="297"/>
      <c r="P41" s="297" t="str">
        <f>G41</f>
        <v>Proposed</v>
      </c>
      <c r="Q41" s="297"/>
    </row>
    <row r="42" spans="1:27">
      <c r="B42" s="7"/>
      <c r="C42" s="231" t="s">
        <v>205</v>
      </c>
      <c r="D42" s="231" t="s">
        <v>206</v>
      </c>
      <c r="E42" s="231" t="s">
        <v>205</v>
      </c>
      <c r="F42" s="231" t="s">
        <v>206</v>
      </c>
      <c r="G42" s="231" t="s">
        <v>205</v>
      </c>
      <c r="H42" s="231" t="s">
        <v>206</v>
      </c>
      <c r="I42" s="231"/>
      <c r="J42" s="231"/>
      <c r="K42" s="7"/>
      <c r="L42" s="231" t="s">
        <v>205</v>
      </c>
      <c r="M42" s="231" t="s">
        <v>206</v>
      </c>
      <c r="N42" s="231" t="s">
        <v>205</v>
      </c>
      <c r="O42" s="231" t="s">
        <v>206</v>
      </c>
      <c r="P42" s="231" t="s">
        <v>205</v>
      </c>
      <c r="Q42" s="231" t="s">
        <v>206</v>
      </c>
    </row>
    <row r="43" spans="1:27">
      <c r="B43" s="146" t="s">
        <v>131</v>
      </c>
      <c r="C43" s="233">
        <f>IF($Q22&gt;$I22,C$22*$I22+C$23*($Q22-$I22),$Q22*C$22)+('Hypothetical SAR and RAR'!$C$21*$Q22)</f>
        <v>126.27374451938572</v>
      </c>
      <c r="D43" s="233">
        <f>IF($R22&gt;$J22,C$25*$J22+C$26*($R22-$J22),$R22*C$25)+('Hypothetical SAR and RAR'!$C$21*$R22)</f>
        <v>123.93265900697064</v>
      </c>
      <c r="E43" s="233">
        <f>IF($Q22&gt;$I22,D$22*$I22+D$23*($Q22-$I22),$Q22*D$22)+('Hypothetical SAR and RAR'!$C$21*$Q22)</f>
        <v>133.00802924332794</v>
      </c>
      <c r="F43" s="233">
        <f>IF($R22&gt;$J22,D$25*$J22+D$26*($R22-$J22),$R22*D$25)+('Hypothetical SAR and RAR'!$C$21*$R22)</f>
        <v>130.54209167664214</v>
      </c>
      <c r="G43" s="233">
        <f>IF($Q22&gt;$I22,E$22*$I22+E$23*($Q22-$I22),$Q22*E$22)+('Hypothetical SAR and RAR'!$C$21*$Q22)</f>
        <v>133.00802924332794</v>
      </c>
      <c r="H43" s="233">
        <f>IF($R22&gt;$J22,E$25*$J22+E$26*($R22-$J22),$R22*E$25)+('Hypothetical SAR and RAR'!$C$21*$R22)</f>
        <v>130.54209167664214</v>
      </c>
      <c r="I43" s="290"/>
      <c r="J43" s="290"/>
      <c r="K43" s="146" t="s">
        <v>131</v>
      </c>
      <c r="L43" s="233">
        <f>IF($Q31&gt;$L22,C$22*$L22+C$23*($Q31-$L22),$Q31*C$22)+('Hypothetical SAR and RAR'!$C$21*$Q31)</f>
        <v>115.086632833948</v>
      </c>
      <c r="M43" s="233">
        <f>IF($R31&gt;$M22,C$25*$M22+C$26*($R31-$M22),$R31*C$25)+('Hypothetical SAR and RAR'!$C$21*$R31)</f>
        <v>112.826062251514</v>
      </c>
      <c r="N43" s="233">
        <f>IF($Q31&gt;$L22,D$22*$L22+D$23*($Q31-$L22),$Q31*D$22)+('Hypothetical SAR and RAR'!$C$21*$Q31)</f>
        <v>121.22500279615984</v>
      </c>
      <c r="O43" s="233">
        <f>IF($R31&gt;$M22,D$22*$M22+D$23*($R31-$M22),$R31*D$22)+('Hypothetical SAR and RAR'!$C$21*$R31)</f>
        <v>118.84317079909715</v>
      </c>
      <c r="P43" s="233">
        <f>IF($Q31&gt;$L22,E$22*$L22+E$23*($Q31-$L22),$Q31*E$22)+('Hypothetical SAR and RAR'!$C$21*$Q31)</f>
        <v>121.22500279615984</v>
      </c>
      <c r="Q43" s="233">
        <f>IF($R31&gt;$M22,E$25*$M22+E$26*($R31-$M22),$R31*E$25)+('Hypothetical SAR and RAR'!$C$21*$R31)</f>
        <v>118.84317079909715</v>
      </c>
      <c r="S43" s="299"/>
    </row>
    <row r="44" spans="1:27">
      <c r="B44" s="149" t="s">
        <v>210</v>
      </c>
      <c r="C44" s="233">
        <f>IF($Q23&gt;$I23,C$22*$I23+C$23*($Q23-$I23),$Q23*C$22)+('Hypothetical SAR and RAR'!$C$21*$Q23)</f>
        <v>136.00972072417906</v>
      </c>
      <c r="D44" s="233">
        <f>IF($R23&gt;$J23,C$25*$J23+C$26*($R23-$J23),$R23*C$25)+('Hypothetical SAR and RAR'!$C$21*$R23)</f>
        <v>137.16583881845833</v>
      </c>
      <c r="E44" s="233">
        <f>IF($Q23&gt;$I23,D$22*$I23+D$23*($Q23-$I23),$Q23*D$22)+('Hypothetical SAR and RAR'!$C$21*$Q23)</f>
        <v>143.26323322645439</v>
      </c>
      <c r="F44" s="233">
        <f>IF($R23&gt;$J23,D$25*$J23+D$26*($R23-$J23),$R23*D$25)+('Hypothetical SAR and RAR'!$C$21*$R23)</f>
        <v>144.48100806854779</v>
      </c>
      <c r="G44" s="233">
        <f>IF($Q23&gt;$I23,E$22*$I23+E$23*($Q23-$I23),$Q23*E$22)+('Hypothetical SAR and RAR'!$C$21*$Q23)</f>
        <v>143.26323322645439</v>
      </c>
      <c r="H44" s="233">
        <f>IF($R23&gt;$J23,E$25*$J23+E$26*($R23-$J23),$R23*E$25)+('Hypothetical SAR and RAR'!$C$21*$R23)</f>
        <v>144.48100806854779</v>
      </c>
      <c r="I44" s="290"/>
      <c r="J44" s="290"/>
      <c r="K44" s="149" t="s">
        <v>210</v>
      </c>
      <c r="L44" s="233">
        <f>IF($Q32&gt;$L23,C$22*$L23+C$23*($Q32-$L23),$Q32*C$22)+('Hypothetical SAR and RAR'!$C$21*$Q32)</f>
        <v>146.27021829967197</v>
      </c>
      <c r="M44" s="233">
        <f>IF($R32&gt;$M23,C$25*$M23+C$26*($R32-$M23),$R32*C$25)+('Hypothetical SAR and RAR'!$C$21*$R32)</f>
        <v>208.48339092000421</v>
      </c>
      <c r="N44" s="233">
        <f>IF($Q32&gt;$L23,D$22*$L23+D$23*($Q32-$L23),$Q32*D$22)+('Hypothetical SAR and RAR'!$C$21*$Q32)</f>
        <v>154.07093174499119</v>
      </c>
      <c r="O44" s="233">
        <f>IF($R32&gt;$M23,D$22*$M23+D$23*($R32-$M23),$R32*D$22)+('Hypothetical SAR and RAR'!$C$21*$R32)</f>
        <v>219.60198505065279</v>
      </c>
      <c r="P44" s="233">
        <f>IF($Q32&gt;$L23,E$22*$L23+E$23*($Q32-$L23),$Q32*E$22)+('Hypothetical SAR and RAR'!$C$21*$Q32)</f>
        <v>154.07093174499119</v>
      </c>
      <c r="Q44" s="233">
        <f>IF($R32&gt;$M23,E$25*$M23+E$26*($R32-$M23),$R32*E$25)+('Hypothetical SAR and RAR'!$C$21*$R32)</f>
        <v>219.60198505065279</v>
      </c>
    </row>
    <row r="45" spans="1:27">
      <c r="B45" s="149" t="s">
        <v>211</v>
      </c>
      <c r="C45" s="233">
        <f>IF($Q24&gt;$I24,C$22*$I24+C$23*($Q24-$I24),$Q24*C$22)+('Hypothetical SAR and RAR'!$C$21*$Q24)</f>
        <v>137.70521876665313</v>
      </c>
      <c r="D45" s="233">
        <f>IF($R24&gt;$J24,C$25*$J24+C$26*($R24-$J24),$R24*C$25)+('Hypothetical SAR and RAR'!$C$21*$R24)</f>
        <v>73.378372415149329</v>
      </c>
      <c r="E45" s="233">
        <f>IF($Q24&gt;$I24,D$22*$I24+D$23*($Q24-$I24),$Q24*D$22)+('Hypothetical SAR and RAR'!$C$21*$Q24)</f>
        <v>145.04915360185575</v>
      </c>
      <c r="F45" s="233">
        <f>IF($R24&gt;$J24,D$25*$J24+D$26*($R24-$J24),$R24*D$25)+('Hypothetical SAR and RAR'!$C$21*$R24)</f>
        <v>77.291702571817169</v>
      </c>
      <c r="G45" s="233">
        <f>IF($Q24&gt;$I24,E$22*$I24+E$23*($Q24-$I24),$Q24*E$22)+('Hypothetical SAR and RAR'!$C$21*$Q24)</f>
        <v>145.04915360185575</v>
      </c>
      <c r="H45" s="233">
        <f>IF($R24&gt;$J24,E$25*$J24+E$26*($R24-$J24),$R24*E$25)+('Hypothetical SAR and RAR'!$C$21*$R24)</f>
        <v>77.291702571817169</v>
      </c>
      <c r="I45" s="290"/>
      <c r="J45" s="290"/>
      <c r="K45" s="149" t="s">
        <v>211</v>
      </c>
      <c r="L45" s="233">
        <f>IF($Q33&gt;$L24,C$22*$L24+C$23*($Q33-$L24),$Q33*C$22)+('Hypothetical SAR and RAR'!$C$21*$Q33)</f>
        <v>119.45093080445901</v>
      </c>
      <c r="M45" s="233">
        <f>IF($R33&gt;$M24,C$25*$M24+C$26*($R33-$M24),$R33*C$25)+('Hypothetical SAR and RAR'!$C$21*$R33)</f>
        <v>102.19269785431506</v>
      </c>
      <c r="N45" s="233">
        <f>IF($Q33&gt;$L24,D$22*$L24+D$23*($Q33-$L24),$Q33*D$22)+('Hypothetical SAR and RAR'!$C$21*$Q33)</f>
        <v>125.82134914945117</v>
      </c>
      <c r="O45" s="233">
        <f>IF($R33&gt;$M24,D$22*$M24+D$23*($R33-$M24),$R33*D$22)+('Hypothetical SAR and RAR'!$C$21*$R33)</f>
        <v>107.64272015846161</v>
      </c>
      <c r="P45" s="233">
        <f>IF($Q33&gt;$L24,E$22*$L24+E$23*($Q33-$L24),$Q33*E$22)+('Hypothetical SAR and RAR'!$C$21*$Q33)</f>
        <v>125.82134914945117</v>
      </c>
      <c r="Q45" s="233">
        <f>IF($R33&gt;$M24,E$25*$M24+E$26*($R33-$M24),$R33*E$25)+('Hypothetical SAR and RAR'!$C$21*$R33)</f>
        <v>107.64272015846161</v>
      </c>
      <c r="X45" s="10"/>
      <c r="Y45" s="10"/>
      <c r="Z45" s="10"/>
      <c r="AA45" s="10"/>
    </row>
    <row r="46" spans="1:27">
      <c r="B46" s="152" t="s">
        <v>212</v>
      </c>
      <c r="C46" s="233">
        <f>IF($Q25&gt;$I25,C$22*$I25+C$23*($Q25-$I25),$Q25*C$22)+('Hypothetical SAR and RAR'!$C$21*$Q25)</f>
        <v>125.0223089333373</v>
      </c>
      <c r="D46" s="233">
        <f>IF($R25&gt;$J25,C$25*$J25+C$26*($R25-$J25),$R25*C$25)+('Hypothetical SAR and RAR'!$C$21*$R25)</f>
        <v>110.60639920713419</v>
      </c>
      <c r="E46" s="233">
        <f>IF($Q25&gt;$I25,D$22*$I25+D$23*($Q25-$I25),$Q25*D$22)+('Hypothetical SAR and RAR'!$C$21*$Q25)</f>
        <v>131.68985354766926</v>
      </c>
      <c r="F46" s="233">
        <f>IF($R25&gt;$J25,D$25*$J25+D$26*($R25-$J25),$R25*D$25)+('Hypothetical SAR and RAR'!$C$21*$R25)</f>
        <v>116.50513126252602</v>
      </c>
      <c r="G46" s="233">
        <f>IF($Q25&gt;$I25,E$22*$I25+E$23*($Q25-$I25),$Q25*E$22)+('Hypothetical SAR and RAR'!$C$21*$Q25)</f>
        <v>131.68985354766926</v>
      </c>
      <c r="H46" s="233">
        <f>IF($R25&gt;$J25,E$25*$J25+E$26*($R25-$J25),$R25*E$25)+('Hypothetical SAR and RAR'!$C$21*$R25)</f>
        <v>116.50513126252602</v>
      </c>
      <c r="I46" s="290"/>
      <c r="J46" s="290"/>
      <c r="K46" s="152" t="s">
        <v>212</v>
      </c>
      <c r="L46" s="233">
        <f>IF($Q34&gt;$L25,C$22*$L25+C$23*($Q34-$L25),$Q34*C$22)+('Hypothetical SAR and RAR'!$C$21*$Q34)</f>
        <v>131.30703651359946</v>
      </c>
      <c r="M46" s="233">
        <f>IF($R34&gt;$M25,C$25*$M25+C$26*($R34-$M25),$R34*C$25)+('Hypothetical SAR and RAR'!$C$21*$R34)</f>
        <v>143.37500779158214</v>
      </c>
      <c r="N46" s="233">
        <f>IF($Q34&gt;$L25,D$22*$L25+D$23*($Q34-$L25),$Q34*D$22)+('Hypothetical SAR and RAR'!$C$21*$Q34)</f>
        <v>138.30975303446056</v>
      </c>
      <c r="O46" s="233">
        <f>IF($R34&gt;$M25,D$22*$M25+D$23*($R34-$M25),$R34*D$22)+('Hypothetical SAR and RAR'!$C$21*$R34)</f>
        <v>151.02131723176603</v>
      </c>
      <c r="P46" s="233">
        <f>IF($Q34&gt;$L25,E$22*$L25+E$23*($Q34-$L25),$Q34*E$22)+('Hypothetical SAR and RAR'!$C$21*$Q34)</f>
        <v>138.30975303446056</v>
      </c>
      <c r="Q46" s="233">
        <f>IF($R34&gt;$M25,E$25*$M25+E$26*($R34-$M25),$R34*E$25)+('Hypothetical SAR and RAR'!$C$21*$R34)</f>
        <v>151.02131723176603</v>
      </c>
    </row>
    <row r="47" spans="1:27" s="10" customFormat="1">
      <c r="B47" s="6" t="s">
        <v>116</v>
      </c>
      <c r="C47" s="234">
        <f t="shared" ref="C47:H47" si="4">SUMPRODUCT(C43:C46,$U$22:$U$25)</f>
        <v>125.8781209139367</v>
      </c>
      <c r="D47" s="234">
        <f t="shared" si="4"/>
        <v>118.73368768324164</v>
      </c>
      <c r="E47" s="234">
        <f t="shared" si="4"/>
        <v>132.591306699119</v>
      </c>
      <c r="F47" s="234">
        <f t="shared" si="4"/>
        <v>125.0658548508972</v>
      </c>
      <c r="G47" s="234">
        <f>SUMPRODUCT(G43:G46,$U$22:$U$25)</f>
        <v>132.591306699119</v>
      </c>
      <c r="H47" s="234">
        <f t="shared" si="4"/>
        <v>125.0658548508972</v>
      </c>
      <c r="I47" s="291"/>
      <c r="J47" s="291"/>
      <c r="K47" s="6" t="s">
        <v>116</v>
      </c>
      <c r="L47" s="234">
        <f t="shared" ref="L47:Q47" si="5">SUMPRODUCT(L43:L46,$U$22:$U$25)</f>
        <v>121.75525303209434</v>
      </c>
      <c r="M47" s="234">
        <f t="shared" si="5"/>
        <v>125.68208940847819</v>
      </c>
      <c r="N47" s="234">
        <f t="shared" si="5"/>
        <v>128.24898278968624</v>
      </c>
      <c r="O47" s="234">
        <f t="shared" si="5"/>
        <v>132.38482066902711</v>
      </c>
      <c r="P47" s="234">
        <f t="shared" si="5"/>
        <v>128.24898278968624</v>
      </c>
      <c r="Q47" s="234">
        <f t="shared" si="5"/>
        <v>132.38482066902711</v>
      </c>
      <c r="X47" s="6"/>
      <c r="Y47" s="6"/>
      <c r="Z47" s="6"/>
      <c r="AA47" s="6"/>
    </row>
    <row r="48" spans="1:27">
      <c r="B48" s="7"/>
      <c r="C48" s="231"/>
      <c r="D48" s="231"/>
      <c r="E48" s="232"/>
      <c r="F48" s="154"/>
      <c r="G48" s="155"/>
      <c r="H48" s="155"/>
      <c r="I48" s="155"/>
      <c r="J48" s="155"/>
      <c r="K48" s="7"/>
      <c r="L48" s="231"/>
      <c r="M48" s="231"/>
      <c r="N48" s="232"/>
      <c r="O48" s="154"/>
      <c r="P48" s="155"/>
      <c r="Q48" s="155"/>
    </row>
    <row r="49" spans="2:27">
      <c r="B49" s="7"/>
      <c r="C49" s="231"/>
      <c r="D49" s="231"/>
      <c r="E49" s="232"/>
      <c r="F49" s="231"/>
      <c r="G49" s="155"/>
      <c r="H49" s="155"/>
      <c r="I49" s="155"/>
      <c r="J49" s="155"/>
      <c r="K49" s="7"/>
      <c r="L49" s="231"/>
      <c r="M49" s="231"/>
      <c r="N49" s="232"/>
      <c r="O49" s="231"/>
      <c r="P49" s="155"/>
      <c r="Q49" s="155"/>
    </row>
    <row r="50" spans="2:27">
      <c r="B50" s="7"/>
      <c r="C50" s="541" t="s">
        <v>402</v>
      </c>
      <c r="D50" s="541"/>
      <c r="E50" s="541"/>
      <c r="F50" s="541"/>
      <c r="G50" s="541"/>
      <c r="H50" s="541"/>
      <c r="K50" s="7"/>
      <c r="L50" s="541" t="s">
        <v>403</v>
      </c>
      <c r="M50" s="541"/>
      <c r="N50" s="541"/>
      <c r="O50" s="541"/>
      <c r="P50" s="541"/>
      <c r="Q50" s="541"/>
    </row>
    <row r="51" spans="2:27">
      <c r="B51" s="7"/>
      <c r="C51" s="556" t="str">
        <f>C30</f>
        <v>1/1/2024</v>
      </c>
      <c r="D51" s="556"/>
      <c r="E51" s="557" t="str">
        <f>D30</f>
        <v>3/1/2024</v>
      </c>
      <c r="F51" s="556"/>
      <c r="G51" s="556" t="str">
        <f>E30</f>
        <v>Proposed</v>
      </c>
      <c r="H51" s="556"/>
      <c r="I51" s="554"/>
      <c r="J51" s="555"/>
      <c r="K51" s="7"/>
      <c r="L51" s="297" t="str">
        <f>L41</f>
        <v>1/1/2024</v>
      </c>
      <c r="M51" s="297"/>
      <c r="N51" s="298" t="str">
        <f>N41</f>
        <v>3/1/2024</v>
      </c>
      <c r="O51" s="297"/>
      <c r="P51" s="297" t="str">
        <f>P41</f>
        <v>Proposed</v>
      </c>
      <c r="Q51" s="297"/>
    </row>
    <row r="52" spans="2:27">
      <c r="B52" s="7"/>
      <c r="C52" s="231" t="s">
        <v>205</v>
      </c>
      <c r="D52" s="231" t="s">
        <v>206</v>
      </c>
      <c r="E52" s="231" t="s">
        <v>205</v>
      </c>
      <c r="F52" s="231" t="s">
        <v>206</v>
      </c>
      <c r="G52" s="231" t="s">
        <v>205</v>
      </c>
      <c r="H52" s="231" t="s">
        <v>206</v>
      </c>
      <c r="I52" s="290"/>
      <c r="J52" s="290"/>
      <c r="K52" s="7"/>
      <c r="L52" s="231" t="s">
        <v>205</v>
      </c>
      <c r="M52" s="231" t="s">
        <v>206</v>
      </c>
      <c r="N52" s="231" t="s">
        <v>205</v>
      </c>
      <c r="O52" s="231" t="s">
        <v>206</v>
      </c>
      <c r="P52" s="231" t="s">
        <v>205</v>
      </c>
      <c r="Q52" s="231" t="s">
        <v>206</v>
      </c>
    </row>
    <row r="53" spans="2:27">
      <c r="B53" s="146" t="s">
        <v>131</v>
      </c>
      <c r="C53" s="233">
        <f>IF($S22&gt;$I22,C$31*$I22+C$32*($S22-$I22),$S22*C$31)+('Hypothetical SAR and RAR'!$C$21*$S22)</f>
        <v>79.213885609199991</v>
      </c>
      <c r="D53" s="233">
        <f>IF($T22&gt;$J22,C$34*$J22+C$35*($T22-$J22),$T22*C$34)+('Hypothetical SAR and RAR'!$C$21*$T22)</f>
        <v>77.020324984799998</v>
      </c>
      <c r="E53" s="233">
        <f>IF($S22&gt;$I22,D$31*$I22+D$32*($S22-$I22),$S22*D$31)+('Hypothetical SAR and RAR'!$C$21*$S22)</f>
        <v>83.436725421920002</v>
      </c>
      <c r="F53" s="233">
        <f>IF($T22&gt;$J22,D$34*$J22+D$35*($T22-$J22),$T22*D$34)+('Hypothetical SAR and RAR'!$C$21*$T22)</f>
        <v>81.126227532480002</v>
      </c>
      <c r="G53" s="233">
        <f>IF($S22&gt;$I22,E$31*$I22+E$32*($S22-$I22),$S22*E$31)+('Hypothetical SAR and RAR'!$C$21*$S22)</f>
        <v>83.436725421920002</v>
      </c>
      <c r="H53" s="233">
        <f>IF($T22&gt;$J22,E$34*$J22+E$35*($T22-$J22),$T22*E$34)+('Hypothetical SAR and RAR'!$C$21*$T22)</f>
        <v>81.126227532480002</v>
      </c>
      <c r="I53" s="290"/>
      <c r="J53" s="290"/>
      <c r="K53" s="146" t="s">
        <v>131</v>
      </c>
      <c r="L53" s="233">
        <f>IF($S31&gt;$L22,C$31*$L22+C$32*($S31-$L22),$S31*C$31)+('Hypothetical SAR and RAR'!$C$21*$S31)</f>
        <v>75.257390493179983</v>
      </c>
      <c r="M53" s="233">
        <f>IF($T31&gt;$M22,C$34*$M22+C$35*($T31-$M22),$T31*C$34)+('Hypothetical SAR and RAR'!$C$21*$T31)</f>
        <v>74.033450479350009</v>
      </c>
      <c r="N53" s="233">
        <f>IF($S31&gt;$L22,D$31*$L22+D$32*($S31-$L22),$S31*D$31)+('Hypothetical SAR and RAR'!$C$21*$S31)</f>
        <v>79.260015140259981</v>
      </c>
      <c r="O53" s="233">
        <f>IF($T31&gt;$M22,D$34*$M22+D$35*($T31-$M22),$T31*D$34)+('Hypothetical SAR and RAR'!$C$21*$T31)</f>
        <v>77.980124724060005</v>
      </c>
      <c r="P53" s="233">
        <f>IF($S31&gt;$L22,E$31*$L22+E$32*($S31-$L22),$S31*E$31)+('Hypothetical SAR and RAR'!$C$21*$S31)</f>
        <v>79.260015140259981</v>
      </c>
      <c r="Q53" s="233">
        <f>IF($T31&gt;$M22,E$34*$M22+E$35*($T31-$M22),$T31*E$34)+('Hypothetical SAR and RAR'!$C$21*$T31)</f>
        <v>77.980124724060005</v>
      </c>
    </row>
    <row r="54" spans="2:27">
      <c r="B54" s="149" t="s">
        <v>210</v>
      </c>
      <c r="C54" s="233">
        <f>IF($S23&gt;$I23,C$31*$I23+C$32*($S23-$I23),$S23*C$31)+('Hypothetical SAR and RAR'!$C$21*$S23)</f>
        <v>144.22127152178999</v>
      </c>
      <c r="D54" s="233">
        <f>IF($T23&gt;$J23,C$34*$J23+C$35*($T23-$J23),$T23*C$34)+('Hypothetical SAR and RAR'!$C$21*$T23)</f>
        <v>160.91798362448</v>
      </c>
      <c r="E54" s="233">
        <f>IF($S23&gt;$I23,D$31*$I23+D$32*($S23-$I23),$S23*D$31)+('Hypothetical SAR and RAR'!$C$21*$S23)</f>
        <v>151.90302081652999</v>
      </c>
      <c r="F54" s="233">
        <f>IF($T23&gt;$J23,D$34*$J23+D$35*($T23-$J23),$T23*D$34)+('Hypothetical SAR and RAR'!$C$21*$T23)</f>
        <v>169.47660813936</v>
      </c>
      <c r="G54" s="233">
        <f>IF($S23&gt;$I23,E$31*$I23+E$32*($S23-$I23),$S23*E$31)+('Hypothetical SAR and RAR'!$C$21*$S23)</f>
        <v>151.90302081652999</v>
      </c>
      <c r="H54" s="233">
        <f>IF($T23&gt;$J23,E$34*$J23+E$35*($T23-$J23),$T23*E$34)+('Hypothetical SAR and RAR'!$C$21*$T23)</f>
        <v>169.47660813936</v>
      </c>
      <c r="I54" s="290"/>
      <c r="J54" s="290"/>
      <c r="K54" s="149" t="s">
        <v>210</v>
      </c>
      <c r="L54" s="233">
        <f>IF($S32&gt;$L23,C$31*$L23+C$32*($S32-$L23),$S32*C$31)+('Hypothetical SAR and RAR'!$C$21*$S32)</f>
        <v>145.26164001870001</v>
      </c>
      <c r="M54" s="233">
        <f>IF($T32&gt;$M23,C$34*$M23+C$35*($T32-$M23),$T32*C$34)+('Hypothetical SAR and RAR'!$C$21*$T32)</f>
        <v>197.14455402659999</v>
      </c>
      <c r="N54" s="233">
        <f>IF($S32&gt;$L23,D$31*$L23+D$32*($S32-$L23),$S32*D$31)+('Hypothetical SAR and RAR'!$C$21*$S32)</f>
        <v>153.00544190412</v>
      </c>
      <c r="O54" s="233">
        <f>IF($T32&gt;$M23,D$34*$M23+D$35*($T32-$M23),$T32*D$34)+('Hypothetical SAR and RAR'!$C$21*$T32)</f>
        <v>207.65419971815999</v>
      </c>
      <c r="P54" s="233">
        <f>IF($S32&gt;$L23,E$31*$L23+E$32*($S32-$L23),$S32*E$31)+('Hypothetical SAR and RAR'!$C$21*$S32)</f>
        <v>153.00544190412</v>
      </c>
      <c r="Q54" s="233">
        <f>IF($T32&gt;$M23,E$34*$M23+E$35*($T32-$M23),$T32*E$34)+('Hypothetical SAR and RAR'!$C$21*$T32)</f>
        <v>207.65419971815999</v>
      </c>
    </row>
    <row r="55" spans="2:27">
      <c r="B55" s="149" t="s">
        <v>211</v>
      </c>
      <c r="C55" s="233">
        <f>IF($S24&gt;$I24,C$31*$I24+C$32*($S24-$I24),$S24*C$31)+('Hypothetical SAR and RAR'!$C$21*$S24)</f>
        <v>152.97573827984999</v>
      </c>
      <c r="D55" s="233">
        <f>IF($T24&gt;$J24,C$34*$J24+C$35*($T24-$J24),$T24*C$34)+('Hypothetical SAR and RAR'!$C$21*$T24)</f>
        <v>91.984139649300005</v>
      </c>
      <c r="E55" s="233">
        <f>IF($S24&gt;$I24,D$31*$I24+D$32*($S24-$I24),$S24*D$31)+('Hypothetical SAR and RAR'!$C$21*$S24)</f>
        <v>161.13077363785999</v>
      </c>
      <c r="F55" s="233">
        <f>IF($T24&gt;$J24,D$34*$J24+D$35*($T24-$J24),$T24*D$34)+('Hypothetical SAR and RAR'!$C$21*$T24)</f>
        <v>96.88775325268</v>
      </c>
      <c r="G55" s="233">
        <f>IF($S24&gt;$I24,E$31*$I24+E$32*($S24-$I24),$S24*E$31)+('Hypothetical SAR and RAR'!$C$21*$S24)</f>
        <v>161.13077363785999</v>
      </c>
      <c r="H55" s="233">
        <f>IF($T24&gt;$J24,E$34*$J24+E$35*($T24-$J24),$T24*E$34)+('Hypothetical SAR and RAR'!$C$21*$T24)</f>
        <v>96.88775325268</v>
      </c>
      <c r="I55" s="290"/>
      <c r="J55" s="290"/>
      <c r="K55" s="149" t="s">
        <v>211</v>
      </c>
      <c r="L55" s="233">
        <f>IF($S33&gt;$L24,C$31*$L24+C$32*($S33-$L24),$S33*C$31)+('Hypothetical SAR and RAR'!$C$21*$S33)</f>
        <v>173.87608183722998</v>
      </c>
      <c r="M55" s="233">
        <f>IF($T33&gt;$M24,C$34*$M24+C$35*($T33-$M24),$T33*C$34)+('Hypothetical SAR and RAR'!$C$21*$T33)</f>
        <v>125.31860695965</v>
      </c>
      <c r="N55" s="233">
        <f>IF($S33&gt;$L24,D$31*$L24+D$32*($S33-$L24),$S33*D$31)+('Hypothetical SAR and RAR'!$C$21*$S33)</f>
        <v>183.14059852860998</v>
      </c>
      <c r="O55" s="233">
        <f>IF($T33&gt;$M24,D$34*$M24+D$35*($T33-$M24),$T33*D$34)+('Hypothetical SAR and RAR'!$C$21*$T33)</f>
        <v>131.99925895234</v>
      </c>
      <c r="P55" s="233">
        <f>IF($S33&gt;$L24,E$31*$L24+E$32*($S33-$L24),$S33*E$31)+('Hypothetical SAR and RAR'!$C$21*$S33)</f>
        <v>183.14059852860998</v>
      </c>
      <c r="Q55" s="233">
        <f>IF($T33&gt;$M24,E$34*$M24+E$35*($T33-$M24),$T33*E$34)+('Hypothetical SAR and RAR'!$C$21*$T33)</f>
        <v>131.99925895234</v>
      </c>
    </row>
    <row r="56" spans="2:27">
      <c r="B56" s="152" t="s">
        <v>212</v>
      </c>
      <c r="C56" s="233">
        <f>IF($S25&gt;$I25,C$31*$I25+C$32*($S25-$I25),$S25*C$31)+('Hypothetical SAR and RAR'!$C$21*$S25)</f>
        <v>102.4736465336</v>
      </c>
      <c r="D56" s="233">
        <f>IF($T25&gt;$J25,C$34*$J25+C$35*($T25-$J25),$T25*C$34)+('Hypothetical SAR and RAR'!$C$21*$T25)</f>
        <v>88.416406995449989</v>
      </c>
      <c r="E56" s="233">
        <f>IF($S25&gt;$I25,D$31*$I25+D$32*($S25-$I25),$S25*D$31)+('Hypothetical SAR and RAR'!$C$21*$S25)</f>
        <v>107.9359114952</v>
      </c>
      <c r="F56" s="233">
        <f>IF($T25&gt;$J25,D$34*$J25+D$35*($T25-$J25),$T25*D$34)+('Hypothetical SAR and RAR'!$C$21*$T25)</f>
        <v>93.12982713241999</v>
      </c>
      <c r="G56" s="233">
        <f>IF($S25&gt;$I25,E$31*$I25+E$32*($S25-$I25),$S25*E$31)+('Hypothetical SAR and RAR'!$C$21*$S25)</f>
        <v>107.9359114952</v>
      </c>
      <c r="H56" s="233">
        <f>IF($T25&gt;$J25,E$34*$J25+E$35*($T25-$J25),$T25*E$34)+('Hypothetical SAR and RAR'!$C$21*$T25)</f>
        <v>93.12982713241999</v>
      </c>
      <c r="I56" s="290"/>
      <c r="J56" s="290"/>
      <c r="K56" s="152" t="s">
        <v>212</v>
      </c>
      <c r="L56" s="233">
        <f>IF($S34&gt;$L25,C$31*$L25+C$32*($S34-$L25),$S34*C$31)+('Hypothetical SAR and RAR'!$C$21*$S34)</f>
        <v>98.939657046500002</v>
      </c>
      <c r="M56" s="233">
        <f>IF($T34&gt;$M25,C$34*$M25+C$35*($T34-$M25),$T34*C$34)+('Hypothetical SAR and RAR'!$C$21*$T34)</f>
        <v>91.510397169749993</v>
      </c>
      <c r="N56" s="233">
        <f>IF($S34&gt;$L25,D$31*$L25+D$32*($S34-$L25),$S34*D$31)+('Hypothetical SAR and RAR'!$C$21*$S34)</f>
        <v>104.2063587255</v>
      </c>
      <c r="O56" s="233">
        <f>IF($T34&gt;$M25,D$34*$M25+D$35*($T34-$M25),$T34*D$34)+('Hypothetical SAR and RAR'!$C$21*$T34)</f>
        <v>96.388755875099989</v>
      </c>
      <c r="P56" s="233">
        <f>IF($S34&gt;$L25,E$31*$L25+E$32*($S34-$L25),$S34*E$31)+('Hypothetical SAR and RAR'!$C$21*$S34)</f>
        <v>104.2063587255</v>
      </c>
      <c r="Q56" s="233">
        <f>IF($T34&gt;$M25,E$34*$M25+E$35*($T34-$M25),$T34*E$34)+('Hypothetical SAR and RAR'!$C$21*$T34)</f>
        <v>96.388755875099989</v>
      </c>
    </row>
    <row r="57" spans="2:27">
      <c r="B57" s="6" t="s">
        <v>116</v>
      </c>
      <c r="C57" s="234">
        <f t="shared" ref="C57:H57" si="6">SUMPRODUCT(C53:C56,$V$22:$V$25)</f>
        <v>90.952099700496063</v>
      </c>
      <c r="D57" s="234">
        <f t="shared" si="6"/>
        <v>83.155720699853831</v>
      </c>
      <c r="E57" s="234">
        <f t="shared" si="6"/>
        <v>95.800386647314838</v>
      </c>
      <c r="F57" s="234">
        <f t="shared" si="6"/>
        <v>87.588538706556022</v>
      </c>
      <c r="G57" s="234">
        <f t="shared" si="6"/>
        <v>95.800386647314838</v>
      </c>
      <c r="H57" s="234">
        <f t="shared" si="6"/>
        <v>87.588538706556022</v>
      </c>
      <c r="I57" s="234"/>
      <c r="J57" s="234"/>
      <c r="K57" s="6" t="s">
        <v>116</v>
      </c>
      <c r="L57" s="234">
        <f t="shared" ref="L57:Q57" si="7">SUMPRODUCT(L53:L56,$V$22:$V$25)</f>
        <v>87.274918844111653</v>
      </c>
      <c r="M57" s="234">
        <f t="shared" si="7"/>
        <v>83.441086686539435</v>
      </c>
      <c r="N57" s="234">
        <f t="shared" si="7"/>
        <v>91.919031035481353</v>
      </c>
      <c r="O57" s="234">
        <f t="shared" si="7"/>
        <v>87.889275790844835</v>
      </c>
      <c r="P57" s="234">
        <f t="shared" si="7"/>
        <v>91.919031035481353</v>
      </c>
      <c r="Q57" s="234">
        <f t="shared" si="7"/>
        <v>87.889275790844835</v>
      </c>
    </row>
    <row r="58" spans="2:27">
      <c r="B58" s="7"/>
      <c r="C58" s="231"/>
      <c r="D58" s="231"/>
      <c r="E58" s="232"/>
      <c r="F58" s="231"/>
      <c r="G58" s="155"/>
      <c r="H58" s="155"/>
      <c r="I58" s="155"/>
      <c r="J58" s="155"/>
      <c r="K58" s="7"/>
      <c r="L58" s="231"/>
      <c r="M58" s="231"/>
      <c r="N58" s="232"/>
      <c r="O58" s="231"/>
      <c r="P58" s="155"/>
      <c r="Q58" s="155"/>
    </row>
    <row r="59" spans="2:27">
      <c r="B59" s="7"/>
      <c r="C59" s="231"/>
      <c r="D59" s="231"/>
      <c r="E59" s="232"/>
      <c r="G59" s="155"/>
      <c r="H59" s="155"/>
      <c r="I59" s="155"/>
      <c r="K59" s="7"/>
      <c r="L59" s="231"/>
      <c r="M59" s="231"/>
      <c r="N59" s="232"/>
      <c r="P59" s="155"/>
      <c r="Q59" s="155"/>
    </row>
    <row r="60" spans="2:27">
      <c r="B60" s="7"/>
      <c r="C60" s="541" t="s">
        <v>288</v>
      </c>
      <c r="D60" s="541"/>
      <c r="E60" s="541"/>
      <c r="F60" s="541"/>
      <c r="G60" s="541"/>
      <c r="H60" s="541"/>
      <c r="K60" s="7"/>
      <c r="L60" s="541" t="s">
        <v>296</v>
      </c>
      <c r="M60" s="541"/>
      <c r="N60" s="541"/>
      <c r="O60" s="541"/>
      <c r="P60" s="541"/>
      <c r="Q60" s="541"/>
    </row>
    <row r="61" spans="2:27">
      <c r="B61" s="7"/>
      <c r="C61" s="556" t="str">
        <f>C51</f>
        <v>1/1/2024</v>
      </c>
      <c r="D61" s="556"/>
      <c r="E61" s="557" t="str">
        <f>D30</f>
        <v>3/1/2024</v>
      </c>
      <c r="F61" s="556"/>
      <c r="G61" s="556" t="str">
        <f>G51</f>
        <v>Proposed</v>
      </c>
      <c r="H61" s="556"/>
      <c r="I61" s="554"/>
      <c r="J61" s="555"/>
      <c r="K61" s="7"/>
      <c r="L61" s="297" t="str">
        <f>L51</f>
        <v>1/1/2024</v>
      </c>
      <c r="M61" s="297"/>
      <c r="N61" s="298" t="str">
        <f>N51</f>
        <v>3/1/2024</v>
      </c>
      <c r="O61" s="297"/>
      <c r="P61" s="297" t="str">
        <f>P51</f>
        <v>Proposed</v>
      </c>
      <c r="Q61" s="297"/>
    </row>
    <row r="62" spans="2:27" ht="15" customHeight="1">
      <c r="B62" s="7"/>
      <c r="C62" s="231" t="s">
        <v>205</v>
      </c>
      <c r="D62" s="231" t="s">
        <v>206</v>
      </c>
      <c r="E62" s="231" t="s">
        <v>205</v>
      </c>
      <c r="F62" s="231" t="s">
        <v>206</v>
      </c>
      <c r="G62" s="231" t="s">
        <v>205</v>
      </c>
      <c r="H62" s="231" t="s">
        <v>206</v>
      </c>
      <c r="I62" s="290"/>
      <c r="J62" s="290"/>
      <c r="K62" s="7"/>
      <c r="L62" s="231" t="s">
        <v>205</v>
      </c>
      <c r="M62" s="231" t="s">
        <v>206</v>
      </c>
      <c r="N62" s="231" t="s">
        <v>205</v>
      </c>
      <c r="O62" s="231" t="s">
        <v>206</v>
      </c>
      <c r="P62" s="231" t="s">
        <v>205</v>
      </c>
      <c r="Q62" s="231" t="s">
        <v>206</v>
      </c>
    </row>
    <row r="63" spans="2:27" ht="15" customHeight="1">
      <c r="B63" s="146" t="s">
        <v>131</v>
      </c>
      <c r="C63" s="233">
        <f>($C$22*$I31)+('Hypothetical SAR and RAR'!$C$21*$I31)</f>
        <v>103.90882757177478</v>
      </c>
      <c r="D63" s="233">
        <f>($C$25*$J31)+('Hypothetical SAR and RAR'!$C$21*$J31)</f>
        <v>106.21791262892533</v>
      </c>
      <c r="E63" s="233">
        <f>($D$22*$I31)+('Hypothetical SAR and RAR'!$C$21*$I31)</f>
        <v>109.45037251338314</v>
      </c>
      <c r="F63" s="233">
        <f>($D$25*$J31)+('Hypothetical SAR and RAR'!$C$21*$J31)</f>
        <v>111.88260301368055</v>
      </c>
      <c r="G63" s="233">
        <f>($E$22*$I31)+('Hypothetical SAR and RAR'!$C$21*$I31)</f>
        <v>109.45037251338314</v>
      </c>
      <c r="H63" s="233">
        <f>($E$25*$J31)+('Hypothetical SAR and RAR'!$C$21*$J31)</f>
        <v>111.88260301368055</v>
      </c>
      <c r="I63" s="290"/>
      <c r="J63" s="290"/>
      <c r="K63" s="146" t="s">
        <v>131</v>
      </c>
      <c r="L63" s="233">
        <f>($C$22*$L31)+('Hypothetical SAR and RAR'!$C$21*$L31)</f>
        <v>69.657399224041612</v>
      </c>
      <c r="M63" s="233">
        <f>($C$25*$M31)+('Hypothetical SAR and RAR'!$C$21*$M31)</f>
        <v>101.59974251462423</v>
      </c>
      <c r="N63" s="233">
        <f>($D$22*$L31)+('Hypothetical SAR and RAR'!$C$21*$L31)</f>
        <v>73.372286758971669</v>
      </c>
      <c r="O63" s="233">
        <f>($D$25*$M31)+('Hypothetical SAR and RAR'!$C$21*$M31)</f>
        <v>107.01814201308574</v>
      </c>
      <c r="P63" s="233">
        <f>($E$22*$L31)+('Hypothetical SAR and RAR'!$C$21*$L31)</f>
        <v>73.372286758971669</v>
      </c>
      <c r="Q63" s="233">
        <f>($E$25*$M31)+('Hypothetical SAR and RAR'!$C$21*$M31)</f>
        <v>107.01814201308574</v>
      </c>
      <c r="X63" s="10"/>
      <c r="Y63" s="10"/>
      <c r="Z63" s="10"/>
      <c r="AA63" s="10"/>
    </row>
    <row r="64" spans="2:27">
      <c r="B64" s="149" t="s">
        <v>210</v>
      </c>
      <c r="C64" s="233">
        <f>($C$22*$I32)+('Hypothetical SAR and RAR'!$C$21*$I32)</f>
        <v>157.01778388623742</v>
      </c>
      <c r="D64" s="233">
        <f>($C$25*$J32)+('Hypothetical SAR and RAR'!$C$21*$J32)</f>
        <v>148.93598618621053</v>
      </c>
      <c r="E64" s="233">
        <f>($D$22*$I32)+('Hypothetical SAR and RAR'!$C$21*$I32)</f>
        <v>165.39167402022341</v>
      </c>
      <c r="F64" s="233">
        <f>($D$25*$J32)+('Hypothetical SAR and RAR'!$C$21*$J32)</f>
        <v>156.87886726918251</v>
      </c>
      <c r="G64" s="233">
        <f>($E$22*$I32)+('Hypothetical SAR and RAR'!$C$21*$I32)</f>
        <v>165.39167402022341</v>
      </c>
      <c r="H64" s="233">
        <f>($E$25*$J32)+('Hypothetical SAR and RAR'!$C$21*$J32)</f>
        <v>156.87886726918251</v>
      </c>
      <c r="I64" s="290"/>
      <c r="J64" s="290"/>
      <c r="K64" s="149" t="s">
        <v>210</v>
      </c>
      <c r="L64" s="233">
        <f>($C$22*$L32)+('Hypothetical SAR and RAR'!$C$21*$L32)</f>
        <v>175.49046434344183</v>
      </c>
      <c r="M64" s="233">
        <f>($C$25*$M32)+('Hypothetical SAR and RAR'!$C$21*$M32)</f>
        <v>255.53874632466093</v>
      </c>
      <c r="N64" s="233">
        <f>($D$22*$L32)+('Hypothetical SAR and RAR'!$C$21*$L32)</f>
        <v>184.84951802260264</v>
      </c>
      <c r="O64" s="233">
        <f>($D$25*$M32)+('Hypothetical SAR and RAR'!$C$21*$M32)</f>
        <v>269.1668420329126</v>
      </c>
      <c r="P64" s="233">
        <f>($E$22*$L32)+('Hypothetical SAR and RAR'!$C$21*$L32)</f>
        <v>184.84951802260264</v>
      </c>
      <c r="Q64" s="233">
        <f>($E$25*$M32)+('Hypothetical SAR and RAR'!$C$21*$M32)</f>
        <v>269.1668420329126</v>
      </c>
    </row>
    <row r="65" spans="2:27" s="10" customFormat="1" ht="15" customHeight="1">
      <c r="B65" s="149" t="s">
        <v>211</v>
      </c>
      <c r="C65" s="233">
        <f>($C$22*$I33)+('Hypothetical SAR and RAR'!$C$21*$I33)</f>
        <v>183.57226204346878</v>
      </c>
      <c r="D65" s="233">
        <f>($C$25*$J33)+('Hypothetical SAR and RAR'!$C$21*$J33)</f>
        <v>125.84513561470501</v>
      </c>
      <c r="E65" s="233">
        <f>($D$22*$I33)+('Hypothetical SAR and RAR'!$C$21*$I33)</f>
        <v>193.36232477364356</v>
      </c>
      <c r="F65" s="233">
        <f>($D$25*$J33)+('Hypothetical SAR and RAR'!$C$21*$J33)</f>
        <v>132.55656226620849</v>
      </c>
      <c r="G65" s="233">
        <f>($E$22*$I33)+('Hypothetical SAR and RAR'!$C$21*$I33)</f>
        <v>193.36232477364356</v>
      </c>
      <c r="H65" s="233">
        <f>($E$25*$J33)+('Hypothetical SAR and RAR'!$C$21*$J33)</f>
        <v>132.55656226620849</v>
      </c>
      <c r="I65" s="290"/>
      <c r="J65" s="290"/>
      <c r="K65" s="149" t="s">
        <v>211</v>
      </c>
      <c r="L65" s="233">
        <f>($C$22*$L33)+('Hypothetical SAR and RAR'!$C$21*$L33)</f>
        <v>195.8873823482717</v>
      </c>
      <c r="M65" s="233">
        <f>($C$25*$M33)+('Hypothetical SAR and RAR'!$C$21*$M33)</f>
        <v>197.42677238637208</v>
      </c>
      <c r="N65" s="233">
        <f>($D$22*$L33)+('Hypothetical SAR and RAR'!$C$21*$L33)</f>
        <v>206.33422077522971</v>
      </c>
      <c r="O65" s="233">
        <f>($D$25*$M33)+('Hypothetical SAR and RAR'!$C$21*$M33)</f>
        <v>207.95570777542798</v>
      </c>
      <c r="P65" s="233">
        <f>($E$22*$L33)+('Hypothetical SAR and RAR'!$C$21*$L33)</f>
        <v>206.33422077522971</v>
      </c>
      <c r="Q65" s="233">
        <f>($E$25*$M33)+('Hypothetical SAR and RAR'!$C$21*$M33)</f>
        <v>207.95570777542798</v>
      </c>
      <c r="X65" s="6"/>
      <c r="Y65" s="6"/>
      <c r="Z65" s="6"/>
      <c r="AA65" s="6"/>
    </row>
    <row r="66" spans="2:27">
      <c r="B66" s="152" t="s">
        <v>212</v>
      </c>
      <c r="C66" s="233">
        <f>($C$22*$I34)+('Hypothetical SAR and RAR'!$C$21*$I34)</f>
        <v>120.07242297182863</v>
      </c>
      <c r="D66" s="233">
        <f>($C$25*$J34)+('Hypothetical SAR and RAR'!$C$21*$J34)</f>
        <v>110.83608274322643</v>
      </c>
      <c r="E66" s="233">
        <f>($D$22*$I34)+('Hypothetical SAR and RAR'!$C$21*$I34)</f>
        <v>126.47598601546497</v>
      </c>
      <c r="F66" s="233">
        <f>($D$25*$J34)+('Hypothetical SAR and RAR'!$C$21*$J34)</f>
        <v>116.74706401427535</v>
      </c>
      <c r="G66" s="233">
        <f>($E$22*$I34)+('Hypothetical SAR and RAR'!$C$21*$I34)</f>
        <v>126.47598601546497</v>
      </c>
      <c r="H66" s="233">
        <f>($E$25*$J34)+('Hypothetical SAR and RAR'!$C$21*$J34)</f>
        <v>116.74706401427535</v>
      </c>
      <c r="I66" s="290"/>
      <c r="J66" s="290"/>
      <c r="K66" s="152" t="s">
        <v>212</v>
      </c>
      <c r="L66" s="233">
        <f>($C$22*$L34)+('Hypothetical SAR and RAR'!$C$21*$L34)</f>
        <v>100.83004749557405</v>
      </c>
      <c r="M66" s="233">
        <f>($C$25*$M34)+('Hypothetical SAR and RAR'!$C$21*$M34)</f>
        <v>140.46934097665851</v>
      </c>
      <c r="N66" s="233">
        <f>($D$22*$L34)+('Hypothetical SAR and RAR'!$C$21*$L34)</f>
        <v>106.20739851298661</v>
      </c>
      <c r="O66" s="233">
        <f>($D$25*$M34)+('Hypothetical SAR and RAR'!$C$21*$M34)</f>
        <v>147.96068876809204</v>
      </c>
      <c r="P66" s="233">
        <f>($E$22*$L34)+('Hypothetical SAR and RAR'!$C$21*$L34)</f>
        <v>106.20739851298661</v>
      </c>
      <c r="Q66" s="233">
        <f>($E$25*$M34)+('Hypothetical SAR and RAR'!$C$21*$M34)</f>
        <v>147.96068876809204</v>
      </c>
    </row>
    <row r="67" spans="2:27">
      <c r="B67" s="6" t="s">
        <v>116</v>
      </c>
      <c r="C67" s="234">
        <f t="shared" ref="C67:H67" si="8">SUMPRODUCT(C63:C66,$U$22:$U$25)</f>
        <v>110.83395693903046</v>
      </c>
      <c r="D67" s="234">
        <f t="shared" si="8"/>
        <v>108.43073033856513</v>
      </c>
      <c r="E67" s="234">
        <f t="shared" si="8"/>
        <v>116.7448248391583</v>
      </c>
      <c r="F67" s="234">
        <f t="shared" si="8"/>
        <v>114.21343214806754</v>
      </c>
      <c r="G67" s="234">
        <f t="shared" si="8"/>
        <v>116.7448248391583</v>
      </c>
      <c r="H67" s="234">
        <f t="shared" si="8"/>
        <v>114.21343214806754</v>
      </c>
      <c r="I67" s="291"/>
      <c r="J67" s="291"/>
      <c r="K67" s="6" t="s">
        <v>116</v>
      </c>
      <c r="L67" s="234">
        <f t="shared" ref="L67:Q67" si="9">SUMPRODUCT(L63:L66,$U$22:$U$25)</f>
        <v>83.009873737501962</v>
      </c>
      <c r="M67" s="234">
        <f t="shared" si="9"/>
        <v>118.3657586275406</v>
      </c>
      <c r="N67" s="234">
        <f t="shared" si="9"/>
        <v>87.436859939380312</v>
      </c>
      <c r="O67" s="234">
        <f t="shared" si="9"/>
        <v>124.6783038300067</v>
      </c>
      <c r="P67" s="234">
        <f t="shared" si="9"/>
        <v>87.436859939380312</v>
      </c>
      <c r="Q67" s="234">
        <f t="shared" si="9"/>
        <v>124.6783038300067</v>
      </c>
    </row>
    <row r="68" spans="2:27">
      <c r="B68" s="7"/>
      <c r="C68" s="231"/>
      <c r="D68" s="231"/>
      <c r="E68" s="232"/>
      <c r="F68" s="154"/>
      <c r="G68" s="155"/>
      <c r="H68" s="155"/>
      <c r="I68" s="155"/>
      <c r="J68" s="155"/>
      <c r="K68" s="7"/>
      <c r="L68" s="231"/>
      <c r="M68" s="231"/>
      <c r="N68" s="232"/>
      <c r="O68" s="154"/>
      <c r="P68" s="155"/>
      <c r="Q68" s="155"/>
    </row>
    <row r="69" spans="2:27">
      <c r="B69" s="7"/>
      <c r="C69" s="231"/>
      <c r="D69" s="231"/>
      <c r="E69" s="232"/>
      <c r="F69" s="231"/>
      <c r="G69" s="155"/>
      <c r="H69" s="155"/>
      <c r="I69" s="155"/>
      <c r="J69" s="155"/>
      <c r="K69" s="7"/>
      <c r="L69" s="231"/>
      <c r="M69" s="231"/>
      <c r="N69" s="232"/>
      <c r="O69" s="231"/>
      <c r="P69" s="155"/>
      <c r="Q69" s="155"/>
    </row>
    <row r="70" spans="2:27">
      <c r="B70" s="7"/>
      <c r="C70" s="541" t="s">
        <v>289</v>
      </c>
      <c r="D70" s="541"/>
      <c r="E70" s="541"/>
      <c r="F70" s="541"/>
      <c r="G70" s="541"/>
      <c r="H70" s="541"/>
      <c r="K70" s="7"/>
      <c r="L70" s="541" t="s">
        <v>297</v>
      </c>
      <c r="M70" s="541"/>
      <c r="N70" s="541"/>
      <c r="O70" s="541"/>
      <c r="P70" s="541"/>
      <c r="Q70" s="541"/>
    </row>
    <row r="71" spans="2:27">
      <c r="B71" s="7"/>
      <c r="C71" s="556" t="str">
        <f>C51</f>
        <v>1/1/2024</v>
      </c>
      <c r="D71" s="556"/>
      <c r="E71" s="557" t="str">
        <f>E61</f>
        <v>3/1/2024</v>
      </c>
      <c r="F71" s="556"/>
      <c r="G71" s="556" t="str">
        <f>G61</f>
        <v>Proposed</v>
      </c>
      <c r="H71" s="556"/>
      <c r="I71" s="557"/>
      <c r="J71" s="556"/>
      <c r="K71" s="7"/>
      <c r="L71" s="297" t="str">
        <f>L51</f>
        <v>1/1/2024</v>
      </c>
      <c r="M71" s="297"/>
      <c r="N71" s="298" t="str">
        <f>N61</f>
        <v>3/1/2024</v>
      </c>
      <c r="O71" s="297"/>
      <c r="P71" s="297" t="str">
        <f>P61</f>
        <v>Proposed</v>
      </c>
      <c r="Q71" s="297"/>
    </row>
    <row r="72" spans="2:27">
      <c r="B72" s="7"/>
      <c r="C72" s="231" t="s">
        <v>205</v>
      </c>
      <c r="D72" s="231" t="s">
        <v>206</v>
      </c>
      <c r="E72" s="231" t="s">
        <v>205</v>
      </c>
      <c r="F72" s="231" t="s">
        <v>206</v>
      </c>
      <c r="G72" s="231" t="s">
        <v>205</v>
      </c>
      <c r="H72" s="231" t="s">
        <v>206</v>
      </c>
      <c r="I72" s="231"/>
      <c r="J72" s="231"/>
      <c r="K72" s="7"/>
      <c r="L72" s="231" t="s">
        <v>205</v>
      </c>
      <c r="M72" s="231" t="s">
        <v>206</v>
      </c>
      <c r="N72" s="231" t="s">
        <v>205</v>
      </c>
      <c r="O72" s="231" t="s">
        <v>206</v>
      </c>
      <c r="P72" s="231" t="s">
        <v>205</v>
      </c>
      <c r="Q72" s="231" t="s">
        <v>206</v>
      </c>
    </row>
    <row r="73" spans="2:27">
      <c r="B73" s="146" t="s">
        <v>131</v>
      </c>
      <c r="C73" s="233">
        <f>($C$31*$I31)+('Hypothetical SAR and RAR'!$C$21*$I31)</f>
        <v>67.513499999999993</v>
      </c>
      <c r="D73" s="233">
        <f>($C$34*$J31)+('Hypothetical SAR and RAR'!$C$21*$J31)</f>
        <v>69.013799999999989</v>
      </c>
      <c r="E73" s="233">
        <f>($D$31*$I31)+('Hypothetical SAR and RAR'!$C$21*$I31)</f>
        <v>71.1126</v>
      </c>
      <c r="F73" s="233">
        <f>($D$34*$J31)+('Hypothetical SAR and RAR'!$C$21*$J31)</f>
        <v>72.692880000000002</v>
      </c>
      <c r="G73" s="233">
        <f>($E$31*$I31)+('Hypothetical SAR and RAR'!$C$21*$I31)</f>
        <v>71.1126</v>
      </c>
      <c r="H73" s="233">
        <f>($E$34*$J31)+('Hypothetical SAR and RAR'!$C$21*$J31)</f>
        <v>72.692880000000002</v>
      </c>
      <c r="I73" s="290"/>
      <c r="J73" s="290"/>
      <c r="K73" s="146" t="s">
        <v>131</v>
      </c>
      <c r="L73" s="233">
        <f>($C$31*$L31)+('Hypothetical SAR and RAR'!$C$21*$L31)</f>
        <v>45.259049999999995</v>
      </c>
      <c r="M73" s="233">
        <f>($C$34*$M31)+('Hypothetical SAR and RAR'!$C$21*$M31)</f>
        <v>66.013199999999998</v>
      </c>
      <c r="N73" s="233">
        <f>($D$31*$L31)+('Hypothetical SAR and RAR'!$C$21*$L31)</f>
        <v>47.671779999999998</v>
      </c>
      <c r="O73" s="233">
        <f>($D$34*$M31)+('Hypothetical SAR and RAR'!$C$21*$M31)</f>
        <v>69.532319999999999</v>
      </c>
      <c r="P73" s="233">
        <f>($E$31*$L31)+('Hypothetical SAR and RAR'!$C$21*$L31)</f>
        <v>47.671779999999998</v>
      </c>
      <c r="Q73" s="233">
        <f>($E$34*$M31)+('Hypothetical SAR and RAR'!$C$21*$M31)</f>
        <v>69.532319999999999</v>
      </c>
    </row>
    <row r="74" spans="2:27">
      <c r="B74" s="149" t="s">
        <v>210</v>
      </c>
      <c r="C74" s="233">
        <f>($C$31*$I32)+('Hypothetical SAR and RAR'!$C$21*$I32)</f>
        <v>102.0204</v>
      </c>
      <c r="D74" s="233">
        <f>($C$34*$J32)+('Hypothetical SAR and RAR'!$C$21*$J32)</f>
        <v>96.769350000000003</v>
      </c>
      <c r="E74" s="233">
        <f>($D$31*$I32)+('Hypothetical SAR and RAR'!$C$21*$I32)</f>
        <v>107.45904</v>
      </c>
      <c r="F74" s="233">
        <f>($D$34*$J32)+('Hypothetical SAR and RAR'!$C$21*$J32)</f>
        <v>101.92806</v>
      </c>
      <c r="G74" s="233">
        <f>($E$31*$I32)+('Hypothetical SAR and RAR'!$C$21*$I32)</f>
        <v>107.45904</v>
      </c>
      <c r="H74" s="233">
        <f>($E$34*$J32)+('Hypothetical SAR and RAR'!$C$21*$J32)</f>
        <v>101.92806</v>
      </c>
      <c r="I74" s="290"/>
      <c r="J74" s="290"/>
      <c r="K74" s="149" t="s">
        <v>210</v>
      </c>
      <c r="L74" s="233">
        <f>($C$31*$L32)+('Hypothetical SAR and RAR'!$C$21*$L32)</f>
        <v>114.0228</v>
      </c>
      <c r="M74" s="233">
        <f>($C$34*$M32)+('Hypothetical SAR and RAR'!$C$21*$M32)</f>
        <v>166.03319999999999</v>
      </c>
      <c r="N74" s="233">
        <f>($D$31*$L32)+('Hypothetical SAR and RAR'!$C$21*$L32)</f>
        <v>120.10128</v>
      </c>
      <c r="O74" s="233">
        <f>($D$34*$M32)+('Hypothetical SAR and RAR'!$C$21*$M32)</f>
        <v>174.88432</v>
      </c>
      <c r="P74" s="233">
        <f>($E$31*$L32)+('Hypothetical SAR and RAR'!$C$21*$L32)</f>
        <v>120.10128</v>
      </c>
      <c r="Q74" s="233">
        <f>($E$34*$M32)+('Hypothetical SAR and RAR'!$C$21*$M32)</f>
        <v>174.88432</v>
      </c>
    </row>
    <row r="75" spans="2:27">
      <c r="B75" s="149" t="s">
        <v>211</v>
      </c>
      <c r="C75" s="233">
        <f>($C$31*$I33)+('Hypothetical SAR and RAR'!$C$21*$I33)</f>
        <v>119.27385</v>
      </c>
      <c r="D75" s="233">
        <f>($C$34*$J33)+('Hypothetical SAR and RAR'!$C$21*$J33)</f>
        <v>81.766350000000003</v>
      </c>
      <c r="E75" s="233">
        <f>($D$31*$I33)+('Hypothetical SAR and RAR'!$C$21*$I33)</f>
        <v>125.63226</v>
      </c>
      <c r="F75" s="233">
        <f>($D$34*$J33)+('Hypothetical SAR and RAR'!$C$21*$J33)</f>
        <v>86.125259999999997</v>
      </c>
      <c r="G75" s="233">
        <f>($E$31*$I33)+('Hypothetical SAR and RAR'!$C$21*$I33)</f>
        <v>125.63226</v>
      </c>
      <c r="H75" s="233">
        <f>($E$34*$J33)+('Hypothetical SAR and RAR'!$C$21*$J33)</f>
        <v>86.125259999999997</v>
      </c>
      <c r="I75" s="290"/>
      <c r="J75" s="290"/>
      <c r="K75" s="149" t="s">
        <v>211</v>
      </c>
      <c r="L75" s="233">
        <f>($C$31*$L33)+('Hypothetical SAR and RAR'!$C$21*$L33)</f>
        <v>127.27544999999999</v>
      </c>
      <c r="M75" s="233">
        <f>($C$34*$M33)+('Hypothetical SAR and RAR'!$C$21*$M33)</f>
        <v>128.27564999999998</v>
      </c>
      <c r="N75" s="233">
        <f>($D$31*$L33)+('Hypothetical SAR and RAR'!$C$21*$L33)</f>
        <v>134.06041999999999</v>
      </c>
      <c r="O75" s="233">
        <f>($D$34*$M33)+('Hypothetical SAR and RAR'!$C$21*$M33)</f>
        <v>135.11394000000001</v>
      </c>
      <c r="P75" s="233">
        <f>($E$31*$L33)+('Hypothetical SAR and RAR'!$C$21*$L33)</f>
        <v>134.06041999999999</v>
      </c>
      <c r="Q75" s="233">
        <f>($E$34*$M33)+('Hypothetical SAR and RAR'!$C$21*$M33)</f>
        <v>135.11394000000001</v>
      </c>
    </row>
    <row r="76" spans="2:27">
      <c r="B76" s="152" t="s">
        <v>212</v>
      </c>
      <c r="C76" s="233">
        <f>($C$31*$I34)+('Hypothetical SAR and RAR'!$C$21*$I34)</f>
        <v>78.015599999999992</v>
      </c>
      <c r="D76" s="233">
        <f>($C$34*$J34)+('Hypothetical SAR and RAR'!$C$21*$J34)</f>
        <v>72.014399999999995</v>
      </c>
      <c r="E76" s="233">
        <f>($D$31*$I34)+('Hypothetical SAR and RAR'!$C$21*$I34)</f>
        <v>82.17456</v>
      </c>
      <c r="F76" s="233">
        <f>($D$34*$J34)+('Hypothetical SAR and RAR'!$C$21*$J34)</f>
        <v>75.853439999999992</v>
      </c>
      <c r="G76" s="233">
        <f>($E$31*$I34)+('Hypothetical SAR and RAR'!$C$21*$I34)</f>
        <v>82.17456</v>
      </c>
      <c r="H76" s="233">
        <f>($E$34*$J34)+('Hypothetical SAR and RAR'!$C$21*$J34)</f>
        <v>75.853439999999992</v>
      </c>
      <c r="I76" s="290"/>
      <c r="J76" s="290"/>
      <c r="K76" s="152" t="s">
        <v>212</v>
      </c>
      <c r="L76" s="233">
        <f>($C$31*$L34)+('Hypothetical SAR and RAR'!$C$21*$L34)</f>
        <v>65.513099999999994</v>
      </c>
      <c r="M76" s="233">
        <f>($C$34*$M34)+('Hypothetical SAR and RAR'!$C$21*$M34)</f>
        <v>91.268249999999995</v>
      </c>
      <c r="N76" s="233">
        <f>($D$31*$L34)+('Hypothetical SAR and RAR'!$C$21*$L34)</f>
        <v>69.005560000000003</v>
      </c>
      <c r="O76" s="233">
        <f>($D$34*$M34)+('Hypothetical SAR and RAR'!$C$21*$M34)</f>
        <v>96.13369999999999</v>
      </c>
      <c r="P76" s="233">
        <f>($E$31*$L34)+('Hypothetical SAR and RAR'!$C$21*$L34)</f>
        <v>69.005560000000003</v>
      </c>
      <c r="Q76" s="233">
        <f>($E$34*$M34)+('Hypothetical SAR and RAR'!$C$21*$M34)</f>
        <v>96.13369999999999</v>
      </c>
    </row>
    <row r="77" spans="2:27">
      <c r="B77" s="6" t="s">
        <v>116</v>
      </c>
      <c r="C77" s="234">
        <f t="shared" ref="C77:H77" si="10">SUMPRODUCT(C73:C76,$V$22:$V$25)</f>
        <v>72.882613823219003</v>
      </c>
      <c r="D77" s="234">
        <f t="shared" si="10"/>
        <v>70.687899178776348</v>
      </c>
      <c r="E77" s="234">
        <f t="shared" si="10"/>
        <v>76.767937727492196</v>
      </c>
      <c r="F77" s="234">
        <f t="shared" si="10"/>
        <v>74.45622429796488</v>
      </c>
      <c r="G77" s="234">
        <f t="shared" si="10"/>
        <v>76.767937727492196</v>
      </c>
      <c r="H77" s="234">
        <f t="shared" si="10"/>
        <v>74.45622429796488</v>
      </c>
      <c r="I77" s="291"/>
      <c r="J77" s="291"/>
      <c r="K77" s="6" t="s">
        <v>116</v>
      </c>
      <c r="L77" s="234">
        <f t="shared" ref="L77:Q77" si="11">SUMPRODUCT(L73:L76,$V$22:$V$25)</f>
        <v>55.604549965390675</v>
      </c>
      <c r="M77" s="234">
        <f t="shared" si="11"/>
        <v>78.966835111369363</v>
      </c>
      <c r="N77" s="234">
        <f t="shared" si="11"/>
        <v>58.56879172119416</v>
      </c>
      <c r="O77" s="234">
        <f t="shared" si="11"/>
        <v>83.176504825564734</v>
      </c>
      <c r="P77" s="234">
        <f t="shared" si="11"/>
        <v>58.56879172119416</v>
      </c>
      <c r="Q77" s="234">
        <f t="shared" si="11"/>
        <v>83.176504825564734</v>
      </c>
    </row>
    <row r="78" spans="2:27">
      <c r="B78" s="7"/>
      <c r="C78" s="231"/>
      <c r="D78" s="231"/>
      <c r="E78" s="232"/>
      <c r="G78" s="155"/>
      <c r="H78" s="155"/>
      <c r="I78" s="155"/>
      <c r="K78" s="7"/>
      <c r="L78" s="231"/>
      <c r="M78" s="231"/>
      <c r="N78" s="232"/>
      <c r="P78" s="155"/>
      <c r="Q78" s="155"/>
    </row>
    <row r="79" spans="2:27" ht="15.75" thickBot="1"/>
    <row r="80" spans="2:27" ht="15.75" thickBot="1">
      <c r="B80" s="258">
        <v>400</v>
      </c>
      <c r="C80" s="559" t="s">
        <v>298</v>
      </c>
      <c r="D80" s="541"/>
      <c r="E80" s="541"/>
      <c r="F80" s="541"/>
      <c r="G80" s="541"/>
      <c r="H80" s="541"/>
      <c r="K80" s="258">
        <v>400</v>
      </c>
      <c r="L80" s="559" t="s">
        <v>300</v>
      </c>
      <c r="M80" s="541"/>
      <c r="N80" s="541"/>
      <c r="O80" s="541"/>
      <c r="P80" s="541"/>
      <c r="Q80" s="541"/>
    </row>
    <row r="81" spans="2:17">
      <c r="B81" s="7"/>
      <c r="C81" s="556" t="str">
        <f>C71</f>
        <v>1/1/2024</v>
      </c>
      <c r="D81" s="556"/>
      <c r="E81" s="557" t="str">
        <f>E71</f>
        <v>3/1/2024</v>
      </c>
      <c r="F81" s="556"/>
      <c r="G81" s="556" t="str">
        <f>G71</f>
        <v>Proposed</v>
      </c>
      <c r="H81" s="556"/>
      <c r="I81" s="554"/>
      <c r="J81" s="555"/>
      <c r="K81" s="7"/>
      <c r="L81" s="297" t="str">
        <f>L71</f>
        <v>1/1/2024</v>
      </c>
      <c r="M81" s="297"/>
      <c r="N81" s="298" t="str">
        <f>N71</f>
        <v>3/1/2024</v>
      </c>
      <c r="O81" s="297"/>
      <c r="P81" s="297" t="str">
        <f>P71</f>
        <v>Proposed</v>
      </c>
      <c r="Q81" s="297"/>
    </row>
    <row r="82" spans="2:17">
      <c r="B82" s="7"/>
      <c r="C82" s="231" t="s">
        <v>205</v>
      </c>
      <c r="D82" s="231" t="s">
        <v>206</v>
      </c>
      <c r="E82" s="231" t="s">
        <v>205</v>
      </c>
      <c r="F82" s="231" t="s">
        <v>206</v>
      </c>
      <c r="G82" s="231" t="s">
        <v>205</v>
      </c>
      <c r="H82" s="231" t="s">
        <v>206</v>
      </c>
      <c r="I82" s="290"/>
      <c r="J82" s="290"/>
      <c r="K82" s="7"/>
      <c r="L82" s="231" t="s">
        <v>205</v>
      </c>
      <c r="M82" s="231" t="s">
        <v>206</v>
      </c>
      <c r="N82" s="231" t="s">
        <v>205</v>
      </c>
      <c r="O82" s="231" t="s">
        <v>206</v>
      </c>
      <c r="P82" s="231" t="s">
        <v>205</v>
      </c>
      <c r="Q82" s="231" t="s">
        <v>206</v>
      </c>
    </row>
    <row r="83" spans="2:17">
      <c r="B83" s="146" t="s">
        <v>131</v>
      </c>
      <c r="C83" s="233">
        <f>$C$22*MIN(I22,$B$80)+IF($B$80-I22&gt;0,$C$23*($B$80-I22))+('Hypothetical SAR and RAR'!$C$21*$B$80)</f>
        <v>158.81275061379444</v>
      </c>
      <c r="D83" s="233">
        <f>$C$25*MIN(J22,$B$80)+IF($B$80-J22&gt;0,$C$26*($B$80-J22))+('Hypothetical SAR and RAR'!$C$21*$B$80)</f>
        <v>158.01703684991563</v>
      </c>
      <c r="E83" s="233">
        <f>$D$22*MIN(I22,$B$80)+IF($B$80-I22&gt;0,$D$23*($B$80-I22))+('Hypothetical SAR and RAR'!$C$21*$B$80)</f>
        <v>167.28304497564631</v>
      </c>
      <c r="F83" s="233">
        <f>$D$25*MIN(J22,$B$80)+IF($B$80-J22&gt;0,$D$26*($B$80-J22))+('Hypothetical SAR and RAR'!$C$21*$B$80)</f>
        <v>166.4447845746962</v>
      </c>
      <c r="G83" s="233">
        <f>$E$22*MIN(I22,$B$80)+IF($B$80-I22&gt;0,$E$23*($B$80-I22))+('Hypothetical SAR and RAR'!$C$21*$B$80)</f>
        <v>167.28304497564631</v>
      </c>
      <c r="H83" s="233">
        <f>$E$25*MIN(J22,$B$80)+IF($B$80-J22&gt;0,$E$26*($B$80-J22))+('Hypothetical SAR and RAR'!$C$21*$B$80)</f>
        <v>166.4447845746962</v>
      </c>
      <c r="I83" s="290"/>
      <c r="J83" s="290"/>
      <c r="K83" s="146" t="s">
        <v>131</v>
      </c>
      <c r="L83" s="233">
        <f>$C$22*MIN($L22,$K$80)+IF($K$80-$L22&gt;0,$C$23*($K$80-$L22))+('Hypothetical SAR and RAR'!$C$21*$K$80)</f>
        <v>170.35060019003726</v>
      </c>
      <c r="M83" s="233">
        <f>$C$25*MIN($M22,$K$80)+IF($K$80-$M22&gt;0,$C$26*($K$80-$M22))+('Hypothetical SAR and RAR'!$C$21*$K$80)</f>
        <v>159.60846437767327</v>
      </c>
      <c r="N83" s="233">
        <f>$D$22*MIN($L22,$B$80)+IF($B$80-$L22&gt;0,$D$23*($B$80-$L22))+('Hypothetical SAR and RAR'!$C$21*$B$80)</f>
        <v>179.43782078942289</v>
      </c>
      <c r="O83" s="233">
        <f>$D$25*MIN($M22,$B$80)+IF($B$80-$M22&gt;0,$D$26*($B$80-$M22))+('Hypothetical SAR and RAR'!$C$21*$B$80)</f>
        <v>168.12130537659641</v>
      </c>
      <c r="P83" s="233">
        <f>$E$22*MIN($L22,$K$80)+IF($K$80-$L22&gt;0,$E$23*($K$80-$L22))+('Hypothetical SAR and RAR'!$C$21*$K$80)</f>
        <v>179.43782078942289</v>
      </c>
      <c r="Q83" s="233">
        <f>$E$25*MIN($M22,$K$80)+IF($K$80-$M22&gt;0,$E$26*($K$80-$M22))+('Hypothetical SAR and RAR'!$C$21*$K$80)</f>
        <v>168.12130537659641</v>
      </c>
    </row>
    <row r="84" spans="2:17">
      <c r="B84" s="149" t="s">
        <v>210</v>
      </c>
      <c r="C84" s="233">
        <f>$C$22*MIN(I23,$B$80)+IF($B$80-I23&gt;0,$C$23*($B$80-I23))+('Hypothetical SAR and RAR'!$C$21*$B$80)</f>
        <v>153.93900381003672</v>
      </c>
      <c r="D84" s="233">
        <f>$C$25*MIN(J23,$B$80)+IF($B$80-J23&gt;0,$C$26*($B$80-J23))+('Hypothetical SAR and RAR'!$C$21*$B$80)</f>
        <v>153.93900381003672</v>
      </c>
      <c r="E84" s="233">
        <f>$D$22*MIN(I23,$B$80)+IF($B$80-I23&gt;0,$D$23*($B$80-I23))+('Hypothetical SAR and RAR'!$C$21*$B$80)</f>
        <v>162.14870001982689</v>
      </c>
      <c r="F84" s="233">
        <f>$D$25*MIN(J23,$B$80)+IF($B$80-J23&gt;0,$D$26*($B$80-J23))+('Hypothetical SAR and RAR'!$C$21*$B$80)</f>
        <v>162.14870001982689</v>
      </c>
      <c r="G84" s="233">
        <f>$E$22*MIN(I23,$B$80)+IF($B$80-I23&gt;0,$E$23*($B$80-I23))+('Hypothetical SAR and RAR'!$C$21*$B$80)</f>
        <v>162.14870001982689</v>
      </c>
      <c r="H84" s="233">
        <f>$E$25*MIN(J23,$B$80)+IF($B$80-J23&gt;0,$E$26*($B$80-J23))+('Hypothetical SAR and RAR'!$C$21*$B$80)</f>
        <v>162.14870001982689</v>
      </c>
      <c r="I84" s="290"/>
      <c r="J84" s="290"/>
      <c r="K84" s="149" t="s">
        <v>210</v>
      </c>
      <c r="L84" s="233">
        <f>$C$22*MIN($L23,$K$80)+IF($K$80-$L23&gt;0,$C$23*($K$80-$L23))+('Hypothetical SAR and RAR'!$C$21*$K$80)</f>
        <v>153.93900381003672</v>
      </c>
      <c r="M84" s="233">
        <f>$C$25*MIN($M23,$K$80)+IF($K$80-$M23&gt;0,$C$26*($K$80-$M23))+('Hypothetical SAR and RAR'!$C$21*$K$80)</f>
        <v>153.93900381003672</v>
      </c>
      <c r="N84" s="233">
        <f>$D$22*MIN($L23,$B$80)+IF($B$80-$L23&gt;0,$D$23*($B$80-$L23))+('Hypothetical SAR and RAR'!$C$21*$B$80)</f>
        <v>162.14870001982689</v>
      </c>
      <c r="O84" s="233">
        <f>$D$25*MIN($M23,$B$80)+IF($B$80-$M23&gt;0,$D$26*($B$80-$M23))+('Hypothetical SAR and RAR'!$C$21*$B$80)</f>
        <v>162.14870001982689</v>
      </c>
      <c r="P84" s="233">
        <f>$E$22*MIN($L23,$K$80)+IF($K$80-$L23&gt;0,$E$23*($K$80-$L23))+('Hypothetical SAR and RAR'!$C$21*$K$80)</f>
        <v>162.14870001982689</v>
      </c>
      <c r="Q84" s="233">
        <f>$E$25*MIN($M23,$K$80)+IF($K$80-$M23&gt;0,$E$26*($K$80-$M23))+('Hypothetical SAR and RAR'!$C$21*$K$80)</f>
        <v>162.14870001982689</v>
      </c>
    </row>
    <row r="85" spans="2:17">
      <c r="B85" s="149" t="s">
        <v>211</v>
      </c>
      <c r="C85" s="233">
        <f>$C$22*MIN(I24,$B$80)+IF($B$80-I24&gt;0,$C$23*($B$80-I24))+('Hypothetical SAR and RAR'!$C$21*$B$80)</f>
        <v>153.93900381003672</v>
      </c>
      <c r="D85" s="233">
        <f>$C$25*MIN(J24,$B$80)+IF($B$80-J24&gt;0,$C$26*($B$80-J24))+('Hypothetical SAR and RAR'!$C$21*$B$80)</f>
        <v>153.93900381003672</v>
      </c>
      <c r="E85" s="233">
        <f>$D$22*MIN(I24,$B$80)+IF($B$80-I24&gt;0,$D$23*($B$80-I24))+('Hypothetical SAR and RAR'!$C$21*$B$80)</f>
        <v>162.14870001982689</v>
      </c>
      <c r="F85" s="233">
        <f>$D$25*MIN(J24,$B$80)+IF($B$80-J24&gt;0,$D$26*($B$80-J24))+('Hypothetical SAR and RAR'!$C$21*$B$80)</f>
        <v>162.14870001982689</v>
      </c>
      <c r="G85" s="233">
        <f>$E$22*MIN(I24,$B$80)+IF($B$80-I24&gt;0,$E$23*($B$80-I24))+('Hypothetical SAR and RAR'!$C$21*$B$80)</f>
        <v>162.14870001982689</v>
      </c>
      <c r="H85" s="233">
        <f>$E$25*MIN(J24,$B$80)+IF($B$80-J24&gt;0,$E$26*($B$80-J24))+('Hypothetical SAR and RAR'!$C$21*$B$80)</f>
        <v>162.14870001982689</v>
      </c>
      <c r="I85" s="290"/>
      <c r="J85" s="290"/>
      <c r="K85" s="149" t="s">
        <v>211</v>
      </c>
      <c r="L85" s="233">
        <f>$C$22*MIN($L24,$K$80)+IF($K$80-$L24&gt;0,$C$23*($K$80-$L24))+('Hypothetical SAR and RAR'!$C$21*$K$80)</f>
        <v>153.93900381003672</v>
      </c>
      <c r="M85" s="233">
        <f>$C$25*MIN($M24,$K$80)+IF($K$80-$M24&gt;0,$C$26*($K$80-$M24))+('Hypothetical SAR and RAR'!$C$21*$K$80)</f>
        <v>153.93900381003672</v>
      </c>
      <c r="N85" s="233">
        <f>$D$22*MIN($L24,$B$80)+IF($B$80-$L24&gt;0,$D$23*($B$80-$L24))+('Hypothetical SAR and RAR'!$C$21*$B$80)</f>
        <v>162.14870001982689</v>
      </c>
      <c r="O85" s="233">
        <f>$D$25*MIN($M24,$B$80)+IF($B$80-$M24&gt;0,$D$26*($B$80-$M24))+('Hypothetical SAR and RAR'!$C$21*$B$80)</f>
        <v>162.14870001982689</v>
      </c>
      <c r="P85" s="233">
        <f>$E$22*MIN($L24,$K$80)+IF($K$80-$L24&gt;0,$E$23*($K$80-$L24))+('Hypothetical SAR and RAR'!$C$21*$K$80)</f>
        <v>162.14870001982689</v>
      </c>
      <c r="Q85" s="233">
        <f>$E$25*MIN($M24,$K$80)+IF($K$80-$M24&gt;0,$E$26*($K$80-$M24))+('Hypothetical SAR and RAR'!$C$21*$K$80)</f>
        <v>162.14870001982689</v>
      </c>
    </row>
    <row r="86" spans="2:17">
      <c r="B86" s="152" t="s">
        <v>212</v>
      </c>
      <c r="C86" s="233">
        <f>$C$22*MIN(I25,$B$80)+IF($B$80-I25&gt;0,$C$23*($B$80-I25))+('Hypothetical SAR and RAR'!$C$21*$B$80)</f>
        <v>153.93900381003672</v>
      </c>
      <c r="D86" s="233">
        <f>$C$25*MIN(J25,$B$80)+IF($B$80-J25&gt;0,$C$26*($B$80-J25))+('Hypothetical SAR and RAR'!$C$21*$B$80)</f>
        <v>156.52507354264287</v>
      </c>
      <c r="E86" s="233">
        <f>$D$22*MIN(I25,$B$80)+IF($B$80-I25&gt;0,$D$23*($B$80-I25))+('Hypothetical SAR and RAR'!$C$21*$B$80)</f>
        <v>162.14870001982689</v>
      </c>
      <c r="F86" s="233">
        <f>$D$25*MIN(J25,$B$80)+IF($B$80-J25&gt;0,$D$26*($B$80-J25))+('Hypothetical SAR and RAR'!$C$21*$B$80)</f>
        <v>164.87304632291475</v>
      </c>
      <c r="G86" s="233">
        <f>$E$22*MIN(I25,$B$80)+IF($B$80-I25&gt;0,$E$23*($B$80-I25))+('Hypothetical SAR and RAR'!$C$21*$B$80)</f>
        <v>162.14870001982689</v>
      </c>
      <c r="H86" s="233">
        <f>$E$25*MIN(J25,$B$80)+IF($B$80-J25&gt;0,$E$26*($B$80-J25))+('Hypothetical SAR and RAR'!$C$21*$B$80)</f>
        <v>164.87304632291475</v>
      </c>
      <c r="I86" s="290"/>
      <c r="J86" s="290"/>
      <c r="K86" s="152" t="s">
        <v>212</v>
      </c>
      <c r="L86" s="233">
        <f>$C$22*MIN($L25,$K$80)+IF($K$80-$L25&gt;0,$C$23*($K$80-$L25))+('Hypothetical SAR and RAR'!$C$21*$K$80)</f>
        <v>159.80739281864297</v>
      </c>
      <c r="M86" s="233">
        <f>$C$25*MIN($M25,$K$80)+IF($K$80-$M25&gt;0,$C$26*($K$80-$M25))+('Hypothetical SAR and RAR'!$C$21*$K$80)</f>
        <v>153.93900381003672</v>
      </c>
      <c r="N86" s="233">
        <f>$D$22*MIN($L25,$B$80)+IF($B$80-$L25&gt;0,$D$23*($B$80-$L25))+('Hypothetical SAR and RAR'!$C$21*$B$80)</f>
        <v>168.33087047683395</v>
      </c>
      <c r="O86" s="233">
        <f>$D$25*MIN($M25,$B$80)+IF($B$80-$M25&gt;0,$D$26*($B$80-$M25))+('Hypothetical SAR and RAR'!$C$21*$B$80)</f>
        <v>162.14870001982689</v>
      </c>
      <c r="P86" s="233">
        <f>$E$22*MIN($L25,$K$80)+IF($K$80-$L25&gt;0,$E$23*($K$80-$L25))+('Hypothetical SAR and RAR'!$C$21*$K$80)</f>
        <v>168.33087047683395</v>
      </c>
      <c r="Q86" s="233">
        <f>$E$25*MIN($M25,$K$80)+IF($K$80-$M25&gt;0,$E$26*($K$80-$M25))+('Hypothetical SAR and RAR'!$C$21*$K$80)</f>
        <v>162.14870001982689</v>
      </c>
    </row>
    <row r="87" spans="2:17">
      <c r="B87" s="6" t="s">
        <v>116</v>
      </c>
      <c r="C87" s="234">
        <f t="shared" ref="C87:H87" si="12">SUMPRODUCT(C83:C86,$U$22:$U$25)</f>
        <v>156.84363269479866</v>
      </c>
      <c r="D87" s="234">
        <f t="shared" si="12"/>
        <v>157.3888324361055</v>
      </c>
      <c r="E87" s="234">
        <f t="shared" si="12"/>
        <v>165.20863876172183</v>
      </c>
      <c r="F87" s="234">
        <f t="shared" si="12"/>
        <v>165.78299021131591</v>
      </c>
      <c r="G87" s="234">
        <f t="shared" si="12"/>
        <v>165.20863876172183</v>
      </c>
      <c r="H87" s="234">
        <f t="shared" si="12"/>
        <v>165.78299021131591</v>
      </c>
      <c r="I87" s="291"/>
      <c r="J87" s="291"/>
      <c r="K87" s="6" t="s">
        <v>116</v>
      </c>
      <c r="L87" s="234">
        <f t="shared" ref="L87:Q87" si="13">SUMPRODUCT(L83:L86,$U$22:$U$25)</f>
        <v>166.0332072647891</v>
      </c>
      <c r="M87" s="234">
        <f t="shared" si="13"/>
        <v>157.31785781884145</v>
      </c>
      <c r="N87" s="234">
        <f t="shared" si="13"/>
        <v>174.88957782962299</v>
      </c>
      <c r="O87" s="234">
        <f t="shared" si="13"/>
        <v>165.70822059713325</v>
      </c>
      <c r="P87" s="234">
        <f t="shared" si="13"/>
        <v>174.88957782962299</v>
      </c>
      <c r="Q87" s="234">
        <f t="shared" si="13"/>
        <v>165.70822059713325</v>
      </c>
    </row>
    <row r="88" spans="2:17">
      <c r="C88" s="234"/>
      <c r="D88" s="234"/>
      <c r="E88" s="234"/>
      <c r="F88" s="234"/>
      <c r="G88" s="234"/>
      <c r="H88" s="234"/>
      <c r="I88" s="234"/>
      <c r="J88" s="234"/>
      <c r="L88" s="234"/>
      <c r="M88" s="234"/>
      <c r="N88" s="234"/>
      <c r="O88" s="234"/>
      <c r="P88" s="234"/>
      <c r="Q88" s="234"/>
    </row>
    <row r="89" spans="2:17" ht="15.75" thickBot="1">
      <c r="B89" s="7"/>
      <c r="C89" s="231"/>
      <c r="D89" s="231"/>
      <c r="E89" s="232"/>
      <c r="F89" s="154"/>
      <c r="G89" s="155"/>
      <c r="H89" s="155"/>
      <c r="I89" s="155"/>
      <c r="J89" s="155"/>
      <c r="K89" s="7"/>
      <c r="L89" s="231"/>
      <c r="M89" s="231"/>
      <c r="N89" s="232"/>
      <c r="O89" s="154"/>
      <c r="P89" s="155"/>
      <c r="Q89" s="155"/>
    </row>
    <row r="90" spans="2:17" ht="15.75" thickBot="1">
      <c r="B90" s="258">
        <v>400</v>
      </c>
      <c r="C90" s="559" t="s">
        <v>299</v>
      </c>
      <c r="D90" s="541"/>
      <c r="E90" s="541"/>
      <c r="F90" s="541"/>
      <c r="G90" s="541"/>
      <c r="H90" s="541"/>
      <c r="K90" s="258">
        <v>400</v>
      </c>
      <c r="L90" s="559" t="s">
        <v>301</v>
      </c>
      <c r="M90" s="541"/>
      <c r="N90" s="541"/>
      <c r="O90" s="541"/>
      <c r="P90" s="541"/>
      <c r="Q90" s="541"/>
    </row>
    <row r="91" spans="2:17">
      <c r="B91" s="7"/>
      <c r="C91" s="556" t="str">
        <f>C81</f>
        <v>1/1/2024</v>
      </c>
      <c r="D91" s="556"/>
      <c r="E91" s="557" t="str">
        <f>E81</f>
        <v>3/1/2024</v>
      </c>
      <c r="F91" s="556"/>
      <c r="G91" s="556" t="str">
        <f>G81</f>
        <v>Proposed</v>
      </c>
      <c r="H91" s="556"/>
      <c r="I91" s="554"/>
      <c r="J91" s="555"/>
      <c r="K91" s="7"/>
      <c r="L91" s="297" t="str">
        <f>L81</f>
        <v>1/1/2024</v>
      </c>
      <c r="M91" s="297"/>
      <c r="N91" s="298" t="str">
        <f>N81</f>
        <v>3/1/2024</v>
      </c>
      <c r="O91" s="297"/>
      <c r="P91" s="297" t="str">
        <f>P81</f>
        <v>Proposed</v>
      </c>
      <c r="Q91" s="297"/>
    </row>
    <row r="92" spans="2:17">
      <c r="B92" s="7"/>
      <c r="C92" s="231" t="s">
        <v>205</v>
      </c>
      <c r="D92" s="231" t="s">
        <v>206</v>
      </c>
      <c r="E92" s="231" t="s">
        <v>205</v>
      </c>
      <c r="F92" s="231" t="s">
        <v>206</v>
      </c>
      <c r="G92" s="231" t="s">
        <v>205</v>
      </c>
      <c r="H92" s="231" t="s">
        <v>206</v>
      </c>
      <c r="I92" s="290"/>
      <c r="J92" s="290"/>
      <c r="K92" s="7"/>
      <c r="L92" s="231" t="s">
        <v>205</v>
      </c>
      <c r="M92" s="231" t="s">
        <v>206</v>
      </c>
      <c r="N92" s="231" t="s">
        <v>205</v>
      </c>
      <c r="O92" s="231" t="s">
        <v>206</v>
      </c>
      <c r="P92" s="231" t="s">
        <v>205</v>
      </c>
      <c r="Q92" s="231" t="s">
        <v>206</v>
      </c>
    </row>
    <row r="93" spans="2:17">
      <c r="B93" s="146" t="s">
        <v>131</v>
      </c>
      <c r="C93" s="233">
        <f>$C$31*MIN(I22,$B$90)+IF($B$90-I22&gt;0,$C$32*($B$90-I22))+('Hypothetical SAR and RAR'!$C$21*$B$90)</f>
        <v>103.35592000000001</v>
      </c>
      <c r="D93" s="233">
        <f>$C$34*MIN(J22,$B$90)+IF($B$90-J22&gt;0,$C$35*($B$90-J22))+('Hypothetical SAR and RAR'!$C$21*$B$90)</f>
        <v>102.81128000000001</v>
      </c>
      <c r="E93" s="233">
        <f>$D$31*MIN(I22,$B$90)+IF($B$90-I22&gt;0,$D$32*($B$90-I22))+('Hypothetical SAR and RAR'!$C$21*$B$90)</f>
        <v>108.85697000000002</v>
      </c>
      <c r="F93" s="233">
        <f>$D$34*MIN(J22,$B$90)+IF($B$90-J22&gt;0,$D$35*($B$90-J22))+('Hypothetical SAR and RAR'!$C$21*$B$90)</f>
        <v>108.28473</v>
      </c>
      <c r="G93" s="233">
        <f>$E$31*MIN(I22,$B$90)+IF($B$90-I22&gt;0,$E$32*($B$90-I22))+('Hypothetical SAR and RAR'!$C$21*$B$90)</f>
        <v>108.85697000000002</v>
      </c>
      <c r="H93" s="233">
        <f>$E$34*MIN(J22,$B$90)+IF($B$90-J22&gt;0,$E$35*($B$90-J22))+('Hypothetical SAR and RAR'!$C$21*$B$90)</f>
        <v>108.28473</v>
      </c>
      <c r="I93" s="290"/>
      <c r="J93" s="290"/>
      <c r="K93" s="146" t="s">
        <v>131</v>
      </c>
      <c r="L93" s="233">
        <f>$C$31*MIN($L22,$K$90)+IF($K$90-$L22&gt;0,$C$32*($K$90-$L22))+('Hypothetical SAR and RAR'!$C$21*$K$90)</f>
        <v>111.25320000000001</v>
      </c>
      <c r="M93" s="233">
        <f>$C$34*MIN($M22,$K$90)+IF($K$90-$M22&gt;0,$C$35*($K$90-$M22))+('Hypothetical SAR and RAR'!$C$21*$K$90)</f>
        <v>103.90056000000001</v>
      </c>
      <c r="N93" s="233">
        <f>$D$31*MIN($L22,$B$90)+IF($B$90-$L22&gt;0,$D$32*($B$90-$L22))+('Hypothetical SAR and RAR'!$C$21*$B$90)</f>
        <v>117.15445</v>
      </c>
      <c r="O93" s="233">
        <f>$D$34*MIN($M22,$B$90)+IF($B$90-$M22&gt;0,$D$35*($B$90-$M22))+('Hypothetical SAR and RAR'!$C$21*$B$90)</f>
        <v>109.42921000000001</v>
      </c>
      <c r="P93" s="233">
        <f>$E$31*MIN($L22,$B$90)+IF($B$90-$L22&gt;0,$E$32*($B$90-$L22))+('Hypothetical SAR and RAR'!$C$21*$B$90)</f>
        <v>117.15445</v>
      </c>
      <c r="Q93" s="233">
        <f>$E$34*MIN($M22,$B$90)+IF($B$90-$M22&gt;0,$E$35*($B$90-$M22))+('Hypothetical SAR and RAR'!$C$21*$B$90)</f>
        <v>109.42921000000001</v>
      </c>
    </row>
    <row r="94" spans="2:17">
      <c r="B94" s="149" t="s">
        <v>210</v>
      </c>
      <c r="C94" s="233">
        <f>$C$31*MIN(I23,$B$90)+IF($B$90-I23&gt;0,$C$32*($B$90-I23))+('Hypothetical SAR and RAR'!$C$21*$B$90)</f>
        <v>100.02000000000001</v>
      </c>
      <c r="D94" s="233">
        <f>$C$34*MIN(J23,$B$90)+IF($B$90-J23&gt;0,$C$35*($B$90-J23))+('Hypothetical SAR and RAR'!$C$21*$B$90)</f>
        <v>100.02000000000001</v>
      </c>
      <c r="E94" s="233">
        <f>$D$31*MIN(I23,$B$90)+IF($B$90-I23&gt;0,$D$32*($B$90-I23))+('Hypothetical SAR and RAR'!$C$21*$B$90)</f>
        <v>105.352</v>
      </c>
      <c r="F94" s="233">
        <f>$D$34*MIN(J23,$B$90)+IF($B$90-J23&gt;0,$D$35*($B$90-J23))+('Hypothetical SAR and RAR'!$C$21*$B$90)</f>
        <v>105.352</v>
      </c>
      <c r="G94" s="233">
        <f>$E$31*MIN(I23,$B$90)+IF($B$90-I23&gt;0,$E$32*($B$90-I23))+('Hypothetical SAR and RAR'!$C$21*$B$90)</f>
        <v>105.352</v>
      </c>
      <c r="H94" s="233">
        <f>$E$34*MIN(J23,$B$90)+IF($B$90-J23&gt;0,$E$35*($B$90-J23))+('Hypothetical SAR and RAR'!$C$21*$B$90)</f>
        <v>105.352</v>
      </c>
      <c r="I94" s="290"/>
      <c r="J94" s="290"/>
      <c r="K94" s="149" t="s">
        <v>210</v>
      </c>
      <c r="L94" s="233">
        <f>$C$31*MIN($L23,$K$90)+IF($K$90-$L23&gt;0,$C$32*($K$90-$L23))+('Hypothetical SAR and RAR'!$C$21*$K$90)</f>
        <v>100.02000000000001</v>
      </c>
      <c r="M94" s="233">
        <f>$C$34*MIN($M23,$K$90)+IF($K$90-$M23&gt;0,$C$35*($K$90-$M23))+('Hypothetical SAR and RAR'!$C$21*$K$90)</f>
        <v>100.02000000000001</v>
      </c>
      <c r="N94" s="233">
        <f>$D$31*MIN($L23,$B$90)+IF($B$90-$L23&gt;0,$D$32*($B$90-$L23))+('Hypothetical SAR and RAR'!$C$21*$B$90)</f>
        <v>105.352</v>
      </c>
      <c r="O94" s="233">
        <f>$D$34*MIN($M23,$B$90)+IF($B$90-$M23&gt;0,$D$35*($B$90-$M23))+('Hypothetical SAR and RAR'!$C$21*$B$90)</f>
        <v>105.352</v>
      </c>
      <c r="P94" s="233">
        <f>$E$31*MIN($L23,$B$90)+IF($B$90-$L23&gt;0,$E$32*($B$90-$L23))+('Hypothetical SAR and RAR'!$C$21*$B$90)</f>
        <v>105.352</v>
      </c>
      <c r="Q94" s="233">
        <f>$E$34*MIN($M23,$B$90)+IF($B$90-$M23&gt;0,$E$35*($B$90-$M23))+('Hypothetical SAR and RAR'!$C$21*$B$90)</f>
        <v>105.352</v>
      </c>
    </row>
    <row r="95" spans="2:17">
      <c r="B95" s="149" t="s">
        <v>211</v>
      </c>
      <c r="C95" s="233">
        <f>$C$31*MIN(I24,$B$90)+IF($B$90-I24&gt;0,$C$32*($B$90-I24))+('Hypothetical SAR and RAR'!$C$21*$B$90)</f>
        <v>100.02000000000001</v>
      </c>
      <c r="D95" s="233">
        <f>$C$34*MIN(J24,$B$90)+IF($B$90-J24&gt;0,$C$35*($B$90-J24))+('Hypothetical SAR and RAR'!$C$21*$B$90)</f>
        <v>100.02000000000001</v>
      </c>
      <c r="E95" s="233">
        <f>$D$31*MIN(I24,$B$90)+IF($B$90-I24&gt;0,$D$32*($B$90-I24))+('Hypothetical SAR and RAR'!$C$21*$B$90)</f>
        <v>105.352</v>
      </c>
      <c r="F95" s="233">
        <f>$D$34*MIN(J24,$B$90)+IF($B$90-J24&gt;0,$D$35*($B$90-J24))+('Hypothetical SAR and RAR'!$C$21*$B$90)</f>
        <v>105.352</v>
      </c>
      <c r="G95" s="233">
        <f>$E$31*MIN(I24,$B$90)+IF($B$90-I24&gt;0,$E$32*($B$90-I24))+('Hypothetical SAR and RAR'!$C$21*$B$90)</f>
        <v>105.352</v>
      </c>
      <c r="H95" s="233">
        <f>$E$34*MIN(J24,$B$90)+IF($B$90-J24&gt;0,$E$35*($B$90-J24))+('Hypothetical SAR and RAR'!$C$21*$B$90)</f>
        <v>105.352</v>
      </c>
      <c r="I95" s="290"/>
      <c r="J95" s="290"/>
      <c r="K95" s="149" t="s">
        <v>211</v>
      </c>
      <c r="L95" s="233">
        <f>$C$31*MIN($L24,$K$90)+IF($K$90-$L24&gt;0,$C$32*($K$90-$L24))+('Hypothetical SAR and RAR'!$C$21*$K$90)</f>
        <v>100.02000000000001</v>
      </c>
      <c r="M95" s="233">
        <f>$C$34*MIN($M24,$K$90)+IF($K$90-$M24&gt;0,$C$35*($K$90-$M24))+('Hypothetical SAR and RAR'!$C$21*$K$90)</f>
        <v>100.02000000000001</v>
      </c>
      <c r="N95" s="233">
        <f>$D$31*MIN($L24,$B$90)+IF($B$90-$L24&gt;0,$D$32*($B$90-$L24))+('Hypothetical SAR and RAR'!$C$21*$B$90)</f>
        <v>105.352</v>
      </c>
      <c r="O95" s="233">
        <f>$D$34*MIN($M24,$B$90)+IF($B$90-$M24&gt;0,$D$35*($B$90-$M24))+('Hypothetical SAR and RAR'!$C$21*$B$90)</f>
        <v>105.352</v>
      </c>
      <c r="P95" s="233">
        <f>$E$31*MIN($L24,$B$90)+IF($B$90-$L24&gt;0,$E$32*($B$90-$L24))+('Hypothetical SAR and RAR'!$C$21*$B$90)</f>
        <v>105.352</v>
      </c>
      <c r="Q95" s="233">
        <f>$E$34*MIN($M24,$B$90)+IF($B$90-$M24&gt;0,$E$35*($B$90-$M24))+('Hypothetical SAR and RAR'!$C$21*$B$90)</f>
        <v>105.352</v>
      </c>
    </row>
    <row r="96" spans="2:17">
      <c r="B96" s="152" t="s">
        <v>212</v>
      </c>
      <c r="C96" s="233">
        <f>$C$31*MIN(I25,$B$90)+IF($B$90-I25&gt;0,$C$32*($B$90-I25))+('Hypothetical SAR and RAR'!$C$21*$B$90)</f>
        <v>100.02000000000001</v>
      </c>
      <c r="D96" s="233">
        <f>$C$34*MIN(J25,$B$90)+IF($B$90-J25&gt;0,$C$35*($B$90-J25))+('Hypothetical SAR and RAR'!$C$21*$B$90)</f>
        <v>101.79008</v>
      </c>
      <c r="E96" s="233">
        <f>$D$31*MIN(I25,$B$90)+IF($B$90-I25&gt;0,$D$32*($B$90-I25))+('Hypothetical SAR and RAR'!$C$21*$B$90)</f>
        <v>105.352</v>
      </c>
      <c r="F96" s="233">
        <f>$D$34*MIN(J25,$B$90)+IF($B$90-J25&gt;0,$D$35*($B$90-J25))+('Hypothetical SAR and RAR'!$C$21*$B$90)</f>
        <v>107.21178</v>
      </c>
      <c r="G96" s="233">
        <f>$E$31*MIN(I25,$B$90)+IF($B$90-I25&gt;0,$E$32*($B$90-I25))+('Hypothetical SAR and RAR'!$C$21*$B$90)</f>
        <v>105.352</v>
      </c>
      <c r="H96" s="233">
        <f>$E$34*MIN(J25,$B$90)+IF($B$90-J25&gt;0,$E$35*($B$90-J25))+('Hypothetical SAR and RAR'!$C$21*$B$90)</f>
        <v>107.21178</v>
      </c>
      <c r="I96" s="290"/>
      <c r="J96" s="290"/>
      <c r="K96" s="152" t="s">
        <v>212</v>
      </c>
      <c r="L96" s="233">
        <f>$C$31*MIN($L25,$K$90)+IF($K$90-$L25&gt;0,$C$32*($K$90-$L25))+('Hypothetical SAR and RAR'!$C$21*$K$90)</f>
        <v>104.03672</v>
      </c>
      <c r="M96" s="233">
        <f>$C$34*MIN($M25,$K$90)+IF($K$90-$M25&gt;0,$C$35*($K$90-$M25))+('Hypothetical SAR and RAR'!$C$21*$K$90)</f>
        <v>100.02000000000001</v>
      </c>
      <c r="N96" s="233">
        <f>$D$31*MIN($L25,$B$90)+IF($B$90-$L25&gt;0,$D$32*($B$90-$L25))+('Hypothetical SAR and RAR'!$C$21*$B$90)</f>
        <v>109.57227</v>
      </c>
      <c r="O96" s="233">
        <f>$D$34*MIN($M25,$B$90)+IF($B$90-$M25&gt;0,$D$35*($B$90-$M25))+('Hypothetical SAR and RAR'!$C$21*$B$90)</f>
        <v>105.352</v>
      </c>
      <c r="P96" s="233">
        <f>$E$31*MIN($L25,$B$90)+IF($B$90-$L25&gt;0,$E$32*($B$90-$L25))+('Hypothetical SAR and RAR'!$C$21*$B$90)</f>
        <v>109.57227</v>
      </c>
      <c r="Q96" s="233">
        <f>$E$34*MIN($M25,$B$90)+IF($B$90-$M25&gt;0,$E$35*($B$90-$M25))+('Hypothetical SAR and RAR'!$C$21*$B$90)</f>
        <v>105.352</v>
      </c>
    </row>
    <row r="97" spans="2:17">
      <c r="B97" s="6" t="s">
        <v>116</v>
      </c>
      <c r="C97" s="234">
        <f t="shared" ref="C97:H97" si="14">SUMPRODUCT(C93:C96,$V$22:$V$25)</f>
        <v>101.73126947534834</v>
      </c>
      <c r="D97" s="234">
        <f t="shared" si="14"/>
        <v>102.29710249913477</v>
      </c>
      <c r="E97" s="234">
        <f t="shared" si="14"/>
        <v>107.14998921227478</v>
      </c>
      <c r="F97" s="234">
        <f t="shared" si="14"/>
        <v>107.74449620686119</v>
      </c>
      <c r="G97" s="234">
        <f t="shared" si="14"/>
        <v>107.14998921227478</v>
      </c>
      <c r="H97" s="234">
        <f t="shared" si="14"/>
        <v>107.74449620686119</v>
      </c>
      <c r="I97" s="291"/>
      <c r="J97" s="291"/>
      <c r="K97" s="6" t="s">
        <v>116</v>
      </c>
      <c r="L97" s="234">
        <f t="shared" ref="L97:Q97" si="15">SUMPRODUCT(L93:L96,$V$22:$V$25)</f>
        <v>107.70044624283778</v>
      </c>
      <c r="M97" s="234">
        <f t="shared" si="15"/>
        <v>102.01066041009909</v>
      </c>
      <c r="N97" s="234">
        <f t="shared" si="15"/>
        <v>113.4216580456843</v>
      </c>
      <c r="O97" s="234">
        <f t="shared" si="15"/>
        <v>107.44353847142168</v>
      </c>
      <c r="P97" s="234">
        <f t="shared" si="15"/>
        <v>113.4216580456843</v>
      </c>
      <c r="Q97" s="234">
        <f t="shared" si="15"/>
        <v>107.44353847142168</v>
      </c>
    </row>
  </sheetData>
  <mergeCells count="46">
    <mergeCell ref="U20:V20"/>
    <mergeCell ref="Q21:R21"/>
    <mergeCell ref="S21:T21"/>
    <mergeCell ref="I71:J71"/>
    <mergeCell ref="C70:H70"/>
    <mergeCell ref="L50:Q50"/>
    <mergeCell ref="U29:V29"/>
    <mergeCell ref="Q30:R30"/>
    <mergeCell ref="S30:T30"/>
    <mergeCell ref="L40:Q40"/>
    <mergeCell ref="L60:Q60"/>
    <mergeCell ref="L70:Q70"/>
    <mergeCell ref="L80:Q80"/>
    <mergeCell ref="L90:Q90"/>
    <mergeCell ref="C91:D91"/>
    <mergeCell ref="E91:F91"/>
    <mergeCell ref="G91:H91"/>
    <mergeCell ref="I91:J91"/>
    <mergeCell ref="C90:H90"/>
    <mergeCell ref="C81:D81"/>
    <mergeCell ref="E81:F81"/>
    <mergeCell ref="G81:H81"/>
    <mergeCell ref="I81:J81"/>
    <mergeCell ref="C80:H80"/>
    <mergeCell ref="B2:D2"/>
    <mergeCell ref="E51:F51"/>
    <mergeCell ref="G51:H51"/>
    <mergeCell ref="C40:H40"/>
    <mergeCell ref="C71:D71"/>
    <mergeCell ref="E71:F71"/>
    <mergeCell ref="G71:H71"/>
    <mergeCell ref="B39:H39"/>
    <mergeCell ref="E3:I3"/>
    <mergeCell ref="P3:T3"/>
    <mergeCell ref="I51:J51"/>
    <mergeCell ref="I61:J61"/>
    <mergeCell ref="C50:H50"/>
    <mergeCell ref="C60:H60"/>
    <mergeCell ref="C41:D41"/>
    <mergeCell ref="E41:F41"/>
    <mergeCell ref="G41:H41"/>
    <mergeCell ref="I41:J41"/>
    <mergeCell ref="C61:D61"/>
    <mergeCell ref="E61:F61"/>
    <mergeCell ref="G61:H61"/>
    <mergeCell ref="C51:D5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611B6-392A-4CC6-9FF4-7D8D48F7E9FC}">
  <sheetPr>
    <tabColor rgb="FF92D050"/>
  </sheetPr>
  <dimension ref="A1:AC83"/>
  <sheetViews>
    <sheetView workbookViewId="0"/>
  </sheetViews>
  <sheetFormatPr defaultColWidth="8.85546875" defaultRowHeight="15"/>
  <cols>
    <col min="1" max="1" width="3.5703125" style="6" customWidth="1"/>
    <col min="2" max="3" width="19.42578125" style="6" customWidth="1"/>
    <col min="4" max="4" width="18" style="6" customWidth="1"/>
    <col min="5" max="5" width="12.28515625" style="6" customWidth="1"/>
    <col min="6" max="6" width="20.85546875" style="6" customWidth="1"/>
    <col min="7" max="7" width="13.5703125" style="6" customWidth="1"/>
    <col min="8" max="8" width="14.140625" style="6" customWidth="1"/>
    <col min="9" max="9" width="13.5703125" style="6" customWidth="1"/>
    <col min="10" max="10" width="15.140625" style="6" customWidth="1"/>
    <col min="11" max="11" width="14.85546875" style="6" customWidth="1"/>
    <col min="12" max="14" width="15.42578125" style="6" customWidth="1"/>
    <col min="15" max="15" width="13" style="6" customWidth="1"/>
    <col min="16" max="16" width="17.140625" style="6" bestFit="1" customWidth="1"/>
    <col min="17" max="17" width="19.42578125" style="6" customWidth="1"/>
    <col min="18" max="18" width="13" style="6" customWidth="1"/>
    <col min="19" max="20" width="14" style="6" customWidth="1"/>
    <col min="21" max="21" width="15" style="6" customWidth="1"/>
    <col min="22" max="22" width="14.140625" style="6" customWidth="1"/>
    <col min="23" max="23" width="14.85546875" style="6" bestFit="1" customWidth="1"/>
    <col min="24" max="24" width="13.5703125" style="6" customWidth="1"/>
    <col min="25" max="25" width="15.42578125" style="6" customWidth="1"/>
    <col min="26" max="27" width="20.140625" style="6" bestFit="1" customWidth="1"/>
    <col min="28" max="28" width="17.140625" style="6" bestFit="1" customWidth="1"/>
    <col min="29" max="16384" width="8.85546875" style="6"/>
  </cols>
  <sheetData>
    <row r="1" spans="1:27" s="184" customFormat="1" ht="25.5" customHeight="1">
      <c r="A1" s="468"/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</row>
    <row r="2" spans="1:27" ht="15.75">
      <c r="B2" s="84"/>
      <c r="C2" s="40"/>
      <c r="D2" s="40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27">
      <c r="B3" s="85"/>
      <c r="C3" s="41" t="s">
        <v>170</v>
      </c>
      <c r="D3" s="193"/>
      <c r="R3" s="87"/>
      <c r="S3" s="87"/>
      <c r="T3" s="87"/>
      <c r="U3" s="87"/>
      <c r="V3" s="87"/>
      <c r="W3" s="87"/>
      <c r="X3" s="87"/>
    </row>
    <row r="4" spans="1:27" ht="15.75">
      <c r="B4" s="201" t="s">
        <v>3</v>
      </c>
      <c r="C4" s="204">
        <f>'Hypothetical Summary'!D7</f>
        <v>0</v>
      </c>
      <c r="D4" s="1"/>
      <c r="G4" s="540" t="s">
        <v>172</v>
      </c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  <c r="S4" s="540"/>
      <c r="T4" s="540"/>
      <c r="U4" s="41"/>
      <c r="V4" s="41"/>
      <c r="W4" s="41"/>
      <c r="X4" s="41"/>
      <c r="Y4" s="41"/>
      <c r="Z4" s="41"/>
      <c r="AA4" s="41"/>
    </row>
    <row r="5" spans="1:27" ht="31.5">
      <c r="B5" s="201" t="s">
        <v>433</v>
      </c>
      <c r="C5" s="204">
        <f>'Hypothetical Summary'!D8</f>
        <v>0</v>
      </c>
      <c r="D5" s="1"/>
      <c r="F5" s="1"/>
      <c r="G5" s="90" t="s">
        <v>3</v>
      </c>
      <c r="H5" s="90" t="s">
        <v>433</v>
      </c>
      <c r="I5" s="90" t="s">
        <v>60</v>
      </c>
      <c r="J5" s="90" t="s">
        <v>5</v>
      </c>
      <c r="K5" s="90" t="s">
        <v>100</v>
      </c>
      <c r="L5" s="90" t="s">
        <v>14</v>
      </c>
      <c r="M5" s="90" t="s">
        <v>81</v>
      </c>
      <c r="N5" s="90" t="s">
        <v>102</v>
      </c>
      <c r="O5" s="90" t="s">
        <v>98</v>
      </c>
      <c r="P5" s="90" t="s">
        <v>79</v>
      </c>
      <c r="Q5" s="90" t="s">
        <v>10</v>
      </c>
      <c r="R5" s="90" t="s">
        <v>235</v>
      </c>
      <c r="S5" s="90" t="s">
        <v>88</v>
      </c>
      <c r="T5" s="90" t="s">
        <v>267</v>
      </c>
    </row>
    <row r="6" spans="1:27" ht="15.75">
      <c r="B6" s="202" t="s">
        <v>60</v>
      </c>
      <c r="C6" s="204">
        <f>'Hypothetical Summary'!D9</f>
        <v>0</v>
      </c>
      <c r="D6" s="1"/>
      <c r="F6" s="1" t="s">
        <v>449</v>
      </c>
      <c r="G6" s="91">
        <f>'SAR and RAR (TOU-A)'!H6</f>
        <v>0.11954875500949963</v>
      </c>
      <c r="H6" s="91">
        <f>'SAR and RAR (TOU-A)'!I6</f>
        <v>0.13851677628572273</v>
      </c>
      <c r="I6" s="91">
        <f>'SAR and RAR (TOU-A)'!J6</f>
        <v>0.11084737412205574</v>
      </c>
      <c r="J6" s="91">
        <f>'SAR and RAR (TOU-A)'!K6</f>
        <v>0.15934999890001589</v>
      </c>
      <c r="K6" s="91">
        <f>'SAR and RAR (TOU-A)'!L6</f>
        <v>6.1411071196190617E-2</v>
      </c>
      <c r="L6" s="91">
        <f>'SAR and RAR (TOU-A)'!M6</f>
        <v>0.12511843262201919</v>
      </c>
      <c r="M6" s="91">
        <f>'SAR and RAR (TOU-A)'!N6</f>
        <v>0.11931503905843863</v>
      </c>
      <c r="N6" s="91">
        <f>'SAR and RAR (TOU-A)'!O6</f>
        <v>0.11647502243016955</v>
      </c>
      <c r="O6" s="91">
        <f>'SAR and RAR (TOU-A)'!P6</f>
        <v>0</v>
      </c>
      <c r="P6" s="91">
        <f>'SAR and RAR (TOU-A)'!Q6</f>
        <v>0</v>
      </c>
      <c r="Q6" s="91">
        <f>'SAR and RAR (TOU-A)'!R6</f>
        <v>9.6437944900238021E-2</v>
      </c>
      <c r="R6" s="91">
        <f>'SAR and RAR (TOU-A)'!S6</f>
        <v>0.15567477264143847</v>
      </c>
      <c r="S6" s="91">
        <f>'SAR and RAR (TOU-A)'!T6</f>
        <v>0.12696685729281706</v>
      </c>
      <c r="T6" s="91">
        <f>'SAR and RAR (TOU-A)'!U6</f>
        <v>0.12123216117474646</v>
      </c>
    </row>
    <row r="7" spans="1:27" ht="15.75">
      <c r="B7" s="202" t="s">
        <v>5</v>
      </c>
      <c r="C7" s="204">
        <f>'Hypothetical Summary'!D10</f>
        <v>0</v>
      </c>
      <c r="D7" s="1"/>
      <c r="F7" s="1"/>
      <c r="G7" s="163"/>
      <c r="H7" s="163"/>
      <c r="I7" s="163"/>
      <c r="J7" s="163"/>
      <c r="K7" s="163"/>
      <c r="L7" s="163"/>
      <c r="M7" s="163"/>
      <c r="N7" s="163"/>
      <c r="O7" s="92"/>
      <c r="P7" s="92"/>
      <c r="Q7" s="92"/>
      <c r="R7" s="92"/>
      <c r="S7" s="92"/>
      <c r="T7" s="164"/>
    </row>
    <row r="8" spans="1:27" ht="15.6" customHeight="1">
      <c r="B8" s="202" t="s">
        <v>100</v>
      </c>
      <c r="C8" s="204">
        <f>'Hypothetical Summary'!D11</f>
        <v>0</v>
      </c>
      <c r="D8" s="1"/>
      <c r="F8" s="93"/>
      <c r="G8" s="540" t="s">
        <v>173</v>
      </c>
      <c r="H8" s="540"/>
      <c r="I8" s="540"/>
      <c r="J8" s="540"/>
      <c r="K8" s="540"/>
      <c r="L8" s="540"/>
      <c r="M8" s="540"/>
      <c r="N8" s="540"/>
      <c r="O8" s="540"/>
      <c r="P8" s="540"/>
      <c r="Q8" s="540"/>
      <c r="R8" s="540"/>
      <c r="S8" s="540"/>
      <c r="T8" s="540"/>
    </row>
    <row r="9" spans="1:27" ht="15.75" customHeight="1">
      <c r="B9" s="202" t="s">
        <v>14</v>
      </c>
      <c r="C9" s="204">
        <f>'Hypothetical Summary'!D12</f>
        <v>0</v>
      </c>
      <c r="D9" s="1"/>
      <c r="F9" s="94" t="s">
        <v>231</v>
      </c>
      <c r="G9" s="90" t="s">
        <v>3</v>
      </c>
      <c r="H9" s="90" t="s">
        <v>433</v>
      </c>
      <c r="I9" s="90" t="s">
        <v>60</v>
      </c>
      <c r="J9" s="90" t="s">
        <v>5</v>
      </c>
      <c r="K9" s="90" t="s">
        <v>100</v>
      </c>
      <c r="L9" s="90" t="s">
        <v>14</v>
      </c>
      <c r="M9" s="90" t="s">
        <v>81</v>
      </c>
      <c r="N9" s="90" t="s">
        <v>102</v>
      </c>
      <c r="O9" s="90" t="s">
        <v>98</v>
      </c>
      <c r="P9" s="90" t="s">
        <v>79</v>
      </c>
      <c r="Q9" s="90" t="s">
        <v>10</v>
      </c>
      <c r="R9" s="90" t="s">
        <v>235</v>
      </c>
      <c r="S9" s="90" t="s">
        <v>88</v>
      </c>
      <c r="T9" s="90" t="s">
        <v>267</v>
      </c>
    </row>
    <row r="10" spans="1:27" ht="15.75">
      <c r="B10" s="202" t="s">
        <v>81</v>
      </c>
      <c r="C10" s="204">
        <f>'Hypothetical Summary'!D13</f>
        <v>0</v>
      </c>
      <c r="D10" s="1"/>
      <c r="F10" s="1" t="s">
        <v>449</v>
      </c>
      <c r="G10" s="95">
        <f>G6*G11</f>
        <v>0</v>
      </c>
      <c r="H10" s="95">
        <f>H6*H11</f>
        <v>0</v>
      </c>
      <c r="I10" s="95">
        <f t="shared" ref="I10:T10" si="0">I6*I11</f>
        <v>0</v>
      </c>
      <c r="J10" s="95">
        <f>J6*J11</f>
        <v>0</v>
      </c>
      <c r="K10" s="95">
        <f t="shared" si="0"/>
        <v>0</v>
      </c>
      <c r="L10" s="95">
        <f t="shared" si="0"/>
        <v>0</v>
      </c>
      <c r="M10" s="95">
        <f t="shared" si="0"/>
        <v>0</v>
      </c>
      <c r="N10" s="95">
        <f t="shared" si="0"/>
        <v>0</v>
      </c>
      <c r="O10" s="95">
        <f t="shared" si="0"/>
        <v>0</v>
      </c>
      <c r="P10" s="95">
        <f t="shared" si="0"/>
        <v>0</v>
      </c>
      <c r="Q10" s="95">
        <f t="shared" si="0"/>
        <v>0</v>
      </c>
      <c r="R10" s="95">
        <f>R6*R11</f>
        <v>0</v>
      </c>
      <c r="S10" s="95">
        <f t="shared" si="0"/>
        <v>0</v>
      </c>
      <c r="T10" s="95">
        <f t="shared" si="0"/>
        <v>0</v>
      </c>
      <c r="U10" s="95">
        <f>SUM(G10:T10)</f>
        <v>0</v>
      </c>
      <c r="V10" s="190"/>
    </row>
    <row r="11" spans="1:27" ht="15.75">
      <c r="B11" s="203" t="s">
        <v>102</v>
      </c>
      <c r="C11" s="204">
        <f>'Hypothetical Summary'!D14</f>
        <v>0</v>
      </c>
      <c r="D11" s="1"/>
      <c r="F11" s="1" t="s">
        <v>174</v>
      </c>
      <c r="G11" s="116">
        <f>C4</f>
        <v>0</v>
      </c>
      <c r="H11" s="116">
        <f>C5</f>
        <v>0</v>
      </c>
      <c r="I11" s="116">
        <f>C6</f>
        <v>0</v>
      </c>
      <c r="J11" s="116">
        <f>C7</f>
        <v>0</v>
      </c>
      <c r="K11" s="116">
        <f>C8</f>
        <v>0</v>
      </c>
      <c r="L11" s="116">
        <f>C9</f>
        <v>0</v>
      </c>
      <c r="M11" s="116">
        <f>C10</f>
        <v>0</v>
      </c>
      <c r="N11" s="116">
        <f>C11</f>
        <v>0</v>
      </c>
      <c r="O11" s="116">
        <f>C12</f>
        <v>0</v>
      </c>
      <c r="P11" s="116">
        <f>C17</f>
        <v>0</v>
      </c>
      <c r="Q11" s="116">
        <f>C14</f>
        <v>0</v>
      </c>
      <c r="R11" s="116">
        <f>C16</f>
        <v>0</v>
      </c>
      <c r="S11" s="116">
        <f>C15</f>
        <v>0</v>
      </c>
      <c r="T11" s="116">
        <f>C13</f>
        <v>0</v>
      </c>
      <c r="U11" s="95">
        <f>SUM(G11:T11)</f>
        <v>0</v>
      </c>
      <c r="V11" s="189"/>
    </row>
    <row r="12" spans="1:27" ht="15.75">
      <c r="B12" s="202" t="s">
        <v>98</v>
      </c>
      <c r="C12" s="204">
        <f>'Hypothetical Summary'!D15</f>
        <v>0</v>
      </c>
      <c r="D12" s="1"/>
      <c r="F12" s="94"/>
      <c r="U12" s="95"/>
    </row>
    <row r="13" spans="1:27" ht="15.75" customHeight="1">
      <c r="B13" s="202" t="s">
        <v>267</v>
      </c>
      <c r="C13" s="204">
        <f>'Hypothetical Summary'!D16</f>
        <v>0</v>
      </c>
      <c r="D13" s="1"/>
      <c r="F13" s="1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190"/>
    </row>
    <row r="14" spans="1:27" ht="15.75" customHeight="1">
      <c r="B14" s="202" t="s">
        <v>10</v>
      </c>
      <c r="C14" s="204">
        <f>'Hypothetical Summary'!D17</f>
        <v>0</v>
      </c>
      <c r="D14" s="1"/>
      <c r="F14" s="1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95"/>
      <c r="V14" s="189"/>
    </row>
    <row r="15" spans="1:27" ht="15.75" customHeight="1">
      <c r="B15" s="202" t="s">
        <v>88</v>
      </c>
      <c r="C15" s="204">
        <f>'Hypothetical Summary'!D18</f>
        <v>0</v>
      </c>
      <c r="D15" s="1"/>
      <c r="F15" s="1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95"/>
      <c r="V15" s="189"/>
    </row>
    <row r="16" spans="1:27" ht="15.75">
      <c r="B16" s="202" t="s">
        <v>235</v>
      </c>
      <c r="C16" s="204">
        <f>'Hypothetical Summary'!D19</f>
        <v>0</v>
      </c>
      <c r="D16" s="1"/>
      <c r="F16" s="219"/>
      <c r="G16" s="39"/>
      <c r="H16" s="39"/>
      <c r="I16" s="39"/>
      <c r="J16" s="39"/>
      <c r="K16" s="93"/>
      <c r="Z16" s="1"/>
      <c r="AA16" s="98"/>
    </row>
    <row r="17" spans="2:29" ht="15.75">
      <c r="B17" s="202" t="s">
        <v>79</v>
      </c>
      <c r="C17" s="218">
        <f>'Hypothetical Summary'!D20</f>
        <v>0</v>
      </c>
      <c r="D17" s="1"/>
      <c r="U17" s="526" t="s">
        <v>278</v>
      </c>
      <c r="V17" s="527"/>
      <c r="W17" s="526" t="s">
        <v>279</v>
      </c>
      <c r="X17" s="560"/>
      <c r="Z17" s="427"/>
      <c r="AA17" s="428"/>
      <c r="AC17" s="180"/>
    </row>
    <row r="18" spans="2:29" ht="15.75">
      <c r="B18" s="1" t="s">
        <v>116</v>
      </c>
      <c r="C18" s="204">
        <f>SUM(C4:C17)</f>
        <v>0</v>
      </c>
      <c r="D18" s="1"/>
      <c r="F18" s="93"/>
      <c r="G18" s="533" t="s">
        <v>177</v>
      </c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29"/>
      <c r="U18" s="528" t="s">
        <v>178</v>
      </c>
      <c r="V18" s="529"/>
      <c r="W18" s="528" t="s">
        <v>178</v>
      </c>
      <c r="X18" s="533"/>
      <c r="Z18" s="427"/>
      <c r="AA18" s="429"/>
    </row>
    <row r="19" spans="2:29" ht="31.5">
      <c r="B19" s="2"/>
      <c r="C19" s="2"/>
      <c r="D19" s="1"/>
      <c r="E19" s="93"/>
      <c r="G19" s="90" t="s">
        <v>3</v>
      </c>
      <c r="H19" s="90" t="s">
        <v>433</v>
      </c>
      <c r="I19" s="90" t="s">
        <v>60</v>
      </c>
      <c r="J19" s="90" t="s">
        <v>5</v>
      </c>
      <c r="K19" s="90" t="s">
        <v>100</v>
      </c>
      <c r="L19" s="90" t="s">
        <v>14</v>
      </c>
      <c r="M19" s="90" t="s">
        <v>81</v>
      </c>
      <c r="N19" s="90" t="s">
        <v>102</v>
      </c>
      <c r="O19" s="90" t="s">
        <v>98</v>
      </c>
      <c r="P19" s="90" t="s">
        <v>79</v>
      </c>
      <c r="Q19" s="90" t="s">
        <v>10</v>
      </c>
      <c r="R19" s="90" t="s">
        <v>235</v>
      </c>
      <c r="S19" s="90" t="s">
        <v>88</v>
      </c>
      <c r="T19" s="90" t="s">
        <v>267</v>
      </c>
      <c r="U19" s="100" t="s">
        <v>116</v>
      </c>
      <c r="V19" s="20"/>
      <c r="W19" s="100" t="s">
        <v>116</v>
      </c>
      <c r="X19" s="20"/>
      <c r="Z19" s="427"/>
      <c r="AA19" s="107"/>
      <c r="AC19" s="106"/>
    </row>
    <row r="20" spans="2:29" ht="15.75">
      <c r="B20" s="2" t="s">
        <v>261</v>
      </c>
      <c r="C20" s="264">
        <f>'Sales Allocations'!R3</f>
        <v>1E-3</v>
      </c>
      <c r="D20" s="264"/>
      <c r="F20" s="1" t="s">
        <v>449</v>
      </c>
      <c r="G20" s="91">
        <v>1</v>
      </c>
      <c r="H20" s="91">
        <v>0</v>
      </c>
      <c r="I20" s="91">
        <v>1</v>
      </c>
      <c r="J20" s="91">
        <v>1</v>
      </c>
      <c r="K20" s="91">
        <v>1</v>
      </c>
      <c r="L20" s="91">
        <v>1</v>
      </c>
      <c r="M20" s="91">
        <v>1</v>
      </c>
      <c r="N20" s="91">
        <v>1</v>
      </c>
      <c r="O20" s="91">
        <v>1</v>
      </c>
      <c r="P20" s="91">
        <v>1</v>
      </c>
      <c r="Q20" s="91">
        <v>1</v>
      </c>
      <c r="R20" s="91">
        <v>1</v>
      </c>
      <c r="S20" s="91">
        <v>1</v>
      </c>
      <c r="T20" s="91">
        <v>0</v>
      </c>
      <c r="U20" s="103">
        <f>SUMPRODUCT(I10:S10,I20:S20)</f>
        <v>0</v>
      </c>
      <c r="V20" s="96"/>
      <c r="W20" s="103">
        <f>SUMPRODUCT(G10,G20)</f>
        <v>0</v>
      </c>
      <c r="X20" s="96"/>
      <c r="Z20" s="427"/>
      <c r="AA20" s="95"/>
    </row>
    <row r="21" spans="2:29" ht="15.75">
      <c r="B21" s="2"/>
      <c r="C21" s="2"/>
      <c r="D21" s="1"/>
      <c r="F21" s="1" t="s">
        <v>174</v>
      </c>
      <c r="G21" s="91">
        <v>1</v>
      </c>
      <c r="H21" s="91">
        <v>0</v>
      </c>
      <c r="I21" s="91">
        <v>1</v>
      </c>
      <c r="J21" s="91">
        <v>1</v>
      </c>
      <c r="K21" s="91">
        <v>1</v>
      </c>
      <c r="L21" s="91">
        <v>1</v>
      </c>
      <c r="M21" s="91">
        <v>1</v>
      </c>
      <c r="N21" s="91">
        <v>1</v>
      </c>
      <c r="O21" s="91">
        <v>1</v>
      </c>
      <c r="P21" s="91">
        <v>1</v>
      </c>
      <c r="Q21" s="91">
        <v>1</v>
      </c>
      <c r="R21" s="91">
        <v>1</v>
      </c>
      <c r="S21" s="91">
        <v>1</v>
      </c>
      <c r="T21" s="91">
        <v>0</v>
      </c>
      <c r="U21" s="103">
        <f>SUMPRODUCT(I11:S11,I21:S21)</f>
        <v>0</v>
      </c>
      <c r="V21" s="96"/>
      <c r="W21" s="103">
        <f>SUMPRODUCT(G11,G21)</f>
        <v>0</v>
      </c>
      <c r="X21" s="96"/>
      <c r="Z21" s="427"/>
      <c r="AA21" s="428"/>
      <c r="AC21" s="1"/>
    </row>
    <row r="22" spans="2:29" ht="15.75">
      <c r="B22" s="2"/>
      <c r="C22" s="537" t="s">
        <v>409</v>
      </c>
      <c r="D22" s="538"/>
      <c r="E22" s="539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T22" s="1"/>
      <c r="U22" s="116"/>
      <c r="V22" s="1"/>
      <c r="Y22" s="427"/>
      <c r="Z22" s="107"/>
      <c r="AB22" s="181"/>
    </row>
    <row r="23" spans="2:29" ht="31.5">
      <c r="B23" s="1"/>
      <c r="C23" s="89" t="s">
        <v>364</v>
      </c>
      <c r="D23" s="89" t="s">
        <v>365</v>
      </c>
      <c r="E23" s="89" t="s">
        <v>366</v>
      </c>
      <c r="F23" s="41"/>
      <c r="T23" s="89"/>
      <c r="U23" s="1"/>
      <c r="Z23" s="108"/>
    </row>
    <row r="24" spans="2:29" ht="15.75">
      <c r="B24" s="114" t="s">
        <v>449</v>
      </c>
      <c r="C24" s="269">
        <f>'SAR and RAR (TOU-A)'!C25</f>
        <v>2322265.1483130348</v>
      </c>
      <c r="D24" s="269">
        <f>'SAR and RAR (TOU-A)'!D25</f>
        <v>2365307.5942632677</v>
      </c>
      <c r="E24" s="4">
        <f>'SAR and RAR (TOU-A)'!E25</f>
        <v>506275.86907375313</v>
      </c>
      <c r="F24" s="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1"/>
      <c r="T24" s="223"/>
      <c r="U24" s="223"/>
      <c r="V24" s="1"/>
      <c r="W24" s="1"/>
      <c r="Y24" s="1"/>
      <c r="Z24" s="1"/>
    </row>
    <row r="25" spans="2:29" ht="15.75">
      <c r="B25" s="114" t="s">
        <v>174</v>
      </c>
      <c r="C25" s="269">
        <f>'SAR and RAR (TOU-A)'!C26</f>
        <v>18290443.717099715</v>
      </c>
      <c r="D25" s="269">
        <f>'SAR and RAR (TOU-A)'!D26</f>
        <v>19824065.592477757</v>
      </c>
      <c r="E25" s="4">
        <f>'SAR and RAR (TOU-A)'!E26</f>
        <v>3624964.0447133603</v>
      </c>
      <c r="F25" s="20"/>
      <c r="G25" s="109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23"/>
      <c r="U25" s="223"/>
      <c r="V25" s="110"/>
      <c r="W25" s="110"/>
      <c r="Y25" s="1"/>
      <c r="Z25" s="1"/>
    </row>
    <row r="26" spans="2:29" ht="15.75">
      <c r="B26" s="2"/>
      <c r="C26" s="2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111"/>
      <c r="U26" s="112"/>
      <c r="V26" s="112"/>
      <c r="W26" s="112"/>
      <c r="Y26" s="1"/>
      <c r="Z26" s="1"/>
    </row>
    <row r="27" spans="2:29" ht="15.75">
      <c r="B27" s="2"/>
      <c r="C27" s="2"/>
      <c r="D27" s="1"/>
      <c r="E27" s="1"/>
      <c r="F27" s="530" t="s">
        <v>181</v>
      </c>
      <c r="G27" s="531"/>
      <c r="H27" s="531"/>
      <c r="I27" s="532"/>
      <c r="J27" s="2"/>
      <c r="K27" s="2"/>
      <c r="O27" s="1"/>
      <c r="P27" s="530" t="s">
        <v>182</v>
      </c>
      <c r="Q27" s="531"/>
      <c r="R27" s="531"/>
      <c r="S27" s="531"/>
      <c r="T27" s="532"/>
      <c r="U27" s="224"/>
      <c r="V27" s="1"/>
      <c r="W27" s="113"/>
      <c r="AA27" s="1"/>
      <c r="AB27" s="1"/>
    </row>
    <row r="28" spans="2:29" ht="63">
      <c r="B28" s="2"/>
      <c r="C28" s="2"/>
      <c r="D28" s="1"/>
      <c r="E28" s="1"/>
      <c r="F28" s="89" t="str">
        <f>Summary!I3&amp;" Authorized Sales Forecast - Bundled"</f>
        <v>2024 Authorized Sales Forecast - Bundled</v>
      </c>
      <c r="G28" s="89" t="str">
        <f>'SAR and RAR'!H23</f>
        <v>3/1/2024 Avg Rates(sales adj.)</v>
      </c>
      <c r="H28" s="89" t="s">
        <v>232</v>
      </c>
      <c r="I28" s="89" t="s">
        <v>233</v>
      </c>
      <c r="J28" s="89"/>
      <c r="K28" s="89"/>
      <c r="O28" s="1"/>
      <c r="P28" s="89" t="str">
        <f>F28</f>
        <v>2024 Authorized Sales Forecast - Bundled</v>
      </c>
      <c r="Q28" s="89" t="str">
        <f>G28</f>
        <v>3/1/2024 Avg Rates(sales adj.)</v>
      </c>
      <c r="R28" s="89" t="s">
        <v>232</v>
      </c>
      <c r="S28" s="89" t="s">
        <v>233</v>
      </c>
      <c r="U28" s="89"/>
      <c r="V28" s="89"/>
      <c r="W28" s="113"/>
      <c r="AA28" s="1"/>
      <c r="AB28" s="1"/>
    </row>
    <row r="29" spans="2:29" ht="15.75">
      <c r="B29" s="2"/>
      <c r="C29" s="2"/>
      <c r="D29" s="1"/>
      <c r="E29" s="114" t="s">
        <v>449</v>
      </c>
      <c r="F29" s="269">
        <f>'SAR and RAR (TOU-A)'!G24</f>
        <v>506275.86907375313</v>
      </c>
      <c r="G29" s="165">
        <f>'SAR and RAR (TOU-A)'!H24</f>
        <v>34.765999999999998</v>
      </c>
      <c r="H29" s="183">
        <f>(SUM($I10:$K10,$P10:$Q10,$S10)/(IF(Summary!D2=2024,$C24,$C34))*100)+(SUM($L10:$O10,$R10)/(IF(Summary!D2=2024,$D24,$D34))*100)+($G10/(IF(Summary!D2=2024,$E24,$E34))*100)+G29</f>
        <v>34.765999999999998</v>
      </c>
      <c r="I29" s="361">
        <f>H29/G29-1</f>
        <v>0</v>
      </c>
      <c r="J29" s="115"/>
      <c r="K29" s="115"/>
      <c r="O29" s="114" t="s">
        <v>449</v>
      </c>
      <c r="P29" s="105">
        <f>'SAR and RAR (TOU-A)'!R24</f>
        <v>2322265.1483130348</v>
      </c>
      <c r="Q29" s="166">
        <f>'SAR and RAR (TOU-A)'!S24</f>
        <v>35.451507382902832</v>
      </c>
      <c r="R29" s="183">
        <f>H29+($Q29-$G29)+($T10/((IF(Summary!D2=2024,$C24,$C34))-(IF(Summary!D2=2024,$E24,$E34)))*100)</f>
        <v>35.451507382902832</v>
      </c>
      <c r="S29" s="225">
        <f>R29/Q29-1</f>
        <v>0</v>
      </c>
      <c r="U29" s="115"/>
      <c r="V29" s="115"/>
      <c r="W29" s="113"/>
      <c r="Y29" s="116"/>
    </row>
    <row r="30" spans="2:29" ht="15.75">
      <c r="E30" s="114" t="s">
        <v>174</v>
      </c>
      <c r="F30" s="269">
        <f>'SAR and RAR (TOU-A)'!G25</f>
        <v>3624964.0447133603</v>
      </c>
      <c r="G30" s="165">
        <f>'SAR and RAR (TOU-A)'!H25</f>
        <v>33.097999999999999</v>
      </c>
      <c r="H30" s="183">
        <f>(SUM($I11:$K11,$P11:$Q11,$S11)/(IF(Summary!D2=2024,$C25,$C35))*100)+(SUM($L11:$O11,$R11)/(IF(Summary!D2=2024,$D25,$D35))*100)+($G11/(IF(Summary!D2=2024,$E25,$E35))*100)+G30</f>
        <v>33.097999999999999</v>
      </c>
      <c r="I30" s="361">
        <f>H30/G30-1</f>
        <v>0</v>
      </c>
      <c r="J30" s="115"/>
      <c r="K30" s="115"/>
      <c r="O30" s="114" t="s">
        <v>174</v>
      </c>
      <c r="P30" s="105">
        <f>'SAR and RAR (TOU-A)'!R25</f>
        <v>18290443.717099715</v>
      </c>
      <c r="Q30" s="166">
        <f>'SAR and RAR (TOU-A)'!S25</f>
        <v>33.797553926204316</v>
      </c>
      <c r="R30" s="183">
        <f>H30+($Q30-$G30)+($T11/((IF(Summary!D2=2024,$C25,$C35))-(IF(Summary!D2=2024,$E25,$E35)))*100)</f>
        <v>33.797553926204316</v>
      </c>
      <c r="S30" s="225">
        <f>R30/Q30-1</f>
        <v>0</v>
      </c>
      <c r="U30" s="115"/>
      <c r="V30" s="115"/>
      <c r="W30" s="117"/>
    </row>
    <row r="31" spans="2:29" ht="15.75">
      <c r="R31" s="1"/>
      <c r="S31" s="1"/>
      <c r="T31" s="111"/>
      <c r="U31" s="112"/>
      <c r="V31" s="111"/>
      <c r="W31" s="113"/>
    </row>
    <row r="32" spans="2:29" ht="15.75">
      <c r="C32" s="537" t="s">
        <v>516</v>
      </c>
      <c r="D32" s="538"/>
      <c r="E32" s="539"/>
      <c r="R32" s="1"/>
      <c r="S32" s="1"/>
      <c r="T32" s="111"/>
      <c r="U32" s="112"/>
      <c r="V32" s="111"/>
      <c r="W32" s="117"/>
      <c r="X32" s="117"/>
    </row>
    <row r="33" spans="2:25" ht="31.5">
      <c r="B33" s="1"/>
      <c r="C33" s="89" t="s">
        <v>364</v>
      </c>
      <c r="D33" s="89" t="s">
        <v>365</v>
      </c>
      <c r="E33" s="89" t="s">
        <v>366</v>
      </c>
      <c r="F33" s="320"/>
      <c r="G33" s="320"/>
      <c r="H33" s="320"/>
      <c r="I33" s="20"/>
      <c r="J33" s="20"/>
      <c r="K33" s="20"/>
      <c r="L33" s="1"/>
      <c r="M33" s="1"/>
      <c r="N33" s="1"/>
      <c r="O33" s="1"/>
      <c r="P33" s="1"/>
      <c r="Q33" s="1"/>
      <c r="R33" s="1"/>
      <c r="S33" s="1"/>
      <c r="T33" s="111"/>
      <c r="U33" s="112"/>
      <c r="V33" s="111"/>
      <c r="W33" s="117"/>
      <c r="X33" s="117"/>
      <c r="Y33" s="113"/>
    </row>
    <row r="34" spans="2:25" ht="15.75">
      <c r="B34" s="114" t="s">
        <v>449</v>
      </c>
      <c r="C34" s="354">
        <f>'SAR and RAR (TOU-A)'!C38</f>
        <v>2428289.2411020878</v>
      </c>
      <c r="D34" s="354">
        <f>'SAR and RAR (TOU-A)'!D38</f>
        <v>2465317.8217447591</v>
      </c>
      <c r="E34" s="4">
        <f>'SAR and RAR (TOU-A)'!E38</f>
        <v>502540.6164810523</v>
      </c>
      <c r="F34" s="89"/>
      <c r="G34" s="89"/>
      <c r="H34" s="360"/>
      <c r="I34" s="20"/>
      <c r="J34" s="20"/>
      <c r="K34" s="20"/>
      <c r="L34" s="1"/>
      <c r="M34" s="1"/>
      <c r="N34" s="1"/>
      <c r="O34" s="1"/>
      <c r="P34" s="1"/>
      <c r="Q34" s="1"/>
      <c r="R34" s="1"/>
      <c r="S34" s="1"/>
      <c r="T34" s="111"/>
      <c r="U34" s="112"/>
      <c r="V34" s="111"/>
      <c r="W34" s="113"/>
      <c r="X34" s="117"/>
      <c r="Y34" s="113"/>
    </row>
    <row r="35" spans="2:25" ht="15.75">
      <c r="B35" s="114" t="s">
        <v>174</v>
      </c>
      <c r="C35" s="354">
        <f>'SAR and RAR (TOU-A)'!C39</f>
        <v>18290445.652985182</v>
      </c>
      <c r="D35" s="354">
        <f>'SAR and RAR (TOU-A)'!D39</f>
        <v>20272867.503732543</v>
      </c>
      <c r="E35" s="4">
        <f>'SAR and RAR (TOU-A)'!E39</f>
        <v>3877834.6865865677</v>
      </c>
      <c r="F35" s="3"/>
      <c r="G35" s="4"/>
      <c r="H35" s="5"/>
      <c r="I35" s="20"/>
      <c r="J35" s="20"/>
      <c r="K35" s="20"/>
      <c r="L35" s="1"/>
      <c r="M35" s="1"/>
      <c r="N35" s="1"/>
      <c r="O35" s="1"/>
      <c r="P35" s="1"/>
      <c r="Q35" s="1"/>
      <c r="R35" s="1"/>
      <c r="S35" s="1"/>
      <c r="T35" s="111"/>
      <c r="U35" s="112"/>
      <c r="V35" s="112"/>
      <c r="W35" s="110"/>
      <c r="X35" s="117"/>
      <c r="Y35" s="113"/>
    </row>
    <row r="36" spans="2:25" ht="15.75">
      <c r="E36" s="1"/>
      <c r="F36" s="3"/>
      <c r="G36" s="4"/>
      <c r="H36" s="5"/>
      <c r="I36" s="20"/>
      <c r="J36" s="20"/>
      <c r="K36" s="20"/>
      <c r="L36" s="1"/>
      <c r="M36" s="1"/>
      <c r="N36" s="1"/>
      <c r="O36" s="1"/>
      <c r="P36" s="1"/>
      <c r="Q36" s="1"/>
      <c r="R36" s="1"/>
      <c r="S36" s="1"/>
      <c r="T36" s="111"/>
      <c r="U36" s="112"/>
      <c r="V36" s="111"/>
      <c r="W36" s="113"/>
      <c r="X36" s="117"/>
      <c r="Y36" s="117"/>
    </row>
    <row r="37" spans="2:25" ht="15.75">
      <c r="E37" s="1"/>
      <c r="F37" s="3"/>
      <c r="G37" s="4"/>
      <c r="H37" s="5"/>
      <c r="I37" s="20"/>
      <c r="J37" s="20"/>
      <c r="K37" s="20"/>
      <c r="L37" s="1"/>
      <c r="M37" s="1"/>
      <c r="N37" s="1"/>
      <c r="O37" s="1"/>
      <c r="P37" s="1"/>
      <c r="Q37" s="1"/>
      <c r="R37" s="1"/>
      <c r="S37" s="1"/>
      <c r="T37" s="111"/>
      <c r="U37" s="112"/>
      <c r="V37" s="112"/>
      <c r="W37" s="112"/>
      <c r="X37" s="112"/>
      <c r="Y37" s="113"/>
    </row>
    <row r="38" spans="2:25" ht="15.75">
      <c r="E38" s="1"/>
      <c r="F38" s="3"/>
      <c r="G38" s="4"/>
      <c r="H38" s="5"/>
      <c r="I38" s="20"/>
      <c r="J38" s="20"/>
      <c r="K38" s="20"/>
      <c r="L38" s="1"/>
      <c r="M38" s="1"/>
      <c r="N38" s="1"/>
      <c r="O38" s="1"/>
      <c r="P38" s="1"/>
      <c r="Q38" s="1"/>
      <c r="R38" s="1"/>
      <c r="S38" s="1"/>
      <c r="T38" s="111"/>
      <c r="U38" s="525"/>
      <c r="V38" s="525"/>
      <c r="W38" s="112"/>
      <c r="X38" s="117"/>
      <c r="Y38" s="112"/>
    </row>
    <row r="39" spans="2:25" ht="15.75">
      <c r="B39" s="2"/>
      <c r="C39" s="2"/>
      <c r="E39" s="1"/>
      <c r="F39" s="3"/>
      <c r="G39" s="4"/>
      <c r="H39" s="5"/>
      <c r="I39" s="20"/>
      <c r="J39" s="20"/>
      <c r="K39" s="20"/>
      <c r="L39" s="1"/>
      <c r="M39" s="1"/>
      <c r="N39" s="1"/>
      <c r="O39" s="1"/>
      <c r="P39" s="1"/>
      <c r="Q39" s="1"/>
      <c r="R39" s="1"/>
      <c r="S39" s="1"/>
      <c r="T39" s="111"/>
      <c r="U39" s="112"/>
      <c r="V39" s="111"/>
      <c r="W39" s="117"/>
      <c r="X39" s="113"/>
      <c r="Y39" s="113"/>
    </row>
    <row r="40" spans="2:25" ht="15.75">
      <c r="B40" s="2"/>
      <c r="C40" s="2"/>
      <c r="E40" s="1"/>
      <c r="F40" s="3"/>
      <c r="G40" s="4"/>
      <c r="H40" s="5"/>
      <c r="I40" s="20"/>
      <c r="J40" s="20"/>
      <c r="K40" s="20"/>
      <c r="L40" s="1"/>
      <c r="M40" s="1"/>
      <c r="N40" s="1"/>
      <c r="O40" s="1"/>
      <c r="P40" s="1"/>
      <c r="Q40" s="1"/>
      <c r="R40" s="1"/>
      <c r="S40" s="1"/>
      <c r="T40" s="111"/>
      <c r="U40" s="112"/>
      <c r="V40" s="111"/>
      <c r="W40" s="117"/>
      <c r="X40" s="117"/>
      <c r="Y40" s="113"/>
    </row>
    <row r="41" spans="2:25" ht="15.75">
      <c r="B41" s="2"/>
      <c r="C41" s="2"/>
      <c r="E41" s="1"/>
      <c r="F41" s="3"/>
      <c r="G41" s="4"/>
      <c r="H41" s="5"/>
      <c r="I41" s="20"/>
      <c r="J41" s="20"/>
      <c r="K41" s="20"/>
      <c r="L41" s="1"/>
      <c r="M41" s="1"/>
      <c r="N41" s="1"/>
      <c r="O41" s="1"/>
      <c r="P41" s="1"/>
      <c r="Q41" s="1"/>
      <c r="R41" s="1"/>
      <c r="S41" s="1"/>
      <c r="T41" s="111"/>
      <c r="U41" s="112"/>
      <c r="V41" s="111"/>
      <c r="W41" s="117"/>
      <c r="X41" s="117"/>
      <c r="Y41" s="117"/>
    </row>
    <row r="42" spans="2:25" ht="15.75">
      <c r="B42" s="2"/>
      <c r="C42" s="2"/>
      <c r="D42" s="1"/>
      <c r="E42" s="1"/>
      <c r="F42" s="20"/>
      <c r="G42" s="20"/>
      <c r="H42" s="20"/>
      <c r="I42" s="20"/>
      <c r="J42" s="20"/>
      <c r="K42" s="20"/>
      <c r="L42" s="1"/>
      <c r="M42" s="1"/>
      <c r="N42" s="1"/>
      <c r="O42" s="1"/>
      <c r="P42" s="1"/>
      <c r="Q42" s="1"/>
      <c r="R42" s="1"/>
      <c r="S42" s="1"/>
      <c r="T42" s="111"/>
      <c r="U42" s="112"/>
      <c r="V42" s="111"/>
      <c r="W42" s="117"/>
      <c r="X42" s="113"/>
      <c r="Y42" s="113"/>
    </row>
    <row r="43" spans="2:25" ht="15.75">
      <c r="B43" s="2"/>
      <c r="C43" s="2"/>
      <c r="D43" s="1"/>
      <c r="E43" s="1"/>
      <c r="F43" s="20"/>
      <c r="G43" s="20"/>
      <c r="H43" s="20"/>
      <c r="I43" s="20"/>
      <c r="J43" s="20"/>
      <c r="K43" s="20"/>
      <c r="L43" s="1"/>
      <c r="M43" s="1"/>
      <c r="N43" s="1"/>
      <c r="O43" s="1"/>
      <c r="P43" s="1"/>
      <c r="Q43" s="1"/>
      <c r="R43" s="1"/>
      <c r="S43" s="1"/>
      <c r="T43" s="111"/>
      <c r="U43" s="112"/>
      <c r="V43" s="111"/>
      <c r="W43" s="117"/>
      <c r="X43" s="110"/>
      <c r="Y43" s="113"/>
    </row>
    <row r="44" spans="2:25" ht="15.75">
      <c r="B44" s="2"/>
      <c r="C44" s="2"/>
      <c r="D44" s="1"/>
      <c r="E44" s="1"/>
      <c r="F44" s="20"/>
      <c r="G44" s="20"/>
      <c r="H44" s="20"/>
      <c r="I44" s="20"/>
      <c r="J44" s="20"/>
      <c r="K44" s="20"/>
      <c r="L44" s="1"/>
      <c r="M44" s="1"/>
      <c r="N44" s="1"/>
      <c r="O44" s="1"/>
      <c r="P44" s="1"/>
      <c r="Q44" s="1"/>
      <c r="R44" s="1"/>
      <c r="S44" s="1"/>
      <c r="T44" s="111"/>
      <c r="U44" s="112"/>
      <c r="V44" s="111"/>
      <c r="W44" s="117"/>
      <c r="X44" s="113"/>
      <c r="Y44" s="110"/>
    </row>
    <row r="45" spans="2:25" ht="15.75">
      <c r="B45" s="2"/>
      <c r="C45" s="2"/>
      <c r="D45" s="1"/>
      <c r="E45" s="1"/>
      <c r="F45" s="20"/>
      <c r="G45" s="20"/>
      <c r="H45" s="20"/>
      <c r="I45" s="20"/>
      <c r="J45" s="20"/>
      <c r="K45" s="20"/>
      <c r="L45" s="1"/>
      <c r="M45" s="1"/>
      <c r="N45" s="1"/>
      <c r="O45" s="1"/>
      <c r="P45" s="1"/>
      <c r="Q45" s="1"/>
      <c r="R45" s="1"/>
      <c r="S45" s="1"/>
      <c r="T45" s="111"/>
      <c r="U45" s="112"/>
      <c r="V45" s="112"/>
      <c r="W45" s="110"/>
      <c r="X45" s="112"/>
      <c r="Y45" s="113"/>
    </row>
    <row r="46" spans="2:25" ht="15.75">
      <c r="B46" s="2"/>
      <c r="C46" s="2"/>
      <c r="D46" s="1"/>
      <c r="E46" s="1"/>
      <c r="F46" s="20"/>
      <c r="G46" s="20"/>
      <c r="H46" s="20"/>
      <c r="I46" s="20"/>
      <c r="J46" s="20"/>
      <c r="K46" s="20"/>
      <c r="L46" s="1"/>
      <c r="M46" s="1"/>
      <c r="N46" s="1"/>
      <c r="O46" s="1"/>
      <c r="P46" s="1"/>
      <c r="Q46" s="1"/>
      <c r="R46" s="1"/>
      <c r="S46" s="1"/>
      <c r="T46" s="111"/>
      <c r="U46" s="112"/>
      <c r="V46" s="111"/>
      <c r="W46" s="117"/>
      <c r="X46" s="112"/>
      <c r="Y46" s="112"/>
    </row>
    <row r="47" spans="2:25" ht="15.75">
      <c r="B47" s="2"/>
      <c r="C47" s="2"/>
      <c r="D47" s="1"/>
      <c r="E47" s="1"/>
      <c r="F47" s="20"/>
      <c r="G47" s="20"/>
      <c r="H47" s="20"/>
      <c r="I47" s="20"/>
      <c r="J47" s="20"/>
      <c r="K47" s="20"/>
      <c r="L47" s="1"/>
      <c r="M47" s="1"/>
      <c r="N47" s="1"/>
      <c r="O47" s="1"/>
      <c r="P47" s="1"/>
      <c r="Q47" s="1"/>
      <c r="R47" s="1"/>
      <c r="S47" s="1"/>
      <c r="T47" s="111"/>
      <c r="U47" s="112"/>
      <c r="V47" s="112"/>
      <c r="W47" s="112"/>
      <c r="X47" s="113"/>
      <c r="Y47" s="112"/>
    </row>
    <row r="48" spans="2:25" ht="15.75">
      <c r="B48" s="2"/>
      <c r="C48" s="2"/>
      <c r="D48" s="1"/>
      <c r="E48" s="1"/>
      <c r="F48" s="20"/>
      <c r="G48" s="20"/>
      <c r="H48" s="20"/>
      <c r="I48" s="20"/>
      <c r="J48" s="20"/>
      <c r="K48" s="20"/>
      <c r="L48" s="1"/>
      <c r="M48" s="1"/>
      <c r="N48" s="1"/>
      <c r="O48" s="1"/>
      <c r="P48" s="1"/>
      <c r="Q48" s="1"/>
      <c r="R48" s="1"/>
      <c r="S48" s="1"/>
      <c r="T48" s="111"/>
      <c r="U48" s="525"/>
      <c r="V48" s="525"/>
      <c r="W48" s="112"/>
      <c r="X48" s="113"/>
      <c r="Y48" s="113"/>
    </row>
    <row r="49" spans="2:25" ht="15.75">
      <c r="B49" s="2"/>
      <c r="C49" s="2"/>
      <c r="D49" s="1"/>
      <c r="E49" s="1"/>
      <c r="F49" s="20"/>
      <c r="G49" s="20"/>
      <c r="H49" s="20"/>
      <c r="I49" s="20"/>
      <c r="J49" s="20"/>
      <c r="K49" s="20"/>
      <c r="L49" s="1"/>
      <c r="M49" s="1"/>
      <c r="N49" s="1"/>
      <c r="O49" s="1"/>
      <c r="P49" s="1"/>
      <c r="Q49" s="1"/>
      <c r="R49" s="1"/>
      <c r="S49" s="1"/>
      <c r="T49" s="111"/>
      <c r="U49" s="112"/>
      <c r="V49" s="111"/>
      <c r="W49" s="117"/>
      <c r="X49" s="113"/>
      <c r="Y49" s="113"/>
    </row>
    <row r="50" spans="2:25" ht="15.75">
      <c r="B50" s="2"/>
      <c r="C50" s="2"/>
      <c r="D50" s="1"/>
      <c r="E50" s="1"/>
      <c r="F50" s="20"/>
      <c r="G50" s="20"/>
      <c r="H50" s="20"/>
      <c r="I50" s="20"/>
      <c r="J50" s="20"/>
      <c r="K50" s="20"/>
      <c r="L50" s="1"/>
      <c r="M50" s="1"/>
      <c r="N50" s="1"/>
      <c r="O50" s="1"/>
      <c r="P50" s="1"/>
      <c r="Q50" s="1"/>
      <c r="R50" s="1"/>
      <c r="S50" s="1"/>
      <c r="T50" s="111"/>
      <c r="U50" s="112"/>
      <c r="V50" s="111"/>
      <c r="W50" s="117"/>
      <c r="X50" s="117"/>
      <c r="Y50" s="113"/>
    </row>
    <row r="51" spans="2:25" ht="15.75">
      <c r="B51" s="2"/>
      <c r="C51" s="2"/>
      <c r="D51" s="1"/>
      <c r="E51" s="1"/>
      <c r="F51" s="20"/>
      <c r="G51" s="20"/>
      <c r="H51" s="20"/>
      <c r="I51" s="20"/>
      <c r="J51" s="20"/>
      <c r="K51" s="20"/>
      <c r="L51" s="1"/>
      <c r="M51" s="1"/>
      <c r="N51" s="1"/>
      <c r="O51" s="1"/>
      <c r="P51" s="1"/>
      <c r="Q51" s="1"/>
      <c r="R51" s="1"/>
      <c r="S51" s="1"/>
      <c r="T51" s="111"/>
      <c r="U51" s="112"/>
      <c r="V51" s="112"/>
      <c r="W51" s="110"/>
      <c r="X51" s="117"/>
      <c r="Y51" s="113"/>
    </row>
    <row r="52" spans="2:25" ht="15.75">
      <c r="B52" s="2"/>
      <c r="C52" s="2"/>
      <c r="D52" s="1"/>
      <c r="E52" s="1"/>
      <c r="F52" s="20"/>
      <c r="G52" s="20"/>
      <c r="H52" s="20"/>
      <c r="I52" s="20"/>
      <c r="J52" s="20"/>
      <c r="K52" s="20"/>
      <c r="L52" s="1"/>
      <c r="M52" s="1"/>
      <c r="N52" s="1"/>
      <c r="O52" s="1"/>
      <c r="P52" s="1"/>
      <c r="Q52" s="1"/>
      <c r="R52" s="1"/>
      <c r="S52" s="1"/>
      <c r="T52" s="111"/>
      <c r="U52" s="112"/>
      <c r="V52" s="111"/>
      <c r="W52" s="117"/>
      <c r="X52" s="113"/>
      <c r="Y52" s="113"/>
    </row>
    <row r="53" spans="2:25" ht="15.75">
      <c r="B53" s="2"/>
      <c r="C53" s="2"/>
      <c r="D53" s="1"/>
      <c r="E53" s="1"/>
      <c r="F53" s="20"/>
      <c r="G53" s="20"/>
      <c r="H53" s="20"/>
      <c r="I53" s="20"/>
      <c r="J53" s="20"/>
      <c r="K53" s="20"/>
      <c r="L53" s="1"/>
      <c r="M53" s="1"/>
      <c r="N53" s="1"/>
      <c r="O53" s="1"/>
      <c r="P53" s="1"/>
      <c r="Q53" s="1"/>
      <c r="R53" s="1"/>
      <c r="S53" s="1"/>
      <c r="T53" s="111"/>
      <c r="U53" s="112"/>
      <c r="V53" s="112"/>
      <c r="W53" s="112"/>
      <c r="X53" s="110"/>
      <c r="Y53" s="113"/>
    </row>
    <row r="54" spans="2:25" ht="15.75">
      <c r="B54" s="2"/>
      <c r="C54" s="2"/>
      <c r="D54" s="1"/>
      <c r="E54" s="1"/>
      <c r="F54" s="20"/>
      <c r="G54" s="20"/>
      <c r="H54" s="20"/>
      <c r="I54" s="20"/>
      <c r="J54" s="20"/>
      <c r="K54" s="20"/>
      <c r="L54" s="1"/>
      <c r="M54" s="1"/>
      <c r="N54" s="1"/>
      <c r="O54" s="1"/>
      <c r="P54" s="1"/>
      <c r="Q54" s="1"/>
      <c r="R54" s="1"/>
      <c r="S54" s="1"/>
      <c r="T54" s="111"/>
      <c r="U54" s="525"/>
      <c r="V54" s="525"/>
      <c r="W54" s="112"/>
      <c r="X54" s="113"/>
      <c r="Y54" s="110"/>
    </row>
    <row r="55" spans="2:25" ht="15.75">
      <c r="B55" s="1"/>
      <c r="C55" s="1"/>
      <c r="D55" s="1"/>
      <c r="E55" s="1"/>
      <c r="F55" s="20"/>
      <c r="G55" s="20"/>
      <c r="H55" s="20"/>
      <c r="I55" s="20"/>
      <c r="J55" s="20"/>
      <c r="K55" s="20"/>
      <c r="L55" s="1"/>
      <c r="M55" s="1"/>
      <c r="N55" s="1"/>
      <c r="O55" s="1"/>
      <c r="P55" s="1"/>
      <c r="Q55" s="1"/>
      <c r="R55" s="1"/>
      <c r="S55" s="1"/>
      <c r="T55" s="111"/>
      <c r="U55" s="112"/>
      <c r="V55" s="111"/>
      <c r="W55" s="117"/>
      <c r="X55" s="112"/>
      <c r="Y55" s="113"/>
    </row>
    <row r="56" spans="2:25" ht="15.75">
      <c r="B56" s="1"/>
      <c r="C56" s="1"/>
      <c r="D56" s="1"/>
      <c r="E56" s="1"/>
      <c r="F56" s="20"/>
      <c r="G56" s="20"/>
      <c r="H56" s="20"/>
      <c r="I56" s="20"/>
      <c r="J56" s="20"/>
      <c r="K56" s="20"/>
      <c r="L56" s="1"/>
      <c r="M56" s="1"/>
      <c r="N56" s="1"/>
      <c r="O56" s="1"/>
      <c r="P56" s="1"/>
      <c r="Q56" s="1"/>
      <c r="R56" s="1"/>
      <c r="S56" s="1"/>
      <c r="T56" s="111"/>
      <c r="U56" s="112"/>
      <c r="V56" s="111"/>
      <c r="W56" s="117"/>
      <c r="X56" s="112"/>
      <c r="Y56" s="112"/>
    </row>
    <row r="57" spans="2:25" ht="15.75">
      <c r="B57" s="1"/>
      <c r="C57" s="1"/>
      <c r="D57" s="1"/>
      <c r="E57" s="1"/>
      <c r="F57" s="20"/>
      <c r="G57" s="20"/>
      <c r="H57" s="20"/>
      <c r="I57" s="20"/>
      <c r="J57" s="20"/>
      <c r="K57" s="20"/>
      <c r="L57" s="1"/>
      <c r="M57" s="1"/>
      <c r="N57" s="1"/>
      <c r="O57" s="1"/>
      <c r="P57" s="1"/>
      <c r="Q57" s="1"/>
      <c r="R57" s="1"/>
      <c r="S57" s="1"/>
      <c r="T57" s="111"/>
      <c r="U57" s="112"/>
      <c r="V57" s="111"/>
      <c r="W57" s="113"/>
      <c r="X57" s="117"/>
      <c r="Y57" s="112"/>
    </row>
    <row r="58" spans="2:25" ht="15.75">
      <c r="B58" s="1"/>
      <c r="C58" s="1"/>
      <c r="D58" s="1"/>
      <c r="E58" s="1"/>
      <c r="F58" s="20"/>
      <c r="G58" s="20"/>
      <c r="H58" s="20"/>
      <c r="I58" s="20"/>
      <c r="J58" s="20"/>
      <c r="K58" s="20"/>
      <c r="L58" s="1"/>
      <c r="M58" s="1"/>
      <c r="N58" s="1"/>
      <c r="O58" s="1"/>
      <c r="P58" s="1"/>
      <c r="Q58" s="1"/>
      <c r="R58" s="1"/>
      <c r="S58" s="1"/>
      <c r="T58" s="111"/>
      <c r="U58" s="112"/>
      <c r="V58" s="111"/>
      <c r="W58" s="117"/>
      <c r="X58" s="117"/>
      <c r="Y58" s="113"/>
    </row>
    <row r="59" spans="2:25" ht="15.75">
      <c r="B59" s="1"/>
      <c r="C59" s="1"/>
      <c r="D59" s="1"/>
      <c r="E59" s="1"/>
      <c r="F59" s="20"/>
      <c r="G59" s="20"/>
      <c r="H59" s="20"/>
      <c r="I59" s="20"/>
      <c r="J59" s="20"/>
      <c r="K59" s="20"/>
      <c r="L59" s="1"/>
      <c r="M59" s="1"/>
      <c r="N59" s="1"/>
      <c r="O59" s="1"/>
      <c r="P59" s="1"/>
      <c r="Q59" s="1"/>
      <c r="R59" s="1"/>
      <c r="S59" s="1"/>
      <c r="T59" s="111"/>
      <c r="U59" s="112"/>
      <c r="V59" s="111"/>
      <c r="W59" s="117"/>
      <c r="X59" s="110"/>
      <c r="Y59" s="113"/>
    </row>
    <row r="60" spans="2:25" ht="15.75">
      <c r="B60" s="1"/>
      <c r="C60" s="1"/>
      <c r="D60" s="1"/>
      <c r="E60" s="1"/>
      <c r="F60" s="20"/>
      <c r="G60" s="20"/>
      <c r="H60" s="20"/>
      <c r="I60" s="20"/>
      <c r="J60" s="20"/>
      <c r="K60" s="20"/>
      <c r="L60" s="1"/>
      <c r="M60" s="1"/>
      <c r="N60" s="1"/>
      <c r="O60" s="1"/>
      <c r="P60" s="1"/>
      <c r="Q60" s="1"/>
      <c r="R60" s="1"/>
      <c r="S60" s="1"/>
      <c r="T60" s="111"/>
      <c r="U60" s="112"/>
      <c r="V60" s="112"/>
      <c r="W60" s="110"/>
      <c r="X60" s="117"/>
      <c r="Y60" s="110"/>
    </row>
    <row r="61" spans="2:25" ht="15.75">
      <c r="B61" s="1"/>
      <c r="C61" s="1"/>
      <c r="D61" s="1"/>
      <c r="E61" s="1"/>
      <c r="F61" s="20"/>
      <c r="G61" s="20"/>
      <c r="H61" s="20"/>
      <c r="I61" s="20"/>
      <c r="J61" s="20"/>
      <c r="K61" s="20"/>
      <c r="L61" s="1"/>
      <c r="M61" s="1"/>
      <c r="N61" s="1"/>
      <c r="O61" s="1"/>
      <c r="P61" s="1"/>
      <c r="Q61" s="1"/>
      <c r="R61" s="1"/>
      <c r="S61" s="1"/>
      <c r="T61" s="111"/>
      <c r="U61" s="112"/>
      <c r="V61" s="111"/>
      <c r="W61" s="113"/>
      <c r="X61" s="112"/>
      <c r="Y61" s="113"/>
    </row>
    <row r="62" spans="2:25" ht="15.75">
      <c r="B62" s="1"/>
      <c r="C62" s="1"/>
      <c r="D62" s="1"/>
      <c r="E62" s="1"/>
      <c r="F62" s="20"/>
      <c r="G62" s="20"/>
      <c r="H62" s="20"/>
      <c r="I62" s="20"/>
      <c r="J62" s="20"/>
      <c r="K62" s="20"/>
      <c r="L62" s="1"/>
      <c r="M62" s="1"/>
      <c r="N62" s="1"/>
      <c r="O62" s="1"/>
      <c r="P62" s="1"/>
      <c r="Q62" s="1"/>
      <c r="R62" s="1"/>
      <c r="S62" s="1"/>
      <c r="T62" s="111"/>
      <c r="U62" s="112"/>
      <c r="V62" s="112"/>
      <c r="W62" s="112"/>
      <c r="X62" s="112"/>
      <c r="Y62" s="112"/>
    </row>
    <row r="63" spans="2:25" ht="15.75">
      <c r="B63" s="1"/>
      <c r="C63" s="1"/>
      <c r="D63" s="1"/>
      <c r="E63" s="1"/>
      <c r="F63" s="20"/>
      <c r="G63" s="20"/>
      <c r="H63" s="20"/>
      <c r="I63" s="20"/>
      <c r="J63" s="20"/>
      <c r="K63" s="20"/>
      <c r="L63" s="1"/>
      <c r="M63" s="1"/>
      <c r="N63" s="1"/>
      <c r="O63" s="1"/>
      <c r="P63" s="1"/>
      <c r="Q63" s="1"/>
      <c r="R63" s="1"/>
      <c r="S63" s="1"/>
      <c r="T63" s="111"/>
      <c r="U63" s="112"/>
      <c r="V63" s="112"/>
      <c r="W63" s="112"/>
      <c r="X63" s="117"/>
      <c r="Y63" s="112"/>
    </row>
    <row r="64" spans="2:25" ht="15.75">
      <c r="B64" s="1"/>
      <c r="C64" s="1"/>
      <c r="D64" s="1"/>
      <c r="E64" s="1"/>
      <c r="F64" s="20"/>
      <c r="G64" s="20"/>
      <c r="H64" s="20"/>
      <c r="I64" s="20"/>
      <c r="J64" s="20"/>
      <c r="K64" s="20"/>
      <c r="L64" s="1"/>
      <c r="M64" s="1"/>
      <c r="N64" s="1"/>
      <c r="O64" s="1"/>
      <c r="P64" s="1"/>
      <c r="Q64" s="1"/>
      <c r="R64" s="1"/>
      <c r="S64" s="1"/>
      <c r="T64" s="111"/>
      <c r="U64" s="112"/>
      <c r="V64" s="111"/>
      <c r="W64" s="113"/>
      <c r="X64" s="117"/>
      <c r="Y64" s="113"/>
    </row>
    <row r="65" spans="2:25" ht="15.75">
      <c r="B65" s="1"/>
      <c r="C65" s="1"/>
      <c r="D65" s="1"/>
      <c r="E65" s="1"/>
      <c r="F65" s="20"/>
      <c r="G65" s="20"/>
      <c r="H65" s="20"/>
      <c r="I65" s="20"/>
      <c r="J65" s="20"/>
      <c r="K65" s="20"/>
      <c r="L65" s="1"/>
      <c r="M65" s="1"/>
      <c r="N65" s="1"/>
      <c r="O65" s="1"/>
      <c r="P65" s="1"/>
      <c r="Q65" s="1"/>
      <c r="R65" s="1"/>
      <c r="S65" s="1"/>
      <c r="T65" s="111"/>
      <c r="U65" s="112"/>
      <c r="V65" s="112"/>
      <c r="W65" s="110"/>
      <c r="X65" s="117"/>
      <c r="Y65" s="113"/>
    </row>
    <row r="66" spans="2:25" ht="15.75">
      <c r="B66" s="1"/>
      <c r="C66" s="1"/>
      <c r="D66" s="1"/>
      <c r="E66" s="1"/>
      <c r="F66" s="20"/>
      <c r="G66" s="20"/>
      <c r="H66" s="20"/>
      <c r="I66" s="20"/>
      <c r="J66" s="20"/>
      <c r="K66" s="20"/>
      <c r="L66" s="1"/>
      <c r="M66" s="1"/>
      <c r="N66" s="1"/>
      <c r="O66" s="1"/>
      <c r="P66" s="1"/>
      <c r="Q66" s="1"/>
      <c r="R66" s="1"/>
      <c r="S66" s="1"/>
      <c r="T66" s="111"/>
      <c r="U66" s="525"/>
      <c r="V66" s="525"/>
      <c r="W66" s="112"/>
      <c r="X66" s="117"/>
      <c r="Y66" s="113"/>
    </row>
    <row r="67" spans="2:25" ht="15.75">
      <c r="B67" s="1"/>
      <c r="C67" s="1"/>
      <c r="D67" s="1"/>
      <c r="E67" s="1"/>
      <c r="F67" s="20"/>
      <c r="G67" s="20"/>
      <c r="H67" s="20"/>
      <c r="I67" s="20"/>
      <c r="J67" s="20"/>
      <c r="K67" s="20"/>
      <c r="L67" s="1"/>
      <c r="M67" s="1"/>
      <c r="N67" s="1"/>
      <c r="O67" s="1"/>
      <c r="P67" s="1"/>
      <c r="Q67" s="1"/>
      <c r="R67" s="1"/>
      <c r="S67" s="1"/>
      <c r="T67" s="111"/>
      <c r="U67" s="112"/>
      <c r="V67" s="112"/>
      <c r="W67" s="112"/>
      <c r="X67" s="117"/>
      <c r="Y67" s="117"/>
    </row>
    <row r="68" spans="2:25" ht="15.75">
      <c r="B68" s="1"/>
      <c r="C68" s="1"/>
      <c r="D68" s="1"/>
      <c r="E68" s="1"/>
      <c r="F68" s="20"/>
      <c r="G68" s="20"/>
      <c r="H68" s="20"/>
      <c r="I68" s="20"/>
      <c r="J68" s="20"/>
      <c r="K68" s="20"/>
      <c r="L68" s="1"/>
      <c r="M68" s="1"/>
      <c r="N68" s="1"/>
      <c r="O68" s="1"/>
      <c r="P68" s="1"/>
      <c r="Q68" s="1"/>
      <c r="R68" s="1"/>
      <c r="S68" s="1"/>
      <c r="T68" s="111"/>
      <c r="U68" s="112"/>
      <c r="V68" s="111"/>
      <c r="W68" s="112"/>
      <c r="X68" s="110"/>
      <c r="Y68" s="117"/>
    </row>
    <row r="69" spans="2:25" ht="15.75">
      <c r="B69" s="1"/>
      <c r="C69" s="1"/>
      <c r="D69" s="1"/>
      <c r="E69" s="1"/>
      <c r="F69" s="20"/>
      <c r="G69" s="20"/>
      <c r="H69" s="20"/>
      <c r="I69" s="20"/>
      <c r="J69" s="20"/>
      <c r="K69" s="20"/>
      <c r="L69" s="1"/>
      <c r="M69" s="1"/>
      <c r="N69" s="1"/>
      <c r="O69" s="1"/>
      <c r="P69" s="1"/>
      <c r="Q69" s="1"/>
      <c r="R69" s="1"/>
      <c r="S69" s="1"/>
      <c r="T69" s="111"/>
      <c r="U69" s="112"/>
      <c r="V69" s="112"/>
      <c r="W69" s="110"/>
      <c r="X69" s="117"/>
      <c r="Y69" s="110"/>
    </row>
    <row r="70" spans="2:25" ht="15.75">
      <c r="B70" s="1"/>
      <c r="C70" s="1"/>
      <c r="D70" s="1"/>
      <c r="E70" s="1"/>
      <c r="F70" s="20"/>
      <c r="G70" s="20"/>
      <c r="H70" s="20"/>
      <c r="I70" s="20"/>
      <c r="J70" s="20"/>
      <c r="K70" s="20"/>
      <c r="L70" s="1"/>
      <c r="M70" s="1"/>
      <c r="N70" s="1"/>
      <c r="O70" s="1"/>
      <c r="P70" s="1"/>
      <c r="Q70" s="1"/>
      <c r="R70" s="1"/>
      <c r="S70" s="1"/>
      <c r="T70" s="111"/>
      <c r="U70" s="112"/>
      <c r="V70" s="111"/>
      <c r="W70" s="112"/>
      <c r="X70" s="112"/>
      <c r="Y70" s="113"/>
    </row>
    <row r="71" spans="2:25" ht="15.75">
      <c r="B71" s="1"/>
      <c r="C71" s="1"/>
      <c r="D71" s="1"/>
      <c r="E71" s="1"/>
      <c r="F71" s="20"/>
      <c r="G71" s="20"/>
      <c r="H71" s="20"/>
      <c r="I71" s="20"/>
      <c r="J71" s="20"/>
      <c r="K71" s="20"/>
      <c r="L71" s="1"/>
      <c r="M71" s="1"/>
      <c r="N71" s="1"/>
      <c r="O71" s="1"/>
      <c r="P71" s="1"/>
      <c r="Q71" s="1"/>
      <c r="R71" s="1"/>
      <c r="S71" s="1"/>
      <c r="T71" s="111"/>
      <c r="U71" s="112"/>
      <c r="V71" s="112"/>
      <c r="W71" s="112"/>
      <c r="X71" s="112"/>
      <c r="Y71" s="112"/>
    </row>
    <row r="72" spans="2:25" ht="15.75">
      <c r="B72" s="1"/>
      <c r="C72" s="1"/>
      <c r="D72" s="1"/>
      <c r="E72" s="1"/>
      <c r="F72" s="20"/>
      <c r="G72" s="20"/>
      <c r="H72" s="20"/>
      <c r="I72" s="20"/>
      <c r="J72" s="20"/>
      <c r="K72" s="20"/>
      <c r="L72" s="1"/>
      <c r="M72" s="1"/>
      <c r="N72" s="1"/>
      <c r="O72" s="1"/>
      <c r="P72" s="1"/>
      <c r="Q72" s="1"/>
      <c r="R72" s="1"/>
      <c r="S72" s="1"/>
      <c r="T72" s="111"/>
      <c r="U72" s="112"/>
      <c r="V72" s="112"/>
      <c r="W72" s="110"/>
      <c r="X72" s="113"/>
      <c r="Y72" s="112"/>
    </row>
    <row r="73" spans="2:25" ht="15.75">
      <c r="B73" s="1"/>
      <c r="C73" s="1"/>
      <c r="D73" s="1"/>
      <c r="E73" s="1"/>
      <c r="F73" s="20"/>
      <c r="G73" s="20"/>
      <c r="H73" s="20"/>
      <c r="I73" s="20"/>
      <c r="J73" s="20"/>
      <c r="K73" s="20"/>
      <c r="L73" s="1"/>
      <c r="M73" s="1"/>
      <c r="N73" s="1"/>
      <c r="O73" s="1"/>
      <c r="P73" s="1"/>
      <c r="Q73" s="1"/>
      <c r="R73" s="1"/>
      <c r="S73" s="1"/>
      <c r="T73" s="111"/>
      <c r="U73" s="525"/>
      <c r="V73" s="525"/>
      <c r="W73" s="113"/>
      <c r="X73" s="110"/>
      <c r="Y73" s="113"/>
    </row>
    <row r="74" spans="2:25" ht="15.75">
      <c r="B74" s="1"/>
      <c r="C74" s="1"/>
      <c r="D74" s="1"/>
      <c r="E74" s="1"/>
      <c r="F74" s="20"/>
      <c r="G74" s="20"/>
      <c r="H74" s="20"/>
      <c r="I74" s="20"/>
      <c r="J74" s="20"/>
      <c r="K74" s="20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12"/>
      <c r="Y74" s="110"/>
    </row>
    <row r="75" spans="2:25" ht="15.75">
      <c r="B75" s="1"/>
      <c r="C75" s="1"/>
      <c r="D75" s="1"/>
      <c r="X75" s="112"/>
      <c r="Y75" s="112"/>
    </row>
    <row r="76" spans="2:25" ht="15.75">
      <c r="B76" s="1"/>
      <c r="C76" s="1"/>
      <c r="D76" s="1"/>
      <c r="X76" s="112"/>
      <c r="Y76" s="112"/>
    </row>
    <row r="77" spans="2:25" ht="15.75">
      <c r="B77" s="1"/>
      <c r="C77" s="1"/>
      <c r="D77" s="1"/>
      <c r="X77" s="110"/>
      <c r="Y77" s="112"/>
    </row>
    <row r="78" spans="2:25" ht="15.75">
      <c r="B78" s="1"/>
      <c r="C78" s="1"/>
      <c r="D78" s="1"/>
      <c r="X78" s="112"/>
      <c r="Y78" s="110"/>
    </row>
    <row r="79" spans="2:25" ht="15.75">
      <c r="B79" s="1"/>
      <c r="C79" s="1"/>
      <c r="D79" s="1"/>
      <c r="X79" s="112"/>
      <c r="Y79" s="112"/>
    </row>
    <row r="80" spans="2:25" ht="15.75">
      <c r="B80" s="1"/>
      <c r="C80" s="1"/>
      <c r="D80" s="1"/>
      <c r="X80" s="110"/>
      <c r="Y80" s="112"/>
    </row>
    <row r="81" spans="2:25" ht="15.75">
      <c r="B81" s="1"/>
      <c r="C81" s="1"/>
      <c r="D81" s="1"/>
      <c r="X81" s="113"/>
      <c r="Y81" s="110"/>
    </row>
    <row r="82" spans="2:25" ht="15.75">
      <c r="B82" s="1"/>
      <c r="C82" s="1"/>
      <c r="D82" s="1"/>
      <c r="X82" s="1"/>
      <c r="Y82" s="113"/>
    </row>
    <row r="83" spans="2:25" ht="15.75">
      <c r="B83" s="1"/>
      <c r="C83" s="1"/>
      <c r="D83" s="1"/>
      <c r="Y83" s="1"/>
    </row>
  </sheetData>
  <mergeCells count="16">
    <mergeCell ref="W18:X18"/>
    <mergeCell ref="U17:V17"/>
    <mergeCell ref="W17:X17"/>
    <mergeCell ref="G18:T18"/>
    <mergeCell ref="G8:T8"/>
    <mergeCell ref="G4:T4"/>
    <mergeCell ref="C22:E22"/>
    <mergeCell ref="U66:V66"/>
    <mergeCell ref="U73:V73"/>
    <mergeCell ref="F27:I27"/>
    <mergeCell ref="P27:T27"/>
    <mergeCell ref="C32:E32"/>
    <mergeCell ref="U38:V38"/>
    <mergeCell ref="U48:V48"/>
    <mergeCell ref="U54:V54"/>
    <mergeCell ref="U18:V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EBC01-342E-4F6B-9164-F0157642FF95}">
  <sheetPr>
    <tabColor rgb="FF92D050"/>
  </sheetPr>
  <dimension ref="A1:AE40"/>
  <sheetViews>
    <sheetView workbookViewId="0"/>
  </sheetViews>
  <sheetFormatPr defaultColWidth="8.85546875" defaultRowHeight="15"/>
  <cols>
    <col min="1" max="1" width="7.42578125" style="6" customWidth="1"/>
    <col min="2" max="2" width="14.42578125" style="6" customWidth="1"/>
    <col min="3" max="3" width="15.7109375" style="6" customWidth="1"/>
    <col min="4" max="4" width="16.140625" style="6" customWidth="1"/>
    <col min="5" max="5" width="18" style="6" bestFit="1" customWidth="1"/>
    <col min="6" max="6" width="16.42578125" style="6" customWidth="1"/>
    <col min="7" max="7" width="17.28515625" style="6" customWidth="1"/>
    <col min="8" max="8" width="18" style="6" customWidth="1"/>
    <col min="9" max="10" width="15.5703125" style="6" customWidth="1"/>
    <col min="11" max="11" width="15" style="6" bestFit="1" customWidth="1"/>
    <col min="12" max="14" width="15.5703125" style="6" customWidth="1"/>
    <col min="15" max="15" width="18.7109375" style="6" customWidth="1"/>
    <col min="16" max="17" width="15.5703125" style="6" customWidth="1"/>
    <col min="18" max="18" width="15" style="6" customWidth="1"/>
    <col min="19" max="19" width="14" style="6" customWidth="1"/>
    <col min="20" max="20" width="15.5703125" style="6" customWidth="1"/>
    <col min="21" max="21" width="16.5703125" style="6" customWidth="1"/>
    <col min="22" max="23" width="14" style="6" customWidth="1"/>
    <col min="24" max="24" width="37.7109375" style="6" customWidth="1"/>
    <col min="25" max="25" width="14.85546875" style="6" bestFit="1" customWidth="1"/>
    <col min="26" max="26" width="12.85546875" style="6" customWidth="1"/>
    <col min="27" max="27" width="14.7109375" style="6" customWidth="1"/>
    <col min="28" max="28" width="8.85546875" style="6"/>
    <col min="29" max="31" width="16.28515625" style="6" customWidth="1"/>
    <col min="32" max="16384" width="8.85546875" style="6"/>
  </cols>
  <sheetData>
    <row r="1" spans="1:31" s="184" customFormat="1" ht="25.5" customHeight="1">
      <c r="A1" s="468"/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</row>
    <row r="2" spans="1:31">
      <c r="A2" s="93"/>
      <c r="B2" s="549"/>
      <c r="C2" s="549"/>
      <c r="D2" s="549"/>
      <c r="F2" s="93"/>
    </row>
    <row r="3" spans="1:31">
      <c r="E3" s="550" t="s">
        <v>450</v>
      </c>
      <c r="F3" s="550"/>
      <c r="G3" s="550"/>
      <c r="H3" s="550"/>
      <c r="I3" s="550"/>
      <c r="J3" s="288"/>
      <c r="K3" s="288"/>
      <c r="M3" s="118"/>
      <c r="N3" s="118"/>
      <c r="O3" s="118"/>
      <c r="P3" s="388"/>
      <c r="Q3" s="388"/>
      <c r="R3" s="388"/>
      <c r="S3" s="388"/>
      <c r="T3" s="388"/>
      <c r="U3" s="288"/>
      <c r="V3" s="288"/>
    </row>
    <row r="4" spans="1:31" ht="15.75" customHeight="1">
      <c r="D4" s="1"/>
      <c r="E4" s="156">
        <f>'Res Bill Impact'!E4</f>
        <v>2024</v>
      </c>
      <c r="F4" s="191">
        <f>'Res Bill Impact'!F4</f>
        <v>45352</v>
      </c>
      <c r="G4" s="191">
        <f>'Res Bill Impact'!G4</f>
        <v>45352</v>
      </c>
      <c r="H4" s="119" t="s">
        <v>187</v>
      </c>
      <c r="I4" s="119" t="s">
        <v>187</v>
      </c>
      <c r="J4" s="119"/>
      <c r="K4" s="119"/>
      <c r="L4" s="20"/>
      <c r="O4" s="1"/>
      <c r="P4" s="156"/>
      <c r="Q4" s="191"/>
      <c r="R4" s="191"/>
      <c r="S4" s="119"/>
      <c r="T4" s="119"/>
      <c r="U4" s="119"/>
      <c r="V4" s="119"/>
    </row>
    <row r="5" spans="1:31" ht="30.75" customHeight="1">
      <c r="D5" s="1"/>
      <c r="E5" s="119" t="s">
        <v>132</v>
      </c>
      <c r="F5" s="119" t="s">
        <v>188</v>
      </c>
      <c r="G5" s="119" t="s">
        <v>189</v>
      </c>
      <c r="H5" s="119" t="s">
        <v>188</v>
      </c>
      <c r="I5" s="119" t="s">
        <v>189</v>
      </c>
      <c r="J5" s="119"/>
      <c r="K5" s="119"/>
      <c r="L5" s="89"/>
      <c r="M5" s="120"/>
      <c r="N5" s="120"/>
      <c r="O5" s="89"/>
      <c r="P5" s="119"/>
      <c r="Q5" s="119"/>
      <c r="R5" s="119"/>
      <c r="S5" s="119"/>
      <c r="T5" s="119"/>
      <c r="U5" s="119"/>
      <c r="V5" s="119"/>
      <c r="AD5" s="51"/>
      <c r="AE5" s="51"/>
    </row>
    <row r="6" spans="1:31" ht="42" customHeight="1">
      <c r="B6" s="121"/>
      <c r="D6" s="121"/>
      <c r="E6" s="1"/>
      <c r="F6" s="1"/>
      <c r="G6" s="1"/>
      <c r="J6" s="20"/>
      <c r="K6" s="20"/>
      <c r="L6" s="20"/>
      <c r="O6" s="121"/>
      <c r="P6" s="1"/>
      <c r="Q6" s="1"/>
      <c r="R6" s="1"/>
      <c r="U6" s="20"/>
      <c r="V6" s="20"/>
      <c r="Y6" s="307" t="s">
        <v>116</v>
      </c>
      <c r="Z6" s="307" t="s">
        <v>351</v>
      </c>
      <c r="AA6" s="307" t="s">
        <v>3</v>
      </c>
      <c r="AC6" s="120"/>
      <c r="AD6" s="120"/>
      <c r="AE6" s="120"/>
    </row>
    <row r="7" spans="1:31" ht="15.75">
      <c r="D7" s="122" t="s">
        <v>451</v>
      </c>
      <c r="E7" s="284">
        <f>'Bill Impact (TOU-A)'!E7</f>
        <v>164065696.31929633</v>
      </c>
      <c r="F7" s="123">
        <f>'Bill Impact (TOU-A)'!F7</f>
        <v>0.49441000000000002</v>
      </c>
      <c r="G7" s="124">
        <f>F7*E7</f>
        <v>81115720.917223305</v>
      </c>
      <c r="H7" s="186">
        <f>F7+(F7*$AD$12)</f>
        <v>0.49441000000000002</v>
      </c>
      <c r="I7" s="124">
        <f>E7*H7</f>
        <v>81115720.917223305</v>
      </c>
      <c r="J7" s="186"/>
      <c r="K7" s="312"/>
      <c r="L7" s="125"/>
      <c r="O7" s="122"/>
      <c r="P7" s="394"/>
      <c r="Q7" s="129"/>
      <c r="R7" s="395"/>
      <c r="S7" s="186"/>
      <c r="T7" s="395"/>
      <c r="U7" s="186"/>
      <c r="V7" s="312"/>
      <c r="W7" s="125"/>
      <c r="X7" s="6" t="s">
        <v>452</v>
      </c>
      <c r="AC7" s="363"/>
      <c r="AD7" s="318"/>
      <c r="AE7" s="318"/>
    </row>
    <row r="8" spans="1:31" ht="15.75">
      <c r="D8" s="126"/>
      <c r="E8" s="284"/>
      <c r="F8" s="123"/>
      <c r="G8" s="124"/>
      <c r="H8" s="186"/>
      <c r="I8" s="124"/>
      <c r="J8" s="186"/>
      <c r="K8" s="312"/>
      <c r="L8" s="125"/>
      <c r="O8" s="126"/>
      <c r="P8" s="394"/>
      <c r="Q8" s="129"/>
      <c r="R8" s="395"/>
      <c r="S8" s="186"/>
      <c r="T8" s="395"/>
      <c r="U8" s="186"/>
      <c r="V8" s="312"/>
      <c r="W8" s="125"/>
      <c r="X8" s="6" t="s">
        <v>197</v>
      </c>
      <c r="Y8" s="127">
        <f>'Bill Impact (TOU-A)'!Y8</f>
        <v>589212392</v>
      </c>
      <c r="Z8" s="127">
        <f>'Bill Impact (TOU-A)'!Z8</f>
        <v>524136519</v>
      </c>
      <c r="AA8" s="127">
        <f>'Bill Impact (TOU-A)'!AA8</f>
        <v>65075873</v>
      </c>
    </row>
    <row r="9" spans="1:31" ht="15.75">
      <c r="D9" s="122" t="s">
        <v>453</v>
      </c>
      <c r="E9" s="284">
        <f>'Bill Impact (TOU-A)'!E9</f>
        <v>547294554.08251476</v>
      </c>
      <c r="F9" s="123">
        <f>'Bill Impact (TOU-A)'!F9</f>
        <v>0.37191000000000002</v>
      </c>
      <c r="G9" s="124">
        <f>F9*E9</f>
        <v>203544317.60882807</v>
      </c>
      <c r="H9" s="186">
        <f>F9+(F9*$AD$12)</f>
        <v>0.37191000000000002</v>
      </c>
      <c r="I9" s="124">
        <f>E9*H9</f>
        <v>203544317.60882807</v>
      </c>
      <c r="J9" s="186"/>
      <c r="K9" s="312"/>
      <c r="L9" s="125"/>
      <c r="O9" s="122"/>
      <c r="P9" s="394"/>
      <c r="Q9" s="129"/>
      <c r="R9" s="395"/>
      <c r="S9" s="186"/>
      <c r="T9" s="395"/>
      <c r="U9" s="186"/>
      <c r="V9" s="312"/>
      <c r="W9" s="125"/>
      <c r="X9" s="6" t="s">
        <v>282</v>
      </c>
      <c r="Y9" s="226">
        <f>('Hypoth. SAR and RAR (TOU-A)'!U20+'Hypoth. SAR and RAR (TOU-A)'!W20)*1000</f>
        <v>0</v>
      </c>
      <c r="Z9" s="226">
        <f>('Hypoth. SAR and RAR (TOU-A)'!U20)*1000</f>
        <v>0</v>
      </c>
      <c r="AA9" s="185">
        <f>('Hypoth. SAR and RAR (TOU-A)'!W20)*1000</f>
        <v>0</v>
      </c>
      <c r="AB9" s="388"/>
    </row>
    <row r="10" spans="1:31" ht="15.75">
      <c r="D10" s="126"/>
      <c r="E10" s="284"/>
      <c r="F10" s="123"/>
      <c r="G10" s="124"/>
      <c r="H10" s="186"/>
      <c r="I10" s="124"/>
      <c r="J10" s="186"/>
      <c r="K10" s="312"/>
      <c r="L10" s="125"/>
      <c r="O10" s="126"/>
      <c r="P10" s="394"/>
      <c r="Q10" s="129"/>
      <c r="R10" s="395"/>
      <c r="S10" s="186"/>
      <c r="T10" s="395"/>
      <c r="U10" s="186"/>
      <c r="V10" s="312"/>
      <c r="W10" s="125"/>
      <c r="X10" s="6" t="s">
        <v>283</v>
      </c>
      <c r="Y10" s="127">
        <f>Y8+Y9</f>
        <v>589212392</v>
      </c>
      <c r="Z10" s="127">
        <f>Z8+Z9</f>
        <v>524136519</v>
      </c>
      <c r="AA10" s="127">
        <f>AA8+AA9</f>
        <v>65075873</v>
      </c>
      <c r="AD10" s="51" t="s">
        <v>353</v>
      </c>
      <c r="AE10" s="51"/>
    </row>
    <row r="11" spans="1:31" ht="15.75">
      <c r="D11" s="122" t="s">
        <v>454</v>
      </c>
      <c r="E11" s="284">
        <f>'Bill Impact (TOU-A)'!E11</f>
        <v>195109129.46482858</v>
      </c>
      <c r="F11" s="123">
        <f>'Bill Impact (TOU-A)'!F11</f>
        <v>0.38228000000000001</v>
      </c>
      <c r="G11" s="124">
        <f>F11*E11</f>
        <v>74586318.011814669</v>
      </c>
      <c r="H11" s="186">
        <f>F11+(F11*$AD$12)</f>
        <v>0.38228000000000001</v>
      </c>
      <c r="I11" s="124">
        <f>E11*H11</f>
        <v>74586318.011814669</v>
      </c>
      <c r="J11" s="186"/>
      <c r="K11" s="312"/>
      <c r="L11" s="125"/>
      <c r="O11" s="122"/>
      <c r="P11" s="394"/>
      <c r="Q11" s="129"/>
      <c r="R11" s="395"/>
      <c r="S11" s="186"/>
      <c r="T11" s="395"/>
      <c r="U11" s="186"/>
      <c r="V11" s="312"/>
      <c r="W11" s="125"/>
      <c r="Y11" s="127"/>
      <c r="AC11" s="141" t="s">
        <v>352</v>
      </c>
      <c r="AD11" s="307" t="s">
        <v>354</v>
      </c>
      <c r="AE11" s="51"/>
    </row>
    <row r="12" spans="1:31" ht="15.75">
      <c r="D12" s="126"/>
      <c r="E12" s="284"/>
      <c r="F12" s="123"/>
      <c r="G12" s="124"/>
      <c r="H12" s="186"/>
      <c r="I12" s="124"/>
      <c r="J12" s="186"/>
      <c r="K12" s="312"/>
      <c r="L12" s="125"/>
      <c r="O12" s="126"/>
      <c r="P12" s="394"/>
      <c r="Q12" s="129"/>
      <c r="R12" s="395"/>
      <c r="S12" s="186"/>
      <c r="T12" s="395"/>
      <c r="U12" s="186"/>
      <c r="V12" s="312"/>
      <c r="W12" s="125"/>
      <c r="X12" s="6" t="s">
        <v>456</v>
      </c>
      <c r="Y12" s="307" t="s">
        <v>116</v>
      </c>
      <c r="Z12" s="307" t="s">
        <v>351</v>
      </c>
      <c r="AA12" s="307" t="s">
        <v>3</v>
      </c>
      <c r="AC12" s="6">
        <f>'Bill Impact (TOU-A)'!AC16</f>
        <v>0.35381000000000001</v>
      </c>
      <c r="AD12" s="180">
        <f>Y14/100/AC12</f>
        <v>0</v>
      </c>
      <c r="AE12" s="315"/>
    </row>
    <row r="13" spans="1:31" ht="15.75">
      <c r="D13" s="122" t="s">
        <v>455</v>
      </c>
      <c r="E13" s="284">
        <f>'Bill Impact (TOU-A)'!E13</f>
        <v>666193713.30724621</v>
      </c>
      <c r="F13" s="123">
        <f>'Bill Impact (TOU-A)'!F13</f>
        <v>0.30032000000000003</v>
      </c>
      <c r="G13" s="124">
        <f>F13*E13</f>
        <v>200071295.98043221</v>
      </c>
      <c r="H13" s="186">
        <f>F13+(F13*$AD$12)</f>
        <v>0.30032000000000003</v>
      </c>
      <c r="I13" s="124">
        <f>E13*H13</f>
        <v>200071295.98043221</v>
      </c>
      <c r="J13" s="1"/>
      <c r="K13" s="131"/>
      <c r="L13" s="125"/>
      <c r="O13" s="126"/>
      <c r="P13" s="130"/>
      <c r="Q13" s="129"/>
      <c r="R13" s="130"/>
      <c r="S13" s="1"/>
      <c r="T13" s="131"/>
      <c r="U13" s="1"/>
      <c r="V13" s="131"/>
      <c r="X13" s="6" t="s">
        <v>411</v>
      </c>
      <c r="Y13" s="358">
        <f>+Z13+AA13</f>
        <v>35.380999999999993</v>
      </c>
      <c r="Z13" s="358">
        <f>'Bill Impact (TOU-A)'!Z15</f>
        <v>22.526999999999997</v>
      </c>
      <c r="AA13" s="358">
        <f>'Bill Impact (TOU-A)'!AA15</f>
        <v>12.853999999999997</v>
      </c>
      <c r="AC13" s="314"/>
      <c r="AD13" s="106"/>
      <c r="AE13" s="308"/>
    </row>
    <row r="14" spans="1:31" ht="15.75">
      <c r="D14" s="126"/>
      <c r="E14" s="284"/>
      <c r="F14" s="123"/>
      <c r="G14" s="124"/>
      <c r="H14" s="186"/>
      <c r="I14" s="124"/>
      <c r="J14" s="130"/>
      <c r="K14" s="130"/>
      <c r="L14" s="125"/>
      <c r="O14" s="126"/>
      <c r="P14" s="130"/>
      <c r="Q14" s="129"/>
      <c r="R14" s="130"/>
      <c r="S14" s="130"/>
      <c r="T14" s="130"/>
      <c r="U14" s="130"/>
      <c r="V14" s="130"/>
      <c r="X14" s="6" t="s">
        <v>282</v>
      </c>
      <c r="Y14" s="358">
        <f>+Z14+AA14</f>
        <v>0</v>
      </c>
      <c r="Z14" s="358">
        <f>+Z9/(IF(Summary!D2=2024,'SAR and RAR'!$C$25,'SAR and RAR'!$C$38)*1000)*100</f>
        <v>0</v>
      </c>
      <c r="AA14" s="358">
        <f>+AA9/(IF(Summary!D2=2024,'SAR and RAR'!$E$25,'SAR and RAR'!$E$38)*1000)*100</f>
        <v>0</v>
      </c>
      <c r="AD14" s="51"/>
      <c r="AE14" s="51"/>
    </row>
    <row r="15" spans="1:31" ht="15.75">
      <c r="D15" s="126"/>
      <c r="E15" s="128"/>
      <c r="F15" s="129"/>
      <c r="G15" s="130"/>
      <c r="H15" s="130"/>
      <c r="I15" s="130"/>
      <c r="J15" s="130"/>
      <c r="K15" s="130"/>
      <c r="L15" s="125"/>
      <c r="O15" s="132"/>
      <c r="P15" s="130"/>
      <c r="Q15" s="129"/>
      <c r="R15" s="130"/>
      <c r="S15" s="130"/>
      <c r="T15" s="130"/>
      <c r="U15" s="130"/>
      <c r="V15" s="130"/>
      <c r="X15" s="6" t="s">
        <v>283</v>
      </c>
      <c r="Y15" s="358">
        <f>+Y14+Y13</f>
        <v>35.380999999999993</v>
      </c>
      <c r="Z15" s="358">
        <f>+Z14+Z13</f>
        <v>22.526999999999997</v>
      </c>
      <c r="AA15" s="358">
        <f>+AA14+AA13</f>
        <v>12.853999999999997</v>
      </c>
      <c r="AC15" s="51"/>
      <c r="AD15" s="51"/>
      <c r="AE15" s="51"/>
    </row>
    <row r="16" spans="1:31" ht="15.75">
      <c r="P16" s="130"/>
      <c r="Q16" s="129"/>
      <c r="R16" s="130"/>
      <c r="AC16" s="310"/>
      <c r="AD16" s="309"/>
      <c r="AE16" s="310"/>
    </row>
    <row r="17" spans="1:31" ht="15.75">
      <c r="O17" s="133"/>
      <c r="R17" s="130"/>
      <c r="Y17" s="51"/>
      <c r="Z17" s="356"/>
      <c r="AA17" s="356"/>
    </row>
    <row r="18" spans="1:31" ht="15.75">
      <c r="Y18" s="51"/>
      <c r="Z18" s="356"/>
      <c r="AA18" s="356"/>
    </row>
    <row r="19" spans="1:31">
      <c r="B19" s="7"/>
      <c r="AD19" s="51"/>
      <c r="AE19" s="51"/>
    </row>
    <row r="20" spans="1:31">
      <c r="B20" s="134" t="s">
        <v>457</v>
      </c>
      <c r="C20" s="134"/>
      <c r="E20" s="135"/>
      <c r="F20" s="135"/>
      <c r="H20" s="134"/>
      <c r="I20" s="6" t="s">
        <v>458</v>
      </c>
      <c r="P20" s="430"/>
      <c r="Q20" s="431"/>
      <c r="R20" s="431"/>
      <c r="S20" s="431"/>
      <c r="T20" s="431"/>
      <c r="U20" s="541"/>
      <c r="V20" s="541"/>
      <c r="AD20" s="51"/>
      <c r="AE20" s="51"/>
    </row>
    <row r="21" spans="1:31">
      <c r="B21" s="138" t="s">
        <v>188</v>
      </c>
      <c r="C21" s="139" t="str">
        <f>'Res Bill Impact'!C21</f>
        <v>1/1/2024</v>
      </c>
      <c r="D21" s="387" t="str">
        <f>'Res Bill Impact'!D21</f>
        <v>3/1/2024</v>
      </c>
      <c r="E21" s="140" t="s">
        <v>187</v>
      </c>
      <c r="F21" s="135"/>
      <c r="I21" s="136" t="s">
        <v>459</v>
      </c>
      <c r="J21" s="552" t="s">
        <v>205</v>
      </c>
      <c r="K21" s="553"/>
      <c r="L21" s="552" t="s">
        <v>206</v>
      </c>
      <c r="M21" s="553"/>
      <c r="Q21" s="541"/>
      <c r="R21" s="541"/>
      <c r="S21" s="541"/>
      <c r="T21" s="541"/>
      <c r="U21" s="51"/>
      <c r="V21" s="51"/>
      <c r="AD21" s="315"/>
      <c r="AE21" s="315"/>
    </row>
    <row r="22" spans="1:31">
      <c r="A22" s="6" t="s">
        <v>205</v>
      </c>
      <c r="B22" s="142" t="s">
        <v>460</v>
      </c>
      <c r="C22" s="145">
        <f>'Bill Impact (TOU-A)'!C22</f>
        <v>0.47221000000000002</v>
      </c>
      <c r="D22" s="145">
        <f>'Bill Impact (TOU-A)'!D22</f>
        <v>0.49441000000000002</v>
      </c>
      <c r="E22" s="145">
        <f>H7</f>
        <v>0.49441000000000002</v>
      </c>
      <c r="F22" s="289"/>
      <c r="H22" s="432"/>
      <c r="I22" s="433" t="s">
        <v>461</v>
      </c>
      <c r="J22" s="402" t="s">
        <v>462</v>
      </c>
      <c r="K22" s="402" t="s">
        <v>463</v>
      </c>
      <c r="L22" s="402" t="s">
        <v>462</v>
      </c>
      <c r="M22" s="402" t="s">
        <v>463</v>
      </c>
      <c r="N22" s="402" t="s">
        <v>209</v>
      </c>
      <c r="O22" s="402" t="s">
        <v>464</v>
      </c>
      <c r="Q22" s="158"/>
      <c r="R22" s="158"/>
      <c r="S22" s="158"/>
      <c r="T22" s="158"/>
      <c r="U22" s="434"/>
      <c r="V22" s="434"/>
    </row>
    <row r="23" spans="1:31">
      <c r="B23" s="142" t="s">
        <v>465</v>
      </c>
      <c r="C23" s="145">
        <f>'Bill Impact (TOU-A)'!C23</f>
        <v>0.34994000000000003</v>
      </c>
      <c r="D23" s="145">
        <f>'Bill Impact (TOU-A)'!D23</f>
        <v>0.37191000000000002</v>
      </c>
      <c r="E23" s="145">
        <f>H9</f>
        <v>0.37191000000000002</v>
      </c>
      <c r="F23" s="289"/>
      <c r="I23" s="406" t="s">
        <v>466</v>
      </c>
      <c r="J23" s="407">
        <f>'Bill Impact (TOU-A)'!J23</f>
        <v>182.06311299999999</v>
      </c>
      <c r="K23" s="407">
        <f>'Bill Impact (TOU-A)'!K23</f>
        <v>952.22142799999995</v>
      </c>
      <c r="L23" s="407">
        <f>'Bill Impact (TOU-A)'!L23</f>
        <v>178.11451400000001</v>
      </c>
      <c r="M23" s="407">
        <f>'Bill Impact (TOU-A)'!M23</f>
        <v>933.29038800000001</v>
      </c>
      <c r="N23" s="408">
        <f>'Bill Impact (TOU-A)'!N23</f>
        <v>0.5613711977186312</v>
      </c>
      <c r="O23" s="409">
        <f>'Bill Impact (TOU-A)'!O23</f>
        <v>5</v>
      </c>
      <c r="Q23" s="158"/>
      <c r="R23" s="158"/>
      <c r="S23" s="158"/>
      <c r="T23" s="158"/>
      <c r="U23" s="434"/>
      <c r="V23" s="434"/>
    </row>
    <row r="24" spans="1:31">
      <c r="A24" s="221" t="s">
        <v>206</v>
      </c>
      <c r="B24" s="228" t="s">
        <v>460</v>
      </c>
      <c r="C24" s="229">
        <f>'Bill Impact (TOU-A)'!C24</f>
        <v>0.36029</v>
      </c>
      <c r="D24" s="229">
        <f>'Bill Impact (TOU-A)'!D24</f>
        <v>0.38228000000000001</v>
      </c>
      <c r="E24" s="229">
        <f>H11</f>
        <v>0.38228000000000001</v>
      </c>
      <c r="F24" s="289"/>
      <c r="I24" s="406" t="s">
        <v>467</v>
      </c>
      <c r="J24" s="410">
        <f>'Bill Impact (TOU-A)'!J24</f>
        <v>191.339494</v>
      </c>
      <c r="K24" s="410">
        <f>'Bill Impact (TOU-A)'!K24</f>
        <v>1007.805268</v>
      </c>
      <c r="L24" s="410">
        <f>'Bill Impact (TOU-A)'!L24</f>
        <v>154.16395</v>
      </c>
      <c r="M24" s="410">
        <f>'Bill Impact (TOU-A)'!M24</f>
        <v>887.34284500000001</v>
      </c>
      <c r="N24" s="408">
        <f>'Bill Impact (TOU-A)'!N24</f>
        <v>0.2069272813688213</v>
      </c>
      <c r="O24" s="409">
        <f>'Bill Impact (TOU-A)'!O24</f>
        <v>7</v>
      </c>
      <c r="Q24" s="158"/>
      <c r="R24" s="158"/>
      <c r="S24" s="158"/>
      <c r="T24" s="158"/>
      <c r="U24" s="434"/>
      <c r="V24" s="434"/>
    </row>
    <row r="25" spans="1:31">
      <c r="A25" s="221"/>
      <c r="B25" s="228" t="s">
        <v>465</v>
      </c>
      <c r="C25" s="229">
        <f>'Bill Impact (TOU-A)'!C25</f>
        <v>0.27849000000000002</v>
      </c>
      <c r="D25" s="229">
        <f>'Bill Impact (TOU-A)'!D25</f>
        <v>0.30032000000000003</v>
      </c>
      <c r="E25" s="229">
        <f>H13</f>
        <v>0.30032000000000003</v>
      </c>
      <c r="F25" s="289"/>
      <c r="I25" s="411" t="s">
        <v>468</v>
      </c>
      <c r="J25" s="412">
        <f>'Bill Impact (TOU-A)'!J25</f>
        <v>563.62654699999996</v>
      </c>
      <c r="K25" s="412">
        <f>'Bill Impact (TOU-A)'!K25</f>
        <v>2463.1669910000001</v>
      </c>
      <c r="L25" s="412">
        <f>'Bill Impact (TOU-A)'!L25</f>
        <v>462.33417800000001</v>
      </c>
      <c r="M25" s="412">
        <f>'Bill Impact (TOU-A)'!M25</f>
        <v>2042.219701</v>
      </c>
      <c r="N25" s="413">
        <f>'Bill Impact (TOU-A)'!N25</f>
        <v>0.23170152091254753</v>
      </c>
      <c r="O25" s="414">
        <f>'Bill Impact (TOU-A)'!O25</f>
        <v>10</v>
      </c>
      <c r="Q25" s="158"/>
      <c r="R25" s="158"/>
      <c r="S25" s="158"/>
      <c r="T25" s="158"/>
      <c r="U25" s="434"/>
      <c r="V25" s="434"/>
    </row>
    <row r="26" spans="1:31">
      <c r="I26" s="127"/>
      <c r="J26" s="127"/>
      <c r="M26" s="127"/>
      <c r="N26" s="127"/>
      <c r="Q26" s="158"/>
      <c r="R26" s="158"/>
      <c r="S26" s="158"/>
      <c r="T26" s="158"/>
      <c r="U26" s="230"/>
      <c r="V26" s="230"/>
    </row>
    <row r="27" spans="1:31">
      <c r="B27" s="7"/>
      <c r="C27" s="231"/>
      <c r="D27" s="231"/>
      <c r="E27" s="232"/>
      <c r="F27" s="232"/>
      <c r="I27" s="127"/>
      <c r="J27" s="127"/>
      <c r="M27" s="127"/>
      <c r="N27" s="127"/>
      <c r="Q27" s="158"/>
      <c r="R27" s="158"/>
      <c r="S27" s="158"/>
      <c r="T27" s="158"/>
      <c r="U27" s="230"/>
      <c r="V27" s="230"/>
    </row>
    <row r="28" spans="1:31">
      <c r="B28" s="7"/>
      <c r="C28" s="231"/>
      <c r="D28" s="231"/>
      <c r="E28" s="232"/>
      <c r="F28" s="232"/>
      <c r="I28" s="127"/>
      <c r="J28" s="127"/>
      <c r="M28" s="127"/>
      <c r="N28" s="127"/>
    </row>
    <row r="29" spans="1:31">
      <c r="B29" s="7"/>
      <c r="C29" s="231"/>
      <c r="D29" s="231"/>
      <c r="E29" s="232"/>
      <c r="F29" s="232"/>
      <c r="I29" s="127"/>
      <c r="J29" s="127"/>
      <c r="M29" s="127"/>
      <c r="N29" s="127"/>
      <c r="Q29" s="158"/>
      <c r="R29" s="158"/>
      <c r="S29" s="158"/>
      <c r="T29" s="158"/>
      <c r="U29" s="230"/>
      <c r="V29" s="230"/>
    </row>
    <row r="30" spans="1:31">
      <c r="B30" s="7"/>
      <c r="C30" s="231"/>
      <c r="D30" s="231"/>
      <c r="E30" s="232"/>
      <c r="F30" s="232"/>
    </row>
    <row r="31" spans="1:31" ht="18.75">
      <c r="A31" s="280"/>
      <c r="B31" s="7"/>
      <c r="C31" s="231"/>
      <c r="D31" s="231"/>
      <c r="E31" s="232"/>
      <c r="F31" s="232"/>
      <c r="I31" s="280"/>
      <c r="J31" s="280"/>
      <c r="N31" s="56"/>
    </row>
    <row r="32" spans="1:31" ht="27">
      <c r="B32" s="558" t="s">
        <v>469</v>
      </c>
      <c r="C32" s="558"/>
      <c r="D32" s="558"/>
      <c r="E32" s="558"/>
      <c r="F32" s="558"/>
      <c r="G32" s="558"/>
      <c r="H32" s="558"/>
      <c r="L32" s="135" t="s">
        <v>470</v>
      </c>
      <c r="O32" s="135"/>
    </row>
    <row r="33" spans="2:27">
      <c r="B33" s="7"/>
      <c r="C33" s="541" t="s">
        <v>483</v>
      </c>
      <c r="D33" s="541"/>
      <c r="E33" s="541"/>
      <c r="F33" s="541"/>
      <c r="G33" s="541"/>
      <c r="H33" s="541"/>
      <c r="I33" s="557"/>
      <c r="J33" s="556"/>
      <c r="K33" s="7"/>
      <c r="L33" s="142" t="s">
        <v>471</v>
      </c>
      <c r="M33" s="419" t="str">
        <f>C21</f>
        <v>1/1/2024</v>
      </c>
      <c r="N33" s="387" t="str">
        <f>D21</f>
        <v>3/1/2024</v>
      </c>
      <c r="O33" s="142"/>
      <c r="P33" s="191"/>
      <c r="Q33" s="435"/>
    </row>
    <row r="34" spans="2:27">
      <c r="B34" s="7"/>
      <c r="C34" s="556" t="str">
        <f>C21</f>
        <v>1/1/2024</v>
      </c>
      <c r="D34" s="556"/>
      <c r="E34" s="557" t="str">
        <f>D21</f>
        <v>3/1/2024</v>
      </c>
      <c r="F34" s="556"/>
      <c r="G34" s="556" t="str">
        <f>E21</f>
        <v>Proposed</v>
      </c>
      <c r="H34" s="556"/>
      <c r="I34" s="231"/>
      <c r="J34" s="231"/>
      <c r="K34" s="7"/>
      <c r="L34" s="142" t="s">
        <v>472</v>
      </c>
      <c r="M34" s="423">
        <f>'Bill Impact (TOU-A)'!M34</f>
        <v>11.45</v>
      </c>
      <c r="N34" s="423">
        <f>'Bill Impact (TOU-A)'!N34</f>
        <v>11.45</v>
      </c>
      <c r="O34" s="142"/>
      <c r="P34" s="423"/>
      <c r="Q34" s="423"/>
    </row>
    <row r="35" spans="2:27">
      <c r="B35" s="7"/>
      <c r="C35" s="231" t="s">
        <v>205</v>
      </c>
      <c r="D35" s="231" t="s">
        <v>206</v>
      </c>
      <c r="E35" s="231" t="s">
        <v>205</v>
      </c>
      <c r="F35" s="231" t="s">
        <v>206</v>
      </c>
      <c r="G35" s="231" t="s">
        <v>205</v>
      </c>
      <c r="H35" s="231" t="s">
        <v>206</v>
      </c>
      <c r="I35" s="290"/>
      <c r="J35" s="290"/>
      <c r="L35" s="142" t="s">
        <v>473</v>
      </c>
      <c r="M35" s="423">
        <f>'Bill Impact (TOU-A)'!M35</f>
        <v>18.32</v>
      </c>
      <c r="N35" s="423">
        <f>'Bill Impact (TOU-A)'!N35</f>
        <v>18.32</v>
      </c>
      <c r="O35" s="142"/>
      <c r="P35" s="423"/>
      <c r="Q35" s="423"/>
      <c r="S35" s="299"/>
    </row>
    <row r="36" spans="2:27">
      <c r="B36" s="146" t="s">
        <v>466</v>
      </c>
      <c r="C36" s="172">
        <f>((C22*$J$23)+(C23*$K$23))+IF($O23&lt;5.1,$M$34,IF(AND($O23&gt;5,$O23&lt;20.1),$M$35,IF(AND($O23&gt;20,$O23&lt;50.1),$M$36,IF($O23&gt;50,$M$37))))+('Incremental Rev Req'!F81*$J$23+'Incremental Rev Req'!F81*$K$23)</f>
        <v>431.77667364504998</v>
      </c>
      <c r="D36" s="172">
        <f>((C24*$L$23)+(C25*$M$23))+IF($O23&lt;5.1,$M$34,IF(AND($O23&gt;5,$O23&lt;20.1),$M$35,IF(AND($O23&gt;20,$O23&lt;50.1),$M$36,IF($O23&gt;50,$M$37))))+('Incremental Rev Req'!F81*$L$23+'Incremental Rev Req'!F81*$M$23)</f>
        <v>336.64632330518003</v>
      </c>
      <c r="E36" s="172">
        <f>((D22*$J$23)+(D23*$K$23))+IF($O23&lt;5.1,$N$34,IF(AND($O23&gt;5,$O23&lt;20.1),$N$35,IF(AND($O23&gt;20,$O23&lt;50.1),$N$36,IF($O23&gt;50,$N$37))))+('Incremental Rev Req'!F81*$J$23+'Incremental Rev Req'!F81*$K$23)</f>
        <v>456.73877952680999</v>
      </c>
      <c r="F36" s="172">
        <f>((D24*$L$23)+(D25*$M$23))+IF($O23&lt;5.1,$N$34,IF(AND($O23&gt;5,$O23&lt;20.1),$N$35,IF(AND($O23&gt;20,$O23&lt;50.1),$N$36,IF($O23&gt;50,$N$37))))+('Incremental Rev Req'!F81*$L$23+'Incremental Rev Req'!F81*$M$23)</f>
        <v>360.93679063808003</v>
      </c>
      <c r="G36" s="172">
        <f>((E22*$J$23)+(E23*$K$23))+IF($O23&lt;5.1,$N$34,IF(AND($O23&gt;5,$O23&lt;20.1),$N$35,IF(AND($O23&gt;20,$O23&lt;50.1),$N$36,IF($O23&gt;50,$N$37))))+('Incremental Rev Req'!F81*$J$23+'Incremental Rev Req'!F81*$K$23)</f>
        <v>456.73877952680999</v>
      </c>
      <c r="H36" s="172">
        <f>((E24*$L$23)+(E25*$M$23))+IF($O23&lt;5.1,$N$34,IF(AND($O23&gt;5,$O23&lt;20.1),$N$35,IF(AND($O23&gt;20,$O23&lt;50.1),$N$36,IF($O23&gt;50,$N$37))))+('Incremental Rev Req'!F81*$L$23+'Incremental Rev Req'!F81*$M$23)</f>
        <v>360.93679063808003</v>
      </c>
      <c r="I36" s="290"/>
      <c r="J36" s="290"/>
      <c r="L36" s="142" t="s">
        <v>474</v>
      </c>
      <c r="M36" s="423">
        <f>'Bill Impact (TOU-A)'!M36</f>
        <v>34.35</v>
      </c>
      <c r="N36" s="423">
        <f>'Bill Impact (TOU-A)'!N36</f>
        <v>34.35</v>
      </c>
      <c r="O36" s="142"/>
      <c r="P36" s="423"/>
      <c r="Q36" s="423"/>
    </row>
    <row r="37" spans="2:27">
      <c r="B37" s="149" t="s">
        <v>467</v>
      </c>
      <c r="C37" s="172">
        <f>((C22*$J$24)+(C23*$K$24))+IF($O24&lt;5.1,$M$34,IF(AND($O24&gt;5,$O24&lt;20.1),$M$35,IF(AND($O24&gt;20,$O24&lt;50.1),$M$36,IF($O24&gt;50,$M$37))))+('Incremental Rev Req'!F81*$J$24+'Incremental Rev Req'!F81*$K$24)</f>
        <v>462.54294270766002</v>
      </c>
      <c r="D37" s="172">
        <f>((C24*$L$24)+(C25*$M$24))+IF($O24&lt;5.1,$M$34,IF(AND($O24&gt;5,$O24&lt;20.1),$M$35,IF(AND($O24&gt;20,$O24&lt;50.1),$M$36,IF($O24&gt;50,$M$37))))+('Incremental Rev Req'!F81*$L$24+'Incremental Rev Req'!F81*$M$24)</f>
        <v>322.02134524454999</v>
      </c>
      <c r="E37" s="172">
        <f>((D22*$J$24)+(D23*$K$24))+IF($O24&lt;5.1,$N$34,IF(AND($O24&gt;5,$O24&lt;20.1),$N$35,IF(AND($O24&gt;20,$O24&lt;50.1),$N$36,IF($O24&gt;50,$N$37))))+('Incremental Rev Req'!F81*$J$24+'Incremental Rev Req'!F81*$K$24)</f>
        <v>488.93216121242</v>
      </c>
      <c r="F37" s="172">
        <f>((D24*$L$24)+(D25*$M$24))+IF($O24&lt;5.1,$N$34,IF(AND($O24&gt;5,$O24&lt;20.1),$N$35,IF(AND($O24&gt;20,$O24&lt;50.1),$N$36,IF($O24&gt;50,$N$37))))+('Incremental Rev Req'!F81*$L$24+'Incremental Rev Req'!F81*$M$24)</f>
        <v>344.78210481139996</v>
      </c>
      <c r="G37" s="172">
        <f>((E22*$J$24)+(E23*$K$24))+IF($O24&lt;5.1,$N$34,IF(AND($O24&gt;5,$O24&lt;20.1),$N$35,IF(AND($O24&gt;20,$O24&lt;50.1),$N$36,IF($O24&gt;50,$N$37))))+('Incremental Rev Req'!F81*$J$24+'Incremental Rev Req'!F81*$K$24)</f>
        <v>488.93216121242</v>
      </c>
      <c r="H37" s="172">
        <f>((E24*$L$24)+(E25*$M$24))+IF($O24&lt;5.1,$N$34,IF(AND($O24&gt;5,$O24&lt;20.1),$N$35,IF(AND($O24&gt;20,$O24&lt;50.1),$N$36,IF($O24&gt;50,$N$37))))+('Incremental Rev Req'!F81*$L$24+'Incremental Rev Req'!F81*$M$24)</f>
        <v>344.78210481139996</v>
      </c>
      <c r="I37" s="290"/>
      <c r="J37" s="290"/>
      <c r="L37" s="142" t="s">
        <v>475</v>
      </c>
      <c r="M37" s="423">
        <f>'Bill Impact (TOU-A)'!M37</f>
        <v>85.87</v>
      </c>
      <c r="N37" s="423">
        <f>'Bill Impact (TOU-A)'!N37</f>
        <v>85.87</v>
      </c>
      <c r="O37" s="142"/>
      <c r="P37" s="423"/>
      <c r="Q37" s="423"/>
      <c r="X37" s="10"/>
      <c r="Y37" s="10"/>
      <c r="Z37" s="10"/>
      <c r="AA37" s="10"/>
    </row>
    <row r="38" spans="2:27">
      <c r="B38" s="152" t="s">
        <v>468</v>
      </c>
      <c r="C38" s="172">
        <f>((C22*$J$25)+(C23*$K$25))+IF($O25&lt;5.1,$M$34,IF(AND($O25&gt;5,$O25&lt;20.1),$M$35,IF(AND($O25&gt;20,$O25&lt;50.1),$M$36,IF($O25&gt;50,$M$37))))+('Incremental Rev Req'!F81*$J$25+'Incremental Rev Req'!F81*$K$25)</f>
        <v>1149.4575421274101</v>
      </c>
      <c r="D38" s="172">
        <f>((C24*$L$25)+(C25*$M$25))+IF($O25&lt;5.1,$M$34,IF(AND($O25&gt;5,$O25&lt;20.1),$M$35,IF(AND($O25&gt;20,$O25&lt;50.1),$M$36,IF($O25&gt;50,$M$37))))+('Incremental Rev Req'!F81*$L$25+'Incremental Rev Req'!F81*$M$25)</f>
        <v>756.13669940211014</v>
      </c>
      <c r="E38" s="172">
        <f>((D22*$J$25)+(D23*$K$25))+IF($O25&lt;5.1,$N$34,IF(AND($O25&gt;5,$O25&lt;20.1),$N$35,IF(AND($O25&gt;20,$O25&lt;50.1),$N$36,IF($O25&gt;50,$N$37))))+('Incremental Rev Req'!F81*$J$25+'Incremental Rev Req'!F81*$K$25)</f>
        <v>1216.08583026308</v>
      </c>
      <c r="F38" s="172">
        <f>((D24*$L$25)+(D25*$M$25))+IF($O25&lt;5.1,$N$34,IF(AND($O25&gt;5,$O25&lt;20.1),$N$35,IF(AND($O25&gt;20,$O25&lt;50.1),$N$36,IF($O25&gt;50,$N$37))))+('Incremental Rev Req'!F81*$L$25+'Incremental Rev Req'!F81*$M$25)</f>
        <v>810.88508404916013</v>
      </c>
      <c r="G38" s="172">
        <f>((E22*$J$25)+(E23*$K$25))+IF($O25&lt;5.1,$N$34,IF(AND($O25&gt;5,$O25&lt;20.1),$N$35,IF(AND($O25&gt;20,$O25&lt;50.1),$N$36,IF($O25&gt;50,$N$37))))+('Incremental Rev Req'!F81*$J$25+'Incremental Rev Req'!F81*$K$25)</f>
        <v>1216.08583026308</v>
      </c>
      <c r="H38" s="172">
        <f>((E24*$L$25)+(E25*$M$25))+IF($O25&lt;5.1,$N$34,IF(AND($O25&gt;5,$O25&lt;20.1),$N$35,IF(AND($O25&gt;20,$O25&lt;50.1),$N$36,IF($O25&gt;50,$N$37))))+('Incremental Rev Req'!F81*$L$25+'Incremental Rev Req'!F81*$M$25)</f>
        <v>810.88508404916013</v>
      </c>
      <c r="I38" s="290"/>
      <c r="J38" s="290"/>
      <c r="L38" s="151"/>
      <c r="M38" s="151"/>
      <c r="N38" s="151"/>
      <c r="O38" s="151"/>
      <c r="P38" s="151"/>
      <c r="Q38" s="151"/>
    </row>
    <row r="39" spans="2:27">
      <c r="B39" s="6" t="s">
        <v>116</v>
      </c>
      <c r="C39" s="170">
        <f t="shared" ref="C39:H39" si="0">SUMPRODUCT(C36:C38,$N$23:$N$25)</f>
        <v>604.43080281723837</v>
      </c>
      <c r="D39" s="170">
        <f t="shared" si="0"/>
        <v>430.81657450485045</v>
      </c>
      <c r="E39" s="170">
        <f t="shared" si="0"/>
        <v>639.34233503313317</v>
      </c>
      <c r="F39" s="170">
        <f t="shared" si="0"/>
        <v>461.84764933395013</v>
      </c>
      <c r="G39" s="170">
        <f t="shared" si="0"/>
        <v>639.34233503313317</v>
      </c>
      <c r="H39" s="170">
        <f t="shared" si="0"/>
        <v>461.84764933395013</v>
      </c>
      <c r="I39" s="155"/>
      <c r="J39" s="155"/>
      <c r="K39" s="7"/>
      <c r="L39" s="151"/>
      <c r="M39" s="151"/>
      <c r="N39" s="171"/>
      <c r="O39" s="151"/>
      <c r="P39" s="155"/>
      <c r="Q39" s="155"/>
    </row>
    <row r="40" spans="2:27">
      <c r="B40" s="436"/>
      <c r="C40" s="437"/>
      <c r="D40" s="437"/>
      <c r="E40" s="437"/>
      <c r="F40" s="437"/>
      <c r="G40" s="155"/>
      <c r="H40" s="155"/>
    </row>
  </sheetData>
  <mergeCells count="13">
    <mergeCell ref="B2:D2"/>
    <mergeCell ref="E3:I3"/>
    <mergeCell ref="U20:V20"/>
    <mergeCell ref="J21:K21"/>
    <mergeCell ref="L21:M21"/>
    <mergeCell ref="Q21:R21"/>
    <mergeCell ref="S21:T21"/>
    <mergeCell ref="B32:H32"/>
    <mergeCell ref="C33:H33"/>
    <mergeCell ref="I33:J33"/>
    <mergeCell ref="C34:D34"/>
    <mergeCell ref="E34:F34"/>
    <mergeCell ref="G34:H3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9B048-FAAD-4923-9831-A369F9903490}">
  <sheetPr codeName="Sheet11">
    <tabColor rgb="FFFF99FF"/>
  </sheetPr>
  <dimension ref="A1:C5"/>
  <sheetViews>
    <sheetView workbookViewId="0"/>
  </sheetViews>
  <sheetFormatPr defaultRowHeight="15"/>
  <cols>
    <col min="1" max="1" width="22.42578125" customWidth="1"/>
    <col min="2" max="2" width="17.7109375" customWidth="1"/>
    <col min="3" max="3" width="13.85546875" customWidth="1"/>
  </cols>
  <sheetData>
    <row r="1" spans="1:3" ht="25.5">
      <c r="A1" s="249" t="s">
        <v>245</v>
      </c>
      <c r="B1" s="249" t="s">
        <v>243</v>
      </c>
      <c r="C1" s="249" t="s">
        <v>244</v>
      </c>
    </row>
    <row r="2" spans="1:3">
      <c r="A2" s="250" t="s">
        <v>241</v>
      </c>
      <c r="B2" s="250" t="s">
        <v>242</v>
      </c>
    </row>
    <row r="3" spans="1:3">
      <c r="A3" s="251">
        <v>1745169612.149435</v>
      </c>
      <c r="B3" s="251">
        <v>7323388099.574091</v>
      </c>
      <c r="C3" s="148">
        <f>A3/B3</f>
        <v>0.23830085042890592</v>
      </c>
    </row>
    <row r="5" spans="1:3">
      <c r="A5" t="s">
        <v>368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E6051-D3A7-4594-BBBC-6974B096BEEC}">
  <sheetPr codeName="Sheet12"/>
  <dimension ref="A1:S14"/>
  <sheetViews>
    <sheetView showGridLines="0" workbookViewId="0"/>
  </sheetViews>
  <sheetFormatPr defaultRowHeight="15"/>
  <cols>
    <col min="1" max="1" width="2.42578125" customWidth="1"/>
    <col min="2" max="2" width="22.85546875" customWidth="1"/>
    <col min="3" max="6" width="12.5703125" customWidth="1"/>
    <col min="7" max="7" width="9.85546875" bestFit="1" customWidth="1"/>
    <col min="8" max="9" width="12.5703125" customWidth="1"/>
    <col min="10" max="10" width="19.140625" customWidth="1"/>
    <col min="11" max="12" width="12.5703125" customWidth="1"/>
    <col min="13" max="13" width="13.42578125" customWidth="1"/>
    <col min="14" max="16" width="12.5703125" customWidth="1"/>
    <col min="17" max="17" width="14.28515625" customWidth="1"/>
    <col min="19" max="19" width="12.5703125" customWidth="1"/>
  </cols>
  <sheetData>
    <row r="1" spans="1:19" ht="42.75" customHeight="1">
      <c r="B1" s="6"/>
      <c r="C1" s="540" t="s">
        <v>418</v>
      </c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</row>
    <row r="2" spans="1:19" ht="31.5">
      <c r="B2" s="1"/>
      <c r="C2" s="365" t="s">
        <v>3</v>
      </c>
      <c r="D2" s="90" t="s">
        <v>433</v>
      </c>
      <c r="E2" s="90" t="s">
        <v>60</v>
      </c>
      <c r="F2" s="90" t="s">
        <v>5</v>
      </c>
      <c r="G2" s="90" t="s">
        <v>100</v>
      </c>
      <c r="H2" s="90" t="s">
        <v>14</v>
      </c>
      <c r="I2" s="90" t="s">
        <v>81</v>
      </c>
      <c r="J2" s="90" t="s">
        <v>102</v>
      </c>
      <c r="K2" s="90" t="s">
        <v>98</v>
      </c>
      <c r="L2" s="90" t="s">
        <v>79</v>
      </c>
      <c r="M2" s="90" t="s">
        <v>10</v>
      </c>
      <c r="N2" s="90" t="s">
        <v>235</v>
      </c>
      <c r="O2" s="90" t="s">
        <v>88</v>
      </c>
      <c r="P2" s="366" t="s">
        <v>267</v>
      </c>
      <c r="Q2" s="89" t="s">
        <v>510</v>
      </c>
      <c r="R2" s="89" t="s">
        <v>499</v>
      </c>
      <c r="S2" s="89"/>
    </row>
    <row r="3" spans="1:19" ht="15.75">
      <c r="A3" s="1"/>
      <c r="B3" s="370" t="s">
        <v>428</v>
      </c>
      <c r="C3" s="460">
        <v>0.40362536917531777</v>
      </c>
      <c r="D3" s="461">
        <v>0.19327545344183236</v>
      </c>
      <c r="E3" s="461">
        <v>0.4133970432199946</v>
      </c>
      <c r="F3" s="461">
        <v>0.43179640740459241</v>
      </c>
      <c r="G3" s="461">
        <v>0.93663504687661814</v>
      </c>
      <c r="H3" s="461">
        <v>0.39738888344868006</v>
      </c>
      <c r="I3" s="461">
        <v>0.36941866348746455</v>
      </c>
      <c r="J3" s="461">
        <v>0.35768576566123123</v>
      </c>
      <c r="K3" s="461">
        <v>0</v>
      </c>
      <c r="L3" s="461">
        <v>1</v>
      </c>
      <c r="M3" s="461">
        <v>0.47982095287890458</v>
      </c>
      <c r="N3" s="461">
        <v>0.346686882798936</v>
      </c>
      <c r="O3" s="461">
        <v>0.33127398773140304</v>
      </c>
      <c r="P3" s="462">
        <v>0.41062604799989344</v>
      </c>
      <c r="Q3" s="459">
        <v>-78.220471737416673</v>
      </c>
      <c r="R3">
        <v>1E-3</v>
      </c>
    </row>
    <row r="4" spans="1:19" ht="15.75">
      <c r="B4" s="370" t="s">
        <v>513</v>
      </c>
      <c r="C4" s="463">
        <v>0.39424726563723572</v>
      </c>
      <c r="D4" s="464">
        <v>0.19327545344183236</v>
      </c>
      <c r="E4" s="464">
        <v>0.41356414406834474</v>
      </c>
      <c r="F4" s="464">
        <v>0.430366978389564</v>
      </c>
      <c r="G4" s="464">
        <v>0.92062163503455197</v>
      </c>
      <c r="H4" s="464">
        <v>0.41271602975615534</v>
      </c>
      <c r="I4" s="464">
        <v>0.38444508521474891</v>
      </c>
      <c r="J4" s="464">
        <v>0.3731199301604553</v>
      </c>
      <c r="K4" s="464">
        <v>0</v>
      </c>
      <c r="L4" s="464">
        <v>1</v>
      </c>
      <c r="M4" s="464">
        <v>0.49363815309475817</v>
      </c>
      <c r="N4" s="464">
        <v>0.36662864464956729</v>
      </c>
      <c r="O4" s="464">
        <v>0.33127761011240869</v>
      </c>
      <c r="P4" s="465">
        <v>0.40132533737826953</v>
      </c>
      <c r="Q4" s="459">
        <v>-100.74836889990405</v>
      </c>
    </row>
    <row r="5" spans="1:19" ht="5.25" customHeight="1"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</row>
    <row r="6" spans="1:19" s="340" customFormat="1"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471"/>
      <c r="N6" s="471"/>
      <c r="O6" s="471"/>
      <c r="P6" s="471"/>
    </row>
    <row r="7" spans="1:19" s="340" customFormat="1">
      <c r="C7" s="481"/>
      <c r="D7" s="481"/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481"/>
    </row>
    <row r="8" spans="1:19" ht="41.25" customHeight="1">
      <c r="C8" s="540" t="s">
        <v>476</v>
      </c>
      <c r="D8" s="540"/>
      <c r="E8" s="540"/>
      <c r="F8" s="540"/>
      <c r="G8" s="540"/>
      <c r="H8" s="540"/>
      <c r="I8" s="540"/>
      <c r="J8" s="540"/>
      <c r="K8" s="540"/>
      <c r="L8" s="540"/>
      <c r="M8" s="540"/>
      <c r="N8" s="540"/>
      <c r="O8" s="540"/>
      <c r="P8" s="540"/>
    </row>
    <row r="9" spans="1:19" ht="31.5">
      <c r="B9" s="1"/>
      <c r="C9" s="365" t="s">
        <v>3</v>
      </c>
      <c r="D9" s="90" t="s">
        <v>433</v>
      </c>
      <c r="E9" s="90" t="s">
        <v>60</v>
      </c>
      <c r="F9" s="90" t="s">
        <v>5</v>
      </c>
      <c r="G9" s="90" t="s">
        <v>100</v>
      </c>
      <c r="H9" s="90" t="s">
        <v>14</v>
      </c>
      <c r="I9" s="90" t="s">
        <v>81</v>
      </c>
      <c r="J9" s="90" t="s">
        <v>102</v>
      </c>
      <c r="K9" s="90" t="s">
        <v>98</v>
      </c>
      <c r="L9" s="90" t="s">
        <v>79</v>
      </c>
      <c r="M9" s="90" t="s">
        <v>10</v>
      </c>
      <c r="N9" s="90" t="s">
        <v>235</v>
      </c>
      <c r="O9" s="90" t="s">
        <v>88</v>
      </c>
      <c r="P9" s="366" t="s">
        <v>267</v>
      </c>
      <c r="R9" s="89"/>
    </row>
    <row r="10" spans="1:19" ht="15.75">
      <c r="B10" s="370" t="s">
        <v>428</v>
      </c>
      <c r="C10" s="369">
        <v>0.11954875500949963</v>
      </c>
      <c r="D10" s="367">
        <v>0.13851677628572273</v>
      </c>
      <c r="E10" s="367">
        <v>0.11084737412205574</v>
      </c>
      <c r="F10" s="367">
        <v>0.15934999890001589</v>
      </c>
      <c r="G10" s="367">
        <v>6.1411071196190617E-2</v>
      </c>
      <c r="H10" s="367">
        <v>0.12511843262201919</v>
      </c>
      <c r="I10" s="367">
        <v>0.11931503905843863</v>
      </c>
      <c r="J10" s="367">
        <v>0.11647502243016955</v>
      </c>
      <c r="K10" s="367">
        <v>0</v>
      </c>
      <c r="L10" s="367">
        <v>0</v>
      </c>
      <c r="M10" s="367">
        <v>9.6437944900238021E-2</v>
      </c>
      <c r="N10" s="367">
        <v>0.15567477264143847</v>
      </c>
      <c r="O10" s="367">
        <v>0.12696685729281706</v>
      </c>
      <c r="P10" s="368">
        <v>0.12123216117474646</v>
      </c>
    </row>
    <row r="11" spans="1:19" ht="15.75">
      <c r="B11" s="370" t="s">
        <v>513</v>
      </c>
      <c r="C11" s="463">
        <v>0.11087756147070289</v>
      </c>
      <c r="D11" s="464">
        <v>0.13851677628572273</v>
      </c>
      <c r="E11" s="464">
        <v>0.11595501410121502</v>
      </c>
      <c r="F11" s="464">
        <v>0.16611694472815214</v>
      </c>
      <c r="G11" s="464">
        <v>7.6311856810092907E-2</v>
      </c>
      <c r="H11" s="464">
        <v>0.12726378531137064</v>
      </c>
      <c r="I11" s="464">
        <v>0.12160672845787228</v>
      </c>
      <c r="J11" s="464">
        <v>0.1186247313271217</v>
      </c>
      <c r="K11" s="464">
        <v>0</v>
      </c>
      <c r="L11" s="464">
        <v>0</v>
      </c>
      <c r="M11" s="464">
        <v>0.1065349715690313</v>
      </c>
      <c r="N11" s="464">
        <v>0.15760592954486771</v>
      </c>
      <c r="O11" s="464">
        <v>0.13276363556838561</v>
      </c>
      <c r="P11" s="465">
        <v>0.11244927957186805</v>
      </c>
    </row>
    <row r="12" spans="1:19" ht="6" customHeight="1">
      <c r="C12" s="472"/>
      <c r="D12" s="472"/>
      <c r="E12" s="472"/>
      <c r="F12" s="472"/>
      <c r="G12" s="472"/>
      <c r="H12" s="472"/>
      <c r="I12" s="472"/>
      <c r="J12" s="472"/>
      <c r="K12" s="472"/>
      <c r="L12" s="472"/>
      <c r="M12" s="472"/>
      <c r="N12" s="472"/>
      <c r="O12" s="472"/>
      <c r="P12" s="472"/>
    </row>
    <row r="13" spans="1:19" s="340" customFormat="1">
      <c r="C13" s="471"/>
      <c r="D13" s="471"/>
      <c r="E13" s="471"/>
      <c r="F13" s="471"/>
      <c r="G13" s="471"/>
      <c r="H13" s="471"/>
      <c r="I13" s="471"/>
      <c r="J13" s="471"/>
      <c r="K13" s="471"/>
      <c r="L13" s="471"/>
      <c r="M13" s="471"/>
      <c r="N13" s="471"/>
      <c r="O13" s="471"/>
      <c r="P13" s="471"/>
    </row>
    <row r="14" spans="1:19" s="340" customFormat="1">
      <c r="C14" s="481"/>
      <c r="D14" s="481"/>
      <c r="E14" s="481"/>
      <c r="F14" s="481"/>
      <c r="G14" s="481"/>
      <c r="H14" s="481"/>
      <c r="I14" s="481"/>
      <c r="J14" s="481"/>
      <c r="K14" s="481"/>
      <c r="L14" s="481"/>
      <c r="M14" s="481"/>
      <c r="N14" s="481"/>
      <c r="O14" s="481"/>
      <c r="P14" s="481"/>
    </row>
  </sheetData>
  <mergeCells count="2">
    <mergeCell ref="C1:P1"/>
    <mergeCell ref="C8:P8"/>
  </mergeCells>
  <conditionalFormatting sqref="C6:P6">
    <cfRule type="cellIs" dxfId="3" priority="5" operator="equal">
      <formula>"DECREASE"</formula>
    </cfRule>
    <cfRule type="cellIs" dxfId="2" priority="6" operator="equal">
      <formula>"INCREASE"</formula>
    </cfRule>
  </conditionalFormatting>
  <conditionalFormatting sqref="C13:P13">
    <cfRule type="cellIs" dxfId="1" priority="1" operator="equal">
      <formula>"DECREASE"</formula>
    </cfRule>
    <cfRule type="cellIs" dxfId="0" priority="2" operator="equal">
      <formula>"INCREASE"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F1FEC-0591-4595-9489-C0DB61E71E9E}">
  <sheetPr codeName="Sheet6">
    <tabColor rgb="FFFFC000"/>
  </sheetPr>
  <dimension ref="A1:V66"/>
  <sheetViews>
    <sheetView showGridLines="0" tabSelected="1" zoomScale="83" zoomScaleNormal="83" workbookViewId="0"/>
  </sheetViews>
  <sheetFormatPr defaultRowHeight="15"/>
  <cols>
    <col min="2" max="2" width="4.42578125" customWidth="1"/>
    <col min="3" max="3" width="18.140625" customWidth="1"/>
    <col min="16" max="16" width="18.7109375" customWidth="1"/>
    <col min="17" max="17" width="11.85546875" bestFit="1" customWidth="1"/>
    <col min="18" max="18" width="10.7109375" customWidth="1"/>
    <col min="20" max="21" width="10" bestFit="1" customWidth="1"/>
  </cols>
  <sheetData>
    <row r="1" spans="1:22" ht="21">
      <c r="A1" s="483" t="s">
        <v>560</v>
      </c>
      <c r="Q1" s="340"/>
    </row>
    <row r="2" spans="1:22" ht="21">
      <c r="A2" s="483" t="s">
        <v>484</v>
      </c>
      <c r="Q2" s="334" t="s">
        <v>189</v>
      </c>
    </row>
    <row r="3" spans="1:22" ht="21">
      <c r="A3" s="483" t="s">
        <v>517</v>
      </c>
      <c r="Q3" s="334" t="s">
        <v>383</v>
      </c>
    </row>
    <row r="4" spans="1:22" ht="21">
      <c r="A4" s="483" t="s">
        <v>561</v>
      </c>
      <c r="Q4" s="335" t="s">
        <v>399</v>
      </c>
    </row>
    <row r="5" spans="1:22">
      <c r="A5">
        <v>1</v>
      </c>
      <c r="B5" s="338" t="s">
        <v>384</v>
      </c>
      <c r="Q5" s="13">
        <f>'Authorized Rev Req'!$O$160</f>
        <v>4192794.6521918182</v>
      </c>
      <c r="R5" s="13"/>
    </row>
    <row r="6" spans="1:22">
      <c r="B6" s="339" t="s">
        <v>385</v>
      </c>
      <c r="C6" t="s">
        <v>386</v>
      </c>
      <c r="Q6" s="13">
        <f>Q5*0.01</f>
        <v>41927.94652191818</v>
      </c>
      <c r="R6" s="13"/>
    </row>
    <row r="7" spans="1:22">
      <c r="B7" s="339"/>
      <c r="Q7" s="13"/>
    </row>
    <row r="8" spans="1:22">
      <c r="A8">
        <v>2</v>
      </c>
      <c r="B8" s="338" t="s">
        <v>387</v>
      </c>
      <c r="Q8" s="347" t="s">
        <v>369</v>
      </c>
      <c r="V8" s="348"/>
    </row>
    <row r="9" spans="1:22">
      <c r="B9" s="341" t="s">
        <v>385</v>
      </c>
      <c r="C9" s="76" t="s">
        <v>358</v>
      </c>
      <c r="D9" s="76" t="s">
        <v>404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342">
        <f>('Incremental Rev Req'!F87+'Incremental Rev Req'!F88)+('Incremental Rev Req'!G87-'Incremental Rev Req'!F87)+('Incremental Rev Req'!G88-'Incremental Rev Req'!F88)+('Incremental Rev Req'!H87-'Incremental Rev Req'!G87)+('Incremental Rev Req'!H88-'Incremental Rev Req'!G88)+('Incremental Rev Req'!I87-'Incremental Rev Req'!H87)+('Incremental Rev Req'!I88-'Incremental Rev Req'!H88)</f>
        <v>1145137.1177497997</v>
      </c>
      <c r="R9" s="13"/>
    </row>
    <row r="10" spans="1:22">
      <c r="B10" s="339" t="s">
        <v>388</v>
      </c>
      <c r="C10" t="s">
        <v>420</v>
      </c>
      <c r="D10" t="s">
        <v>504</v>
      </c>
      <c r="Q10" s="13">
        <f>SUM('Incremental Rev Req'!H89:J89)</f>
        <v>363807.04593678832</v>
      </c>
      <c r="R10" s="13"/>
      <c r="T10" s="27"/>
      <c r="U10" s="346"/>
    </row>
    <row r="11" spans="1:22">
      <c r="B11" s="339"/>
      <c r="R11" s="13"/>
      <c r="T11" s="27"/>
      <c r="U11" s="346"/>
      <c r="V11" s="349"/>
    </row>
    <row r="12" spans="1:22">
      <c r="B12" s="339"/>
      <c r="R12" s="13"/>
      <c r="T12" s="27"/>
      <c r="U12" s="346"/>
      <c r="V12" s="349"/>
    </row>
    <row r="14" spans="1:22">
      <c r="A14">
        <v>3</v>
      </c>
      <c r="B14" s="343" t="s">
        <v>392</v>
      </c>
      <c r="Q14" s="347" t="s">
        <v>369</v>
      </c>
    </row>
    <row r="15" spans="1:22">
      <c r="B15" s="27" t="s">
        <v>385</v>
      </c>
      <c r="C15" t="s">
        <v>358</v>
      </c>
      <c r="D15" t="s">
        <v>404</v>
      </c>
      <c r="Q15" s="13">
        <f>Q9</f>
        <v>1145137.1177497997</v>
      </c>
      <c r="R15" s="13"/>
    </row>
    <row r="16" spans="1:22">
      <c r="B16" s="339" t="s">
        <v>388</v>
      </c>
      <c r="C16" t="s">
        <v>486</v>
      </c>
      <c r="D16" t="s">
        <v>417</v>
      </c>
      <c r="Q16" s="346">
        <v>0</v>
      </c>
      <c r="R16" s="13"/>
    </row>
    <row r="17" spans="1:22">
      <c r="B17" s="339" t="s">
        <v>389</v>
      </c>
      <c r="C17" t="s">
        <v>420</v>
      </c>
      <c r="D17" t="s">
        <v>504</v>
      </c>
      <c r="Q17" s="13">
        <f>Q10</f>
        <v>363807.04593678832</v>
      </c>
      <c r="R17" s="13"/>
    </row>
    <row r="18" spans="1:22">
      <c r="B18" s="339"/>
      <c r="R18" s="13"/>
    </row>
    <row r="20" spans="1:22">
      <c r="A20">
        <v>4</v>
      </c>
      <c r="B20" t="s">
        <v>393</v>
      </c>
      <c r="Q20" s="347" t="s">
        <v>369</v>
      </c>
    </row>
    <row r="21" spans="1:22">
      <c r="B21" s="27" t="s">
        <v>385</v>
      </c>
      <c r="C21" t="s">
        <v>511</v>
      </c>
      <c r="D21" t="s">
        <v>512</v>
      </c>
      <c r="Q21" s="346">
        <f>'Incremental Rev Req'!G90</f>
        <v>34295</v>
      </c>
      <c r="R21" s="13"/>
      <c r="V21" s="349"/>
    </row>
    <row r="22" spans="1:22">
      <c r="B22" s="27" t="s">
        <v>388</v>
      </c>
      <c r="C22" t="s">
        <v>514</v>
      </c>
      <c r="D22" t="s">
        <v>437</v>
      </c>
      <c r="Q22" s="13">
        <f>SUMIF('Incremental Rev Req'!A93:A108,D22,'Incremental Rev Req'!D93:D108)</f>
        <v>-253265.66246796091</v>
      </c>
      <c r="R22" s="13"/>
    </row>
    <row r="23" spans="1:22">
      <c r="B23" s="27"/>
      <c r="R23" s="13"/>
    </row>
    <row r="25" spans="1:22">
      <c r="A25">
        <v>5</v>
      </c>
      <c r="B25" s="514" t="s">
        <v>394</v>
      </c>
      <c r="C25" s="513"/>
      <c r="D25" s="513"/>
      <c r="E25" s="513"/>
      <c r="F25" s="513"/>
      <c r="G25" s="513"/>
      <c r="H25" s="513"/>
      <c r="I25" s="513"/>
      <c r="J25" s="513"/>
      <c r="K25" s="513"/>
      <c r="L25" s="513"/>
      <c r="M25" s="513"/>
      <c r="N25" s="513"/>
      <c r="O25" s="513"/>
      <c r="P25" s="513"/>
    </row>
    <row r="26" spans="1:22">
      <c r="B26" s="27" t="s">
        <v>385</v>
      </c>
      <c r="C26" s="27" t="s">
        <v>395</v>
      </c>
      <c r="Q26" s="13">
        <f>'Incremental Rev Req'!O100</f>
        <v>4614631.6919899061</v>
      </c>
    </row>
    <row r="27" spans="1:22">
      <c r="B27" s="27" t="s">
        <v>388</v>
      </c>
      <c r="C27" s="27" t="s">
        <v>396</v>
      </c>
      <c r="Q27" s="13">
        <f>'Incremental Rev Req'!P100</f>
        <v>4624678.8686254062</v>
      </c>
    </row>
    <row r="28" spans="1:22">
      <c r="B28" s="27" t="s">
        <v>389</v>
      </c>
      <c r="C28" s="27" t="s">
        <v>405</v>
      </c>
      <c r="Q28" s="13">
        <f>'Incremental Rev Req'!Q100</f>
        <v>4843775.9437136659</v>
      </c>
    </row>
    <row r="29" spans="1:22">
      <c r="B29" s="27" t="s">
        <v>390</v>
      </c>
      <c r="C29" s="27" t="s">
        <v>406</v>
      </c>
      <c r="Q29" s="13">
        <f>'Incremental Rev Req'!R100</f>
        <v>5013484.1606341777</v>
      </c>
    </row>
    <row r="30" spans="1:22">
      <c r="B30" s="27" t="s">
        <v>391</v>
      </c>
      <c r="C30" s="27" t="s">
        <v>485</v>
      </c>
      <c r="Q30" s="13">
        <f>'Incremental Rev Req'!S100</f>
        <v>4989254.5233483016</v>
      </c>
    </row>
    <row r="31" spans="1:22">
      <c r="R31" s="13"/>
    </row>
    <row r="32" spans="1:22">
      <c r="A32">
        <v>6</v>
      </c>
      <c r="B32" s="512" t="s">
        <v>397</v>
      </c>
      <c r="C32" s="512"/>
      <c r="D32" s="512"/>
      <c r="E32" s="512"/>
      <c r="F32" s="512"/>
      <c r="G32" s="512"/>
      <c r="H32" s="512"/>
      <c r="I32" s="512"/>
      <c r="J32" s="512"/>
      <c r="K32" s="512"/>
      <c r="L32" s="513"/>
      <c r="M32" s="513"/>
      <c r="N32" s="513"/>
      <c r="O32" s="513"/>
      <c r="R32" s="344" t="s">
        <v>398</v>
      </c>
    </row>
    <row r="33" spans="1:20">
      <c r="B33" s="27" t="s">
        <v>385</v>
      </c>
      <c r="C33" s="27" t="s">
        <v>395</v>
      </c>
      <c r="Q33" s="375"/>
      <c r="R33" s="455">
        <v>38.680361948215335</v>
      </c>
    </row>
    <row r="34" spans="1:20">
      <c r="B34" s="27" t="s">
        <v>388</v>
      </c>
      <c r="C34" s="27" t="s">
        <v>396</v>
      </c>
      <c r="Q34" s="376"/>
      <c r="R34" s="455">
        <v>36.056611388715147</v>
      </c>
    </row>
    <row r="35" spans="1:20">
      <c r="B35" s="27" t="s">
        <v>389</v>
      </c>
      <c r="C35" s="27" t="s">
        <v>405</v>
      </c>
      <c r="R35" s="455">
        <v>37.706491794396022</v>
      </c>
    </row>
    <row r="36" spans="1:20">
      <c r="B36" s="27" t="s">
        <v>390</v>
      </c>
      <c r="C36" s="27" t="s">
        <v>406</v>
      </c>
      <c r="R36" s="455">
        <v>38.978033572745161</v>
      </c>
    </row>
    <row r="37" spans="1:20">
      <c r="B37" s="27" t="s">
        <v>391</v>
      </c>
      <c r="C37" s="27" t="s">
        <v>485</v>
      </c>
      <c r="R37" s="455">
        <v>38.859597173198907</v>
      </c>
    </row>
    <row r="39" spans="1:20">
      <c r="A39">
        <v>7</v>
      </c>
      <c r="B39" s="54" t="s">
        <v>412</v>
      </c>
      <c r="S39" s="344" t="s">
        <v>162</v>
      </c>
      <c r="T39" s="344" t="s">
        <v>163</v>
      </c>
    </row>
    <row r="40" spans="1:20">
      <c r="B40" s="27" t="s">
        <v>385</v>
      </c>
      <c r="C40" s="27" t="s">
        <v>395</v>
      </c>
      <c r="Q40" s="456"/>
      <c r="R40" s="456"/>
      <c r="S40" s="454">
        <v>171.21752230820834</v>
      </c>
      <c r="T40" s="454">
        <v>106.83209293612616</v>
      </c>
    </row>
    <row r="41" spans="1:20">
      <c r="B41" s="27" t="s">
        <v>388</v>
      </c>
      <c r="C41" s="27" t="s">
        <v>396</v>
      </c>
      <c r="Q41" s="374"/>
      <c r="R41" s="374"/>
      <c r="S41" s="454">
        <v>160.60552777408603</v>
      </c>
      <c r="T41" s="454">
        <v>98.62152812348711</v>
      </c>
    </row>
    <row r="42" spans="1:20">
      <c r="B42" s="27" t="s">
        <v>389</v>
      </c>
      <c r="C42" s="27" t="s">
        <v>405</v>
      </c>
      <c r="S42" s="454">
        <v>167.78072703154456</v>
      </c>
      <c r="T42" s="454">
        <v>103.28398568037009</v>
      </c>
    </row>
    <row r="43" spans="1:20">
      <c r="B43" s="27" t="s">
        <v>390</v>
      </c>
      <c r="C43" s="27" t="s">
        <v>406</v>
      </c>
      <c r="Q43" s="373"/>
      <c r="R43" s="373"/>
      <c r="S43" s="454">
        <v>173.31056155314013</v>
      </c>
      <c r="T43" s="454">
        <v>106.87728223261911</v>
      </c>
    </row>
    <row r="44" spans="1:20">
      <c r="B44" s="27" t="s">
        <v>391</v>
      </c>
      <c r="C44" s="27" t="s">
        <v>485</v>
      </c>
      <c r="Q44" s="373"/>
      <c r="R44" s="373"/>
      <c r="S44" s="454">
        <v>172.79549102854071</v>
      </c>
      <c r="T44" s="454">
        <v>106.54258846683278</v>
      </c>
    </row>
    <row r="45" spans="1:20">
      <c r="B45" s="345"/>
    </row>
    <row r="46" spans="1:20">
      <c r="A46">
        <v>8</v>
      </c>
      <c r="B46" s="512" t="s">
        <v>507</v>
      </c>
      <c r="C46" s="512"/>
      <c r="D46" s="512"/>
      <c r="E46" s="512"/>
      <c r="F46" s="512"/>
      <c r="G46" s="512"/>
      <c r="H46" s="512"/>
      <c r="I46" s="512"/>
      <c r="J46" s="512"/>
      <c r="K46" s="512"/>
      <c r="L46" s="513"/>
      <c r="M46" s="513"/>
      <c r="N46" s="513"/>
      <c r="O46" s="513"/>
      <c r="R46" s="344" t="s">
        <v>398</v>
      </c>
    </row>
    <row r="47" spans="1:20">
      <c r="B47" s="27" t="s">
        <v>385</v>
      </c>
      <c r="C47" s="27" t="s">
        <v>395</v>
      </c>
      <c r="Q47" s="375"/>
      <c r="R47" s="455">
        <v>38.160047009137337</v>
      </c>
    </row>
    <row r="48" spans="1:20">
      <c r="B48" s="27" t="s">
        <v>388</v>
      </c>
      <c r="C48" s="27" t="s">
        <v>396</v>
      </c>
      <c r="R48" s="455">
        <v>37.377888107421221</v>
      </c>
    </row>
    <row r="49" spans="1:21">
      <c r="B49" s="27" t="s">
        <v>389</v>
      </c>
      <c r="C49" s="27" t="s">
        <v>405</v>
      </c>
      <c r="R49" s="455">
        <v>38.953359232404942</v>
      </c>
    </row>
    <row r="50" spans="1:21">
      <c r="B50" s="27" t="s">
        <v>390</v>
      </c>
      <c r="C50" s="27" t="s">
        <v>406</v>
      </c>
      <c r="R50" s="455">
        <v>40.167191069403493</v>
      </c>
    </row>
    <row r="51" spans="1:21">
      <c r="B51" s="27" t="s">
        <v>391</v>
      </c>
      <c r="C51" s="27" t="s">
        <v>485</v>
      </c>
      <c r="R51" s="455">
        <v>40.048466239416044</v>
      </c>
    </row>
    <row r="53" spans="1:21">
      <c r="A53">
        <v>9</v>
      </c>
      <c r="B53" s="54" t="s">
        <v>508</v>
      </c>
      <c r="S53" s="344" t="s">
        <v>466</v>
      </c>
      <c r="T53" s="344" t="s">
        <v>467</v>
      </c>
      <c r="U53" s="344" t="s">
        <v>468</v>
      </c>
    </row>
    <row r="54" spans="1:21">
      <c r="B54" s="27" t="s">
        <v>385</v>
      </c>
      <c r="C54" s="27" t="s">
        <v>395</v>
      </c>
      <c r="P54" s="456"/>
      <c r="Q54" s="456"/>
      <c r="R54" s="456"/>
      <c r="S54" s="454">
        <v>438.10263570509869</v>
      </c>
      <c r="T54" s="454">
        <v>441.81804894652259</v>
      </c>
      <c r="U54" s="454">
        <v>1071.6853822614858</v>
      </c>
    </row>
    <row r="55" spans="1:21">
      <c r="B55" s="27" t="s">
        <v>388</v>
      </c>
      <c r="C55" s="27" t="s">
        <v>396</v>
      </c>
      <c r="R55" s="457"/>
      <c r="S55" s="454">
        <v>433.30656078291668</v>
      </c>
      <c r="T55" s="454">
        <v>437.05737372366838</v>
      </c>
      <c r="U55" s="454">
        <v>1059.8438116601235</v>
      </c>
    </row>
    <row r="56" spans="1:21">
      <c r="B56" s="27" t="s">
        <v>389</v>
      </c>
      <c r="C56" s="27" t="s">
        <v>405</v>
      </c>
      <c r="R56" s="374"/>
      <c r="S56" s="454">
        <v>450.59632656018221</v>
      </c>
      <c r="T56" s="454">
        <v>454.21952420720027</v>
      </c>
      <c r="U56" s="454">
        <v>1102.5324654977837</v>
      </c>
    </row>
    <row r="57" spans="1:21">
      <c r="B57" s="27" t="s">
        <v>390</v>
      </c>
      <c r="C57" s="27" t="s">
        <v>406</v>
      </c>
      <c r="R57" s="373"/>
      <c r="S57" s="454">
        <v>463.91733754025307</v>
      </c>
      <c r="T57" s="454">
        <v>467.44221316539125</v>
      </c>
      <c r="U57" s="454">
        <v>1135.4222127518294</v>
      </c>
    </row>
    <row r="58" spans="1:21">
      <c r="B58" s="27" t="s">
        <v>391</v>
      </c>
      <c r="C58" s="27" t="s">
        <v>485</v>
      </c>
      <c r="R58" s="373"/>
      <c r="S58" s="454">
        <v>462.61441013658532</v>
      </c>
      <c r="T58" s="454">
        <v>466.14890263366237</v>
      </c>
      <c r="U58" s="454">
        <v>1132.2052682525634</v>
      </c>
    </row>
    <row r="59" spans="1:21">
      <c r="B59" s="345"/>
    </row>
    <row r="60" spans="1:21">
      <c r="B60" s="345"/>
    </row>
    <row r="61" spans="1:21">
      <c r="B61" s="345"/>
    </row>
    <row r="62" spans="1:21">
      <c r="B62" s="345"/>
    </row>
    <row r="63" spans="1:21">
      <c r="B63" s="345"/>
    </row>
    <row r="64" spans="1:21">
      <c r="B64" s="345"/>
    </row>
    <row r="65" spans="2:3">
      <c r="B65" s="27" t="s">
        <v>416</v>
      </c>
      <c r="C65" t="s">
        <v>414</v>
      </c>
    </row>
    <row r="66" spans="2:3">
      <c r="B66" s="27" t="s">
        <v>505</v>
      </c>
      <c r="C66" s="54" t="s">
        <v>515</v>
      </c>
    </row>
  </sheetData>
  <mergeCells count="3">
    <mergeCell ref="B46:O46"/>
    <mergeCell ref="B25:P25"/>
    <mergeCell ref="B32:O32"/>
  </mergeCells>
  <phoneticPr fontId="43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69D28-87E3-445F-89CF-C3F304F54B9A}">
  <sheetPr codeName="Sheet1">
    <pageSetUpPr fitToPage="1"/>
  </sheetPr>
  <dimension ref="A1:U166"/>
  <sheetViews>
    <sheetView zoomScale="70" zoomScaleNormal="70" workbookViewId="0"/>
  </sheetViews>
  <sheetFormatPr defaultRowHeight="15"/>
  <cols>
    <col min="1" max="1" width="78.42578125" customWidth="1"/>
    <col min="2" max="2" width="61.85546875" customWidth="1"/>
    <col min="3" max="15" width="14.42578125" customWidth="1"/>
    <col min="16" max="16" width="40.85546875" bestFit="1" customWidth="1"/>
    <col min="17" max="17" width="12" customWidth="1"/>
    <col min="18" max="18" width="9.140625" customWidth="1"/>
    <col min="19" max="19" width="14.42578125" customWidth="1"/>
    <col min="20" max="20" width="14.140625" bestFit="1" customWidth="1"/>
    <col min="21" max="21" width="15" style="326" bestFit="1" customWidth="1"/>
  </cols>
  <sheetData>
    <row r="1" spans="1:21" ht="21">
      <c r="A1" s="483" t="str">
        <f>'Selected Data'!A1</f>
        <v>SDG&amp;E Electric Revenue Requirement List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</row>
    <row r="2" spans="1:21" ht="21">
      <c r="A2" s="483" t="str">
        <f>'Selected Data'!A2</f>
        <v>Annual Period 2024</v>
      </c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S2" s="17"/>
    </row>
    <row r="3" spans="1:21" ht="21">
      <c r="A3" s="483" t="str">
        <f>'Selected Data'!A3</f>
        <v>Reporting Date: Quarter Ended September 30</v>
      </c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S3" s="17"/>
    </row>
    <row r="4" spans="1:21" ht="21">
      <c r="A4" s="483" t="str">
        <f>'Selected Data'!A4</f>
        <v>Submitted: September 1, 2024</v>
      </c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333"/>
      <c r="N4" s="333"/>
      <c r="O4" s="333"/>
      <c r="S4" s="17"/>
    </row>
    <row r="5" spans="1:21">
      <c r="B5" t="s">
        <v>17</v>
      </c>
      <c r="C5" s="195">
        <v>43862</v>
      </c>
      <c r="D5" s="195">
        <v>43922</v>
      </c>
      <c r="E5" s="195">
        <v>43983</v>
      </c>
      <c r="F5" s="195">
        <v>44105</v>
      </c>
      <c r="G5" s="195">
        <v>44228</v>
      </c>
      <c r="H5" s="195">
        <v>44256</v>
      </c>
      <c r="I5" s="195">
        <v>44348</v>
      </c>
      <c r="J5" s="195">
        <v>44501</v>
      </c>
      <c r="K5" s="195">
        <v>44562</v>
      </c>
      <c r="L5" s="195">
        <v>44713</v>
      </c>
      <c r="M5" s="195">
        <v>44927</v>
      </c>
      <c r="N5" s="195">
        <v>45292</v>
      </c>
      <c r="O5" s="195">
        <v>45352</v>
      </c>
      <c r="S5" s="195"/>
    </row>
    <row r="6" spans="1:21">
      <c r="B6" t="s">
        <v>18</v>
      </c>
      <c r="C6" t="s">
        <v>164</v>
      </c>
      <c r="D6" t="s">
        <v>213</v>
      </c>
      <c r="E6" t="s">
        <v>228</v>
      </c>
      <c r="F6" t="s">
        <v>234</v>
      </c>
      <c r="G6" t="s">
        <v>246</v>
      </c>
      <c r="H6" t="s">
        <v>264</v>
      </c>
      <c r="I6" t="s">
        <v>284</v>
      </c>
      <c r="J6" t="s">
        <v>326</v>
      </c>
      <c r="K6" t="s">
        <v>350</v>
      </c>
      <c r="L6" t="s">
        <v>356</v>
      </c>
      <c r="M6" t="s">
        <v>423</v>
      </c>
      <c r="N6" t="s">
        <v>446</v>
      </c>
      <c r="O6" t="s">
        <v>565</v>
      </c>
    </row>
    <row r="7" spans="1:21" ht="62.25" customHeight="1">
      <c r="A7" s="19" t="s">
        <v>0</v>
      </c>
      <c r="B7" s="449" t="str">
        <f>_xlfn.TEXTJOIN(" ",TRUE,"Authority for Revenue Requirement as of",Summary!E18)</f>
        <v>Authority for Revenue Requirement as of 3/1/2024</v>
      </c>
      <c r="C7" s="11" t="s">
        <v>16</v>
      </c>
      <c r="D7" s="11" t="s">
        <v>16</v>
      </c>
      <c r="E7" s="11" t="s">
        <v>16</v>
      </c>
      <c r="F7" s="11" t="s">
        <v>16</v>
      </c>
      <c r="G7" s="11" t="s">
        <v>16</v>
      </c>
      <c r="H7" s="11" t="s">
        <v>16</v>
      </c>
      <c r="I7" s="11" t="s">
        <v>16</v>
      </c>
      <c r="J7" s="11" t="s">
        <v>16</v>
      </c>
      <c r="K7" s="11" t="s">
        <v>16</v>
      </c>
      <c r="L7" s="11" t="s">
        <v>16</v>
      </c>
      <c r="M7" s="11" t="s">
        <v>16</v>
      </c>
      <c r="N7" s="11" t="s">
        <v>16</v>
      </c>
      <c r="O7" s="11" t="s">
        <v>16</v>
      </c>
      <c r="P7" s="11" t="s">
        <v>1</v>
      </c>
      <c r="Q7" s="11" t="s">
        <v>15</v>
      </c>
      <c r="S7" s="32"/>
    </row>
    <row r="8" spans="1:21">
      <c r="A8" s="18" t="s">
        <v>2</v>
      </c>
    </row>
    <row r="9" spans="1:21">
      <c r="A9" t="s">
        <v>19</v>
      </c>
      <c r="B9" s="12" t="s">
        <v>522</v>
      </c>
      <c r="C9" s="12">
        <v>1477315.7596823999</v>
      </c>
      <c r="D9" s="12">
        <v>1477315.7596823999</v>
      </c>
      <c r="E9" s="12">
        <v>1477315.7596823999</v>
      </c>
      <c r="F9" s="12">
        <v>1477315.7596823999</v>
      </c>
      <c r="G9" s="12">
        <v>1558749.6462927</v>
      </c>
      <c r="H9" s="12">
        <v>1558749.6462927</v>
      </c>
      <c r="I9" s="12">
        <v>1558749.6462927</v>
      </c>
      <c r="J9" s="12">
        <v>1558749.6462927</v>
      </c>
      <c r="K9" s="12">
        <v>1628214.3345532001</v>
      </c>
      <c r="L9" s="12">
        <v>1622781.4869994856</v>
      </c>
      <c r="M9" s="12">
        <v>1673262.9692801998</v>
      </c>
      <c r="N9" s="12">
        <v>1673262.9692801998</v>
      </c>
      <c r="O9" s="12">
        <v>1720272.5372833791</v>
      </c>
      <c r="P9" t="s">
        <v>5</v>
      </c>
      <c r="Q9" t="s">
        <v>24</v>
      </c>
      <c r="R9" s="12"/>
      <c r="S9" s="12"/>
      <c r="T9" s="12"/>
      <c r="U9" s="327"/>
    </row>
    <row r="10" spans="1:21">
      <c r="A10" t="s">
        <v>19</v>
      </c>
      <c r="B10" s="12" t="s">
        <v>523</v>
      </c>
      <c r="C10" s="12">
        <v>198523.7366944</v>
      </c>
      <c r="D10" s="12">
        <v>198523.7366944</v>
      </c>
      <c r="E10" s="12">
        <v>198523.7366944</v>
      </c>
      <c r="F10" s="12">
        <v>198523.7366944</v>
      </c>
      <c r="G10" s="12">
        <v>200900.22403919999</v>
      </c>
      <c r="H10" s="12">
        <v>200900.22403919999</v>
      </c>
      <c r="I10" s="12">
        <v>200900.22403919999</v>
      </c>
      <c r="J10" s="12">
        <v>200900.22403919999</v>
      </c>
      <c r="K10" s="12">
        <v>203501.2640546</v>
      </c>
      <c r="L10" s="12">
        <v>203055.40087854289</v>
      </c>
      <c r="M10" s="12">
        <v>202592.5097464</v>
      </c>
      <c r="N10" s="12">
        <v>202592.5097464</v>
      </c>
      <c r="O10" s="12">
        <v>206976.1183843688</v>
      </c>
      <c r="P10" t="s">
        <v>3</v>
      </c>
      <c r="Q10" t="s">
        <v>24</v>
      </c>
      <c r="R10" s="12"/>
      <c r="S10" s="12"/>
      <c r="T10" s="12"/>
      <c r="U10" s="327"/>
    </row>
    <row r="11" spans="1:21">
      <c r="A11" t="s">
        <v>218</v>
      </c>
      <c r="B11" s="12" t="s">
        <v>380</v>
      </c>
      <c r="C11" s="12">
        <v>38304.415000000001</v>
      </c>
      <c r="D11" s="12">
        <v>38304.415000000001</v>
      </c>
      <c r="E11" s="12">
        <v>38304.415000000001</v>
      </c>
      <c r="F11" s="12">
        <v>38304.415000000001</v>
      </c>
      <c r="G11" s="12">
        <v>38722.434000000001</v>
      </c>
      <c r="H11" s="12">
        <v>38722.434000000001</v>
      </c>
      <c r="I11" s="12">
        <v>38722.434000000001</v>
      </c>
      <c r="J11" s="12">
        <v>38722.434000000001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t="s">
        <v>5</v>
      </c>
      <c r="Q11" t="s">
        <v>26</v>
      </c>
      <c r="R11" s="12"/>
      <c r="S11" s="12"/>
      <c r="T11" s="12"/>
      <c r="U11" s="327"/>
    </row>
    <row r="12" spans="1:21">
      <c r="A12" t="s">
        <v>218</v>
      </c>
      <c r="B12" s="12" t="s">
        <v>380</v>
      </c>
      <c r="C12" s="12">
        <v>-19594.055499999999</v>
      </c>
      <c r="D12" s="12">
        <v>-19594.055499999999</v>
      </c>
      <c r="E12" s="12">
        <v>-19594.055499999999</v>
      </c>
      <c r="F12" s="12">
        <v>-19594.055499999999</v>
      </c>
      <c r="G12" s="12">
        <v>-19807.915000000001</v>
      </c>
      <c r="H12" s="12">
        <v>-19807.915000000001</v>
      </c>
      <c r="I12" s="12">
        <v>-19807.915000000001</v>
      </c>
      <c r="J12" s="12">
        <v>-19807.915000000001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t="s">
        <v>3</v>
      </c>
      <c r="Q12" t="s">
        <v>26</v>
      </c>
      <c r="R12" s="12"/>
      <c r="S12" s="12"/>
      <c r="T12" s="12"/>
      <c r="U12" s="327"/>
    </row>
    <row r="13" spans="1:21">
      <c r="A13" t="s">
        <v>216</v>
      </c>
      <c r="B13" s="12" t="s">
        <v>524</v>
      </c>
      <c r="C13" s="12">
        <v>-32053.919132110164</v>
      </c>
      <c r="D13" s="12">
        <v>-32053.919132110164</v>
      </c>
      <c r="E13" s="12">
        <v>-32053.919132110164</v>
      </c>
      <c r="F13" s="12">
        <v>-32053.919132110164</v>
      </c>
      <c r="G13" s="12">
        <v>-32053.919132110164</v>
      </c>
      <c r="H13" s="12">
        <v>-32053.919132110164</v>
      </c>
      <c r="I13" s="12">
        <v>-32053.919132110164</v>
      </c>
      <c r="J13" s="12">
        <v>-32053.919132110164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t="s">
        <v>5</v>
      </c>
      <c r="Q13" t="s">
        <v>24</v>
      </c>
      <c r="R13" s="12"/>
      <c r="S13" s="12"/>
      <c r="T13" s="12"/>
      <c r="U13" s="327"/>
    </row>
    <row r="14" spans="1:21">
      <c r="A14" t="s">
        <v>216</v>
      </c>
      <c r="B14" s="12" t="s">
        <v>380</v>
      </c>
      <c r="C14" s="12">
        <v>-7335.0289387033235</v>
      </c>
      <c r="D14" s="12">
        <v>-7335.0289387033235</v>
      </c>
      <c r="E14" s="12">
        <v>-7335.0289387033235</v>
      </c>
      <c r="F14" s="12">
        <v>-7335.0289387033235</v>
      </c>
      <c r="G14" s="12">
        <v>-7335.0289387033235</v>
      </c>
      <c r="H14" s="12">
        <v>-7335.0289387033235</v>
      </c>
      <c r="I14" s="12">
        <v>-7335.0289387033235</v>
      </c>
      <c r="J14" s="12">
        <v>-7335.0289387033235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t="s">
        <v>3</v>
      </c>
      <c r="Q14" t="s">
        <v>24</v>
      </c>
      <c r="R14" s="12"/>
      <c r="S14" s="12"/>
      <c r="T14" s="12"/>
      <c r="U14" s="327"/>
    </row>
    <row r="15" spans="1:21">
      <c r="A15" s="13" t="s">
        <v>250</v>
      </c>
      <c r="B15" s="12" t="s">
        <v>525</v>
      </c>
      <c r="C15" s="12">
        <v>0</v>
      </c>
      <c r="D15" s="12">
        <v>0</v>
      </c>
      <c r="E15" s="12">
        <v>0</v>
      </c>
      <c r="F15" s="12">
        <v>0</v>
      </c>
      <c r="G15" s="12">
        <v>-7486.5516527999998</v>
      </c>
      <c r="H15" s="12">
        <v>-7486.5516527999998</v>
      </c>
      <c r="I15" s="12">
        <v>-7486.5516527999998</v>
      </c>
      <c r="J15" s="12">
        <v>-7486.5516527999998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t="s">
        <v>5</v>
      </c>
      <c r="Q15" t="s">
        <v>26</v>
      </c>
      <c r="R15" s="12"/>
      <c r="S15" s="12"/>
      <c r="T15" s="12"/>
      <c r="U15" s="327"/>
    </row>
    <row r="16" spans="1:21">
      <c r="A16" s="13" t="s">
        <v>249</v>
      </c>
      <c r="B16" s="12" t="s">
        <v>380</v>
      </c>
      <c r="C16" s="12">
        <v>0</v>
      </c>
      <c r="D16" s="12">
        <v>0</v>
      </c>
      <c r="E16" s="12">
        <v>0</v>
      </c>
      <c r="F16" s="12">
        <v>0</v>
      </c>
      <c r="G16" s="12">
        <v>-53.643027799999999</v>
      </c>
      <c r="H16" s="12">
        <v>-53.643027799999999</v>
      </c>
      <c r="I16" s="12">
        <v>-53.643027799999999</v>
      </c>
      <c r="J16" s="12">
        <v>-53.643027799999999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t="s">
        <v>3</v>
      </c>
      <c r="Q16" t="s">
        <v>26</v>
      </c>
      <c r="R16" s="378"/>
      <c r="S16" s="380"/>
      <c r="T16" s="380"/>
      <c r="U16" s="327"/>
    </row>
    <row r="17" spans="1:21">
      <c r="A17" s="13" t="s">
        <v>40</v>
      </c>
      <c r="B17" s="12" t="s">
        <v>526</v>
      </c>
      <c r="C17" s="12">
        <v>801215.36425870005</v>
      </c>
      <c r="D17" s="12">
        <v>801215.36425870005</v>
      </c>
      <c r="E17" s="12">
        <v>801215.36425870005</v>
      </c>
      <c r="F17" s="12">
        <v>801215.36425870005</v>
      </c>
      <c r="G17" s="12">
        <v>801215.36425870005</v>
      </c>
      <c r="H17" s="12">
        <v>663435.15883986873</v>
      </c>
      <c r="I17" s="12">
        <v>663435.15883986873</v>
      </c>
      <c r="J17" s="12">
        <v>663435.15883986873</v>
      </c>
      <c r="K17" s="12">
        <v>786860.06604541873</v>
      </c>
      <c r="L17" s="12">
        <v>786860.06604541873</v>
      </c>
      <c r="M17" s="12">
        <v>545074.22041898174</v>
      </c>
      <c r="N17" s="12">
        <v>487032.04468507774</v>
      </c>
      <c r="O17" s="12">
        <v>487032.04468507774</v>
      </c>
      <c r="P17" t="s">
        <v>3</v>
      </c>
      <c r="Q17" t="s">
        <v>24</v>
      </c>
      <c r="R17" s="378"/>
      <c r="S17" s="380"/>
      <c r="T17" s="380"/>
      <c r="U17" s="379"/>
    </row>
    <row r="18" spans="1:21">
      <c r="A18" s="13" t="s">
        <v>41</v>
      </c>
      <c r="B18" s="12" t="s">
        <v>527</v>
      </c>
      <c r="C18" s="12">
        <v>0</v>
      </c>
      <c r="D18" s="12">
        <v>-186232.39839999998</v>
      </c>
      <c r="E18" s="12">
        <v>-186232.39839999998</v>
      </c>
      <c r="F18" s="12">
        <v>-186232.39839999998</v>
      </c>
      <c r="G18" s="12">
        <v>0</v>
      </c>
      <c r="H18" s="12">
        <v>55341.557366349334</v>
      </c>
      <c r="I18" s="12">
        <v>55341.557366349334</v>
      </c>
      <c r="J18" s="12">
        <v>55341.557366349334</v>
      </c>
      <c r="K18" s="12">
        <v>149125.7809671688</v>
      </c>
      <c r="L18" s="12">
        <v>149125.7809671688</v>
      </c>
      <c r="M18" s="12">
        <v>-4541.853247395592</v>
      </c>
      <c r="N18" s="12">
        <v>0</v>
      </c>
      <c r="O18" s="12">
        <v>0</v>
      </c>
      <c r="P18" t="s">
        <v>3</v>
      </c>
      <c r="Q18" t="s">
        <v>24</v>
      </c>
      <c r="R18" s="378"/>
      <c r="S18" s="381"/>
      <c r="T18" s="382"/>
      <c r="U18" s="379"/>
    </row>
    <row r="19" spans="1:21">
      <c r="A19" t="s">
        <v>54</v>
      </c>
      <c r="B19" s="12" t="s">
        <v>528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106558.60764250722</v>
      </c>
      <c r="N19" s="12">
        <v>-78073.242312040151</v>
      </c>
      <c r="O19" s="12">
        <v>-78073.242312040151</v>
      </c>
      <c r="P19" t="s">
        <v>3</v>
      </c>
      <c r="Q19" t="s">
        <v>26</v>
      </c>
      <c r="R19" s="12"/>
      <c r="S19" s="12"/>
      <c r="T19" s="12"/>
      <c r="U19" s="327"/>
    </row>
    <row r="20" spans="1:21">
      <c r="A20" t="s">
        <v>360</v>
      </c>
      <c r="B20" s="12" t="s">
        <v>487</v>
      </c>
      <c r="C20" s="12">
        <v>352010.14804195391</v>
      </c>
      <c r="D20" s="12">
        <v>352010.14804195391</v>
      </c>
      <c r="E20" s="12">
        <v>352010.14804195391</v>
      </c>
      <c r="F20" s="12">
        <v>352010.14804195391</v>
      </c>
      <c r="G20" s="12">
        <v>352010.14804195391</v>
      </c>
      <c r="H20" s="12">
        <v>224966.11872143956</v>
      </c>
      <c r="I20" s="12">
        <v>224966.11872143956</v>
      </c>
      <c r="J20" s="12">
        <v>224966.11872143956</v>
      </c>
      <c r="K20" s="12">
        <v>30288.3684359037</v>
      </c>
      <c r="L20" s="12">
        <v>30288.3684359037</v>
      </c>
      <c r="M20" s="12">
        <v>41.484471775096608</v>
      </c>
      <c r="N20" s="12">
        <v>-94445.891028563361</v>
      </c>
      <c r="O20" s="12">
        <v>-97290.830192037392</v>
      </c>
      <c r="P20" t="s">
        <v>3</v>
      </c>
      <c r="Q20" t="s">
        <v>24</v>
      </c>
      <c r="R20" s="12"/>
      <c r="S20" s="12"/>
      <c r="T20" s="12"/>
      <c r="U20" s="327"/>
    </row>
    <row r="21" spans="1:21">
      <c r="A21" t="s">
        <v>215</v>
      </c>
      <c r="B21" s="12" t="s">
        <v>492</v>
      </c>
      <c r="C21" s="12">
        <v>254053.64200475891</v>
      </c>
      <c r="D21" s="12">
        <v>254053.64200475891</v>
      </c>
      <c r="E21" s="12">
        <v>254053.64200475891</v>
      </c>
      <c r="F21" s="12">
        <v>254053.64200475891</v>
      </c>
      <c r="G21" s="12">
        <v>254053.64200475891</v>
      </c>
      <c r="H21" s="12">
        <v>97010.609932855412</v>
      </c>
      <c r="I21" s="12">
        <v>97010.609932855412</v>
      </c>
      <c r="J21" s="12">
        <v>97010.609932855412</v>
      </c>
      <c r="K21" s="12">
        <v>-49396.580372743534</v>
      </c>
      <c r="L21" s="12">
        <v>-49396.580372743534</v>
      </c>
      <c r="M21" s="12">
        <v>-7303.5433951182349</v>
      </c>
      <c r="N21" s="12">
        <v>51403.58499015007</v>
      </c>
      <c r="O21" s="12">
        <v>50883.296223820733</v>
      </c>
      <c r="P21" t="s">
        <v>3</v>
      </c>
      <c r="Q21" t="s">
        <v>26</v>
      </c>
      <c r="R21" s="12"/>
      <c r="S21" s="12"/>
      <c r="T21" s="12"/>
      <c r="U21" s="327"/>
    </row>
    <row r="22" spans="1:21">
      <c r="A22" t="s">
        <v>347</v>
      </c>
      <c r="B22" s="12" t="s">
        <v>528</v>
      </c>
      <c r="C22" s="12">
        <v>0</v>
      </c>
      <c r="D22" s="12">
        <v>0</v>
      </c>
      <c r="E22" s="12">
        <v>0</v>
      </c>
      <c r="F22" s="12">
        <v>0</v>
      </c>
      <c r="G22" s="12">
        <v>-2471.0007218152782</v>
      </c>
      <c r="H22" s="12">
        <v>-2471.0007218152782</v>
      </c>
      <c r="I22" s="12">
        <v>-2471.0007218152782</v>
      </c>
      <c r="J22" s="12">
        <v>-2471.0007218152782</v>
      </c>
      <c r="K22" s="12">
        <v>-2470.7040940930806</v>
      </c>
      <c r="L22" s="12">
        <v>-2470.7040940930806</v>
      </c>
      <c r="M22" s="12">
        <v>-428.1251468284795</v>
      </c>
      <c r="N22" s="12">
        <v>0</v>
      </c>
      <c r="O22" s="12">
        <v>0</v>
      </c>
      <c r="P22" t="s">
        <v>3</v>
      </c>
      <c r="Q22" t="s">
        <v>24</v>
      </c>
      <c r="R22" s="12"/>
      <c r="S22" s="12"/>
      <c r="T22" s="12"/>
      <c r="U22" s="327"/>
    </row>
    <row r="23" spans="1:21">
      <c r="A23" t="s">
        <v>348</v>
      </c>
      <c r="B23" s="12" t="s">
        <v>529</v>
      </c>
      <c r="C23" s="12">
        <v>9839.3111363526241</v>
      </c>
      <c r="D23" s="12">
        <v>9839.3111363526241</v>
      </c>
      <c r="E23" s="12">
        <v>9839.3111363526241</v>
      </c>
      <c r="F23" s="12">
        <v>9839.3111363526241</v>
      </c>
      <c r="G23" s="12">
        <v>9839.3111363526241</v>
      </c>
      <c r="H23" s="12">
        <v>22488.622374953778</v>
      </c>
      <c r="I23" s="12">
        <v>22488.622374953778</v>
      </c>
      <c r="J23" s="12">
        <v>22488.622374953778</v>
      </c>
      <c r="K23" s="12">
        <v>-17985.713429346531</v>
      </c>
      <c r="L23" s="12">
        <v>-17985.713429346531</v>
      </c>
      <c r="M23" s="12">
        <v>0</v>
      </c>
      <c r="N23" s="12">
        <v>0</v>
      </c>
      <c r="O23" s="12">
        <v>0</v>
      </c>
      <c r="P23" t="s">
        <v>3</v>
      </c>
      <c r="Q23" t="s">
        <v>24</v>
      </c>
      <c r="R23" s="12"/>
      <c r="S23" s="12"/>
      <c r="T23" s="12"/>
      <c r="U23" s="327"/>
    </row>
    <row r="24" spans="1:21">
      <c r="A24" t="s">
        <v>331</v>
      </c>
      <c r="B24" s="12" t="s">
        <v>530</v>
      </c>
      <c r="C24" s="12">
        <v>0</v>
      </c>
      <c r="D24" s="12">
        <v>0</v>
      </c>
      <c r="E24" s="12">
        <v>0</v>
      </c>
      <c r="F24" s="12">
        <v>0</v>
      </c>
      <c r="G24" s="12">
        <v>2471.0007218152782</v>
      </c>
      <c r="H24" s="12">
        <v>2471.0007218152782</v>
      </c>
      <c r="I24" s="12">
        <v>2471.0007218152782</v>
      </c>
      <c r="J24" s="12">
        <v>2471.0007218152782</v>
      </c>
      <c r="K24" s="12">
        <v>2470.7040940930806</v>
      </c>
      <c r="L24" s="12">
        <v>2470.7040940930806</v>
      </c>
      <c r="M24" s="12">
        <v>-2700.7391953273445</v>
      </c>
      <c r="N24" s="12">
        <v>0</v>
      </c>
      <c r="O24" s="12">
        <v>0</v>
      </c>
      <c r="P24" t="s">
        <v>267</v>
      </c>
      <c r="Q24" t="s">
        <v>24</v>
      </c>
      <c r="R24" s="12"/>
      <c r="S24" s="12"/>
      <c r="T24" s="12"/>
      <c r="U24" s="327"/>
    </row>
    <row r="25" spans="1:21">
      <c r="A25" t="s">
        <v>361</v>
      </c>
      <c r="B25" s="12" t="s">
        <v>493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98129.888763111332</v>
      </c>
      <c r="I25" s="12">
        <v>98129.888763111332</v>
      </c>
      <c r="J25" s="12">
        <v>98129.888763111332</v>
      </c>
      <c r="K25" s="12">
        <v>153061.7712138943</v>
      </c>
      <c r="L25" s="12">
        <v>153061.7712138943</v>
      </c>
      <c r="M25" s="12">
        <v>97929.459201915961</v>
      </c>
      <c r="N25" s="12">
        <v>60194.209131811956</v>
      </c>
      <c r="O25" s="12">
        <v>63009.916720960238</v>
      </c>
      <c r="P25" t="s">
        <v>267</v>
      </c>
      <c r="Q25" t="s">
        <v>24</v>
      </c>
      <c r="R25" s="12"/>
      <c r="S25" s="12"/>
      <c r="T25" s="12"/>
      <c r="U25" s="327"/>
    </row>
    <row r="26" spans="1:21">
      <c r="A26" t="s">
        <v>266</v>
      </c>
      <c r="B26" s="12" t="s">
        <v>493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26801.531556966504</v>
      </c>
      <c r="I26" s="12">
        <v>26801.531556966504</v>
      </c>
      <c r="J26" s="12">
        <v>26801.531556966504</v>
      </c>
      <c r="K26" s="12">
        <v>-62287.582937048333</v>
      </c>
      <c r="L26" s="12">
        <v>-62287.582937048333</v>
      </c>
      <c r="M26" s="12">
        <v>-7362.4888490041121</v>
      </c>
      <c r="N26" s="12">
        <v>52533.713465837092</v>
      </c>
      <c r="O26" s="12">
        <v>53048.656297202651</v>
      </c>
      <c r="P26" t="s">
        <v>267</v>
      </c>
      <c r="Q26" t="s">
        <v>26</v>
      </c>
      <c r="R26" s="12"/>
      <c r="S26" s="12"/>
      <c r="T26" s="12"/>
      <c r="U26" s="327"/>
    </row>
    <row r="27" spans="1:21">
      <c r="A27" t="s">
        <v>332</v>
      </c>
      <c r="B27" s="12" t="s">
        <v>530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13113.836794822102</v>
      </c>
      <c r="L27" s="12">
        <v>13113.836794822102</v>
      </c>
      <c r="M27" s="12">
        <v>0</v>
      </c>
      <c r="N27" s="12">
        <v>0</v>
      </c>
      <c r="O27" s="12">
        <v>0</v>
      </c>
      <c r="P27" t="s">
        <v>267</v>
      </c>
      <c r="Q27" t="s">
        <v>24</v>
      </c>
      <c r="R27" s="12"/>
      <c r="S27" s="12"/>
      <c r="T27" s="12"/>
      <c r="U27" s="327"/>
    </row>
    <row r="28" spans="1:21">
      <c r="A28" t="s">
        <v>333</v>
      </c>
      <c r="B28" s="12" t="s">
        <v>530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17985.713429346531</v>
      </c>
      <c r="L28" s="12">
        <v>17985.713429346531</v>
      </c>
      <c r="M28" s="12">
        <v>0</v>
      </c>
      <c r="N28" s="12">
        <v>0</v>
      </c>
      <c r="O28" s="12">
        <v>0</v>
      </c>
      <c r="P28" t="s">
        <v>267</v>
      </c>
      <c r="Q28" t="s">
        <v>24</v>
      </c>
      <c r="R28" s="12"/>
      <c r="S28" s="12"/>
      <c r="T28" s="12"/>
      <c r="U28" s="327"/>
    </row>
    <row r="29" spans="1:21">
      <c r="A29" t="s">
        <v>488</v>
      </c>
      <c r="B29" s="12" t="s">
        <v>530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56139.34870353376</v>
      </c>
      <c r="L29" s="12">
        <v>56139.34870353376</v>
      </c>
      <c r="M29" s="12">
        <v>52668.024321018689</v>
      </c>
      <c r="N29" s="12">
        <v>-14112.271914700001</v>
      </c>
      <c r="O29" s="12">
        <v>-14112.271914700001</v>
      </c>
      <c r="P29" t="s">
        <v>267</v>
      </c>
      <c r="Q29" t="s">
        <v>24</v>
      </c>
      <c r="R29" s="12"/>
      <c r="S29" s="12"/>
      <c r="T29" s="12"/>
      <c r="U29" s="327"/>
    </row>
    <row r="30" spans="1:21">
      <c r="A30" t="s">
        <v>25</v>
      </c>
      <c r="B30" s="12" t="s">
        <v>494</v>
      </c>
      <c r="C30" s="12">
        <v>77873.209604699994</v>
      </c>
      <c r="D30" s="12">
        <v>77873.209604699994</v>
      </c>
      <c r="E30" s="12">
        <v>77873.209604699994</v>
      </c>
      <c r="F30" s="12">
        <v>77873.209604699994</v>
      </c>
      <c r="G30" s="12">
        <v>56543.384849999995</v>
      </c>
      <c r="H30" s="12">
        <v>56543.384849999995</v>
      </c>
      <c r="I30" s="12">
        <v>56543.384849999995</v>
      </c>
      <c r="J30" s="12">
        <v>56543.384849999995</v>
      </c>
      <c r="K30" s="12">
        <v>88240.647853200004</v>
      </c>
      <c r="L30" s="12">
        <v>88240.647853200004</v>
      </c>
      <c r="M30" s="12">
        <v>-17637.3861</v>
      </c>
      <c r="N30" s="12">
        <v>60174.611399999994</v>
      </c>
      <c r="O30" s="12">
        <v>60174.611399999994</v>
      </c>
      <c r="P30" t="s">
        <v>5</v>
      </c>
      <c r="Q30" t="s">
        <v>26</v>
      </c>
      <c r="R30" s="12"/>
      <c r="S30" s="12"/>
      <c r="T30" s="12"/>
      <c r="U30" s="327"/>
    </row>
    <row r="31" spans="1:21">
      <c r="A31" t="s">
        <v>27</v>
      </c>
      <c r="B31" s="12" t="s">
        <v>407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t="s">
        <v>5</v>
      </c>
      <c r="Q31" t="s">
        <v>26</v>
      </c>
      <c r="R31" s="12"/>
      <c r="S31" s="12"/>
      <c r="T31" s="12"/>
      <c r="U31" s="327"/>
    </row>
    <row r="32" spans="1:21">
      <c r="A32" t="s">
        <v>30</v>
      </c>
      <c r="B32" s="12" t="s">
        <v>494</v>
      </c>
      <c r="C32" s="12">
        <v>948.26887619999991</v>
      </c>
      <c r="D32" s="12">
        <v>948.26887619999991</v>
      </c>
      <c r="E32" s="12">
        <v>948.26887619999991</v>
      </c>
      <c r="F32" s="12">
        <v>948.26887619999991</v>
      </c>
      <c r="G32" s="12">
        <v>129.68666249999998</v>
      </c>
      <c r="H32" s="12">
        <v>129.68666249999998</v>
      </c>
      <c r="I32" s="12">
        <v>129.68666249999998</v>
      </c>
      <c r="J32" s="12">
        <v>129.68666249999998</v>
      </c>
      <c r="K32" s="12">
        <v>-642.13116339999999</v>
      </c>
      <c r="L32" s="12">
        <v>-642.13116339999999</v>
      </c>
      <c r="M32" s="12">
        <v>-4106.3984813999996</v>
      </c>
      <c r="N32" s="12">
        <v>-3725.6384402999997</v>
      </c>
      <c r="O32" s="12">
        <v>-3725.6384402999997</v>
      </c>
      <c r="P32" t="s">
        <v>5</v>
      </c>
      <c r="Q32" t="s">
        <v>26</v>
      </c>
      <c r="R32" s="12"/>
      <c r="S32" s="12"/>
      <c r="T32" s="12"/>
      <c r="U32" s="327"/>
    </row>
    <row r="33" spans="1:21">
      <c r="A33" t="s">
        <v>39</v>
      </c>
      <c r="B33" s="12" t="s">
        <v>494</v>
      </c>
      <c r="C33" s="12">
        <v>-405.6598803</v>
      </c>
      <c r="D33" s="12">
        <v>-405.6598803</v>
      </c>
      <c r="E33" s="12">
        <v>-405.6598803</v>
      </c>
      <c r="F33" s="12">
        <v>-405.6598803</v>
      </c>
      <c r="G33" s="12">
        <v>-1520.9651778</v>
      </c>
      <c r="H33" s="12">
        <v>-1520.9651778</v>
      </c>
      <c r="I33" s="12">
        <v>-1520.9651778</v>
      </c>
      <c r="J33" s="12">
        <v>-1520.9651778</v>
      </c>
      <c r="K33" s="12">
        <v>-1694.0229237999999</v>
      </c>
      <c r="L33" s="12">
        <v>-1694.0229237999999</v>
      </c>
      <c r="M33" s="12">
        <v>-1381.9410756</v>
      </c>
      <c r="N33" s="12">
        <v>-1145.3926031999999</v>
      </c>
      <c r="O33" s="12">
        <v>-1145.3926031999999</v>
      </c>
      <c r="P33" t="s">
        <v>5</v>
      </c>
      <c r="Q33" t="s">
        <v>26</v>
      </c>
      <c r="R33" s="12"/>
      <c r="S33" s="12"/>
      <c r="T33" s="12"/>
      <c r="U33" s="327"/>
    </row>
    <row r="34" spans="1:21">
      <c r="A34" t="s">
        <v>31</v>
      </c>
      <c r="B34" s="12" t="s">
        <v>494</v>
      </c>
      <c r="C34" s="12">
        <v>809.24477400000001</v>
      </c>
      <c r="D34" s="12">
        <v>809.24477400000001</v>
      </c>
      <c r="E34" s="12">
        <v>809.24477400000001</v>
      </c>
      <c r="F34" s="12">
        <v>809.24477400000001</v>
      </c>
      <c r="G34" s="12">
        <v>1489.8403787999998</v>
      </c>
      <c r="H34" s="12">
        <v>1489.8403787999998</v>
      </c>
      <c r="I34" s="12">
        <v>1489.8403787999998</v>
      </c>
      <c r="J34" s="12">
        <v>1489.8403787999998</v>
      </c>
      <c r="K34" s="12">
        <v>1527.0065792</v>
      </c>
      <c r="L34" s="12">
        <v>1527.0065792</v>
      </c>
      <c r="M34" s="12">
        <v>-467.90947829999999</v>
      </c>
      <c r="N34" s="12">
        <v>641.17085939999993</v>
      </c>
      <c r="O34" s="12">
        <v>641.17085939999993</v>
      </c>
      <c r="P34" t="s">
        <v>5</v>
      </c>
      <c r="Q34" t="s">
        <v>26</v>
      </c>
      <c r="R34" s="12"/>
      <c r="S34" s="12"/>
      <c r="T34" s="12"/>
      <c r="U34" s="327"/>
    </row>
    <row r="35" spans="1:21">
      <c r="A35" t="s">
        <v>34</v>
      </c>
      <c r="B35" s="12" t="s">
        <v>494</v>
      </c>
      <c r="C35" s="12">
        <v>170.14890119999998</v>
      </c>
      <c r="D35" s="12">
        <v>170.14890119999998</v>
      </c>
      <c r="E35" s="12">
        <v>170.14890119999998</v>
      </c>
      <c r="F35" s="12">
        <v>170.14890119999998</v>
      </c>
      <c r="G35" s="12">
        <v>82.999463999999989</v>
      </c>
      <c r="H35" s="12">
        <v>82.999463999999989</v>
      </c>
      <c r="I35" s="12">
        <v>82.999463999999989</v>
      </c>
      <c r="J35" s="12">
        <v>82.999463999999989</v>
      </c>
      <c r="K35" s="12">
        <v>311.21057999999999</v>
      </c>
      <c r="L35" s="12">
        <v>311.21057999999999</v>
      </c>
      <c r="M35" s="12">
        <v>132.79914239999999</v>
      </c>
      <c r="N35" s="12">
        <v>161.8489548</v>
      </c>
      <c r="O35" s="12">
        <v>161.8489548</v>
      </c>
      <c r="P35" t="s">
        <v>5</v>
      </c>
      <c r="Q35" t="s">
        <v>26</v>
      </c>
      <c r="R35" s="12"/>
      <c r="S35" s="12"/>
      <c r="T35" s="12"/>
      <c r="U35" s="327"/>
    </row>
    <row r="36" spans="1:21">
      <c r="A36" s="13" t="s">
        <v>42</v>
      </c>
      <c r="B36" s="12" t="s">
        <v>380</v>
      </c>
      <c r="C36" s="12">
        <v>-1100</v>
      </c>
      <c r="D36" s="12">
        <v>-1100</v>
      </c>
      <c r="E36" s="12">
        <v>-1100</v>
      </c>
      <c r="F36" s="12">
        <v>-1100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t="s">
        <v>3</v>
      </c>
      <c r="Q36" t="s">
        <v>24</v>
      </c>
      <c r="R36" s="12"/>
      <c r="S36" s="12"/>
      <c r="T36" s="12"/>
      <c r="U36" s="327"/>
    </row>
    <row r="37" spans="1:21">
      <c r="A37" s="13" t="s">
        <v>51</v>
      </c>
      <c r="B37" s="12" t="s">
        <v>531</v>
      </c>
      <c r="C37" s="12">
        <v>5978.5056403103417</v>
      </c>
      <c r="D37" s="12">
        <v>5978.5056403103417</v>
      </c>
      <c r="E37" s="12">
        <v>5978.5056403103417</v>
      </c>
      <c r="F37" s="12">
        <v>5978.5056403103417</v>
      </c>
      <c r="G37" s="12">
        <v>1527.3080934</v>
      </c>
      <c r="H37" s="12">
        <v>1527.3080934</v>
      </c>
      <c r="I37" s="12">
        <v>1527.3080934</v>
      </c>
      <c r="J37" s="12">
        <v>1527.3080934</v>
      </c>
      <c r="K37" s="12">
        <v>1457.2959840000001</v>
      </c>
      <c r="L37" s="12">
        <v>1457.2959840000001</v>
      </c>
      <c r="M37" s="12">
        <v>1540.4658171999999</v>
      </c>
      <c r="N37" s="12">
        <v>1540.4658171999999</v>
      </c>
      <c r="O37" s="12">
        <v>1540.4658171999999</v>
      </c>
      <c r="P37" t="s">
        <v>3</v>
      </c>
      <c r="Q37" t="s">
        <v>24</v>
      </c>
      <c r="R37" s="12"/>
      <c r="S37" s="12"/>
      <c r="T37" s="12"/>
      <c r="U37" s="327"/>
    </row>
    <row r="38" spans="1:21">
      <c r="A38" s="13" t="s">
        <v>52</v>
      </c>
      <c r="B38" s="12" t="s">
        <v>380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t="s">
        <v>3</v>
      </c>
      <c r="Q38" t="s">
        <v>24</v>
      </c>
      <c r="R38" s="12"/>
      <c r="S38" s="12"/>
      <c r="T38" s="12"/>
      <c r="U38" s="327"/>
    </row>
    <row r="39" spans="1:21">
      <c r="A39" s="13" t="s">
        <v>53</v>
      </c>
      <c r="B39" s="12" t="s">
        <v>494</v>
      </c>
      <c r="C39" s="12">
        <v>466.99606976938986</v>
      </c>
      <c r="D39" s="12">
        <v>466.99606976938986</v>
      </c>
      <c r="E39" s="12">
        <v>466.99606976938986</v>
      </c>
      <c r="F39" s="12">
        <v>466.99606976938986</v>
      </c>
      <c r="G39" s="12">
        <v>2754.9338452659995</v>
      </c>
      <c r="H39" s="12">
        <v>2754.9338452659995</v>
      </c>
      <c r="I39" s="12">
        <v>2754.9338452659995</v>
      </c>
      <c r="J39" s="12">
        <v>2754.9338452659995</v>
      </c>
      <c r="K39" s="12">
        <v>-18223.289949766604</v>
      </c>
      <c r="L39" s="12">
        <v>-18223.289949766604</v>
      </c>
      <c r="M39" s="12">
        <v>-82533.698187948947</v>
      </c>
      <c r="N39" s="12">
        <v>-48774.079285199696</v>
      </c>
      <c r="O39" s="12">
        <v>-48774.079285199696</v>
      </c>
      <c r="P39" t="s">
        <v>3</v>
      </c>
      <c r="Q39" t="s">
        <v>26</v>
      </c>
      <c r="R39" s="12"/>
      <c r="S39" s="12"/>
      <c r="T39" s="12"/>
      <c r="U39" s="327"/>
    </row>
    <row r="40" spans="1:21">
      <c r="A40" s="13" t="s">
        <v>57</v>
      </c>
      <c r="B40" s="12" t="s">
        <v>532</v>
      </c>
      <c r="C40" s="12">
        <v>18724.668751262619</v>
      </c>
      <c r="D40" s="12">
        <v>18724.668751262619</v>
      </c>
      <c r="E40" s="12">
        <v>18724.668751262619</v>
      </c>
      <c r="F40" s="12">
        <v>18724.668751262619</v>
      </c>
      <c r="G40" s="12">
        <v>18724.668751262619</v>
      </c>
      <c r="H40" s="12">
        <v>11401.226441231669</v>
      </c>
      <c r="I40" s="12">
        <v>11401.226441231669</v>
      </c>
      <c r="J40" s="12">
        <v>11401.226441231669</v>
      </c>
      <c r="K40" s="12">
        <v>9575.3765038420588</v>
      </c>
      <c r="L40" s="12">
        <v>9575.3765038420588</v>
      </c>
      <c r="M40" s="12">
        <v>10765.967043677038</v>
      </c>
      <c r="N40" s="12">
        <v>4978.0553645074278</v>
      </c>
      <c r="O40" s="12">
        <v>4978.0553645074278</v>
      </c>
      <c r="P40" t="s">
        <v>14</v>
      </c>
      <c r="Q40" t="s">
        <v>24</v>
      </c>
      <c r="R40" s="12"/>
      <c r="S40" s="12"/>
      <c r="T40" s="12"/>
      <c r="U40" s="327"/>
    </row>
    <row r="41" spans="1:21">
      <c r="A41" s="13" t="s">
        <v>58</v>
      </c>
      <c r="B41" s="12" t="s">
        <v>494</v>
      </c>
      <c r="C41" s="12">
        <v>-1680.1401159999998</v>
      </c>
      <c r="D41" s="12">
        <v>-1680.1401159999998</v>
      </c>
      <c r="E41" s="12">
        <v>-1680.1401159999998</v>
      </c>
      <c r="F41" s="12">
        <v>-1680.1401159999998</v>
      </c>
      <c r="G41" s="12">
        <v>2244.9101068</v>
      </c>
      <c r="H41" s="12">
        <v>2244.9101068</v>
      </c>
      <c r="I41" s="12">
        <v>2244.9101068</v>
      </c>
      <c r="J41" s="12">
        <v>2244.9101068</v>
      </c>
      <c r="K41" s="12">
        <v>9746.6789041000011</v>
      </c>
      <c r="L41" s="12">
        <v>9746.6789041000011</v>
      </c>
      <c r="M41" s="12">
        <v>15866.190637599999</v>
      </c>
      <c r="N41" s="12">
        <v>4920.9887011999999</v>
      </c>
      <c r="O41" s="12">
        <v>4920.9887011999999</v>
      </c>
      <c r="P41" t="s">
        <v>14</v>
      </c>
      <c r="Q41" t="s">
        <v>26</v>
      </c>
      <c r="R41" s="12"/>
      <c r="S41" s="12"/>
      <c r="T41" s="12"/>
      <c r="U41" s="327"/>
    </row>
    <row r="42" spans="1:21">
      <c r="A42" s="13" t="s">
        <v>59</v>
      </c>
      <c r="B42" s="12" t="s">
        <v>526</v>
      </c>
      <c r="C42" s="12">
        <v>132913.61422435864</v>
      </c>
      <c r="D42" s="12">
        <v>132913.61422435864</v>
      </c>
      <c r="E42" s="12">
        <v>132913.61422435864</v>
      </c>
      <c r="F42" s="12">
        <v>132913.61422435864</v>
      </c>
      <c r="G42" s="12">
        <v>132913.61422435864</v>
      </c>
      <c r="H42" s="12">
        <v>124438.99750989386</v>
      </c>
      <c r="I42" s="12">
        <v>124438.99750989386</v>
      </c>
      <c r="J42" s="12">
        <v>124438.99750989386</v>
      </c>
      <c r="K42" s="12">
        <v>146823.98913219353</v>
      </c>
      <c r="L42" s="12">
        <v>146823.98913219353</v>
      </c>
      <c r="M42" s="12">
        <v>189848.65786940834</v>
      </c>
      <c r="N42" s="12">
        <v>207539.6836296336</v>
      </c>
      <c r="O42" s="12">
        <v>207539.6836296336</v>
      </c>
      <c r="P42" t="s">
        <v>60</v>
      </c>
      <c r="Q42" t="s">
        <v>24</v>
      </c>
      <c r="R42" s="12"/>
      <c r="S42" s="12"/>
      <c r="T42" s="12"/>
      <c r="U42" s="327"/>
    </row>
    <row r="43" spans="1:21">
      <c r="A43" s="13" t="s">
        <v>61</v>
      </c>
      <c r="B43" s="12" t="s">
        <v>496</v>
      </c>
      <c r="C43" s="12">
        <v>14420.433000000001</v>
      </c>
      <c r="D43" s="12">
        <v>14420.433000000001</v>
      </c>
      <c r="E43" s="12">
        <v>14420.433000000001</v>
      </c>
      <c r="F43" s="12">
        <v>14420.433000000001</v>
      </c>
      <c r="G43" s="12">
        <v>14420.433000000001</v>
      </c>
      <c r="H43" s="12">
        <v>0</v>
      </c>
      <c r="I43" s="12">
        <v>0</v>
      </c>
      <c r="J43" s="12">
        <v>0</v>
      </c>
      <c r="K43" s="12">
        <v>-91971.658124724228</v>
      </c>
      <c r="L43" s="12">
        <v>-91971.658124724228</v>
      </c>
      <c r="M43" s="12">
        <v>400.31599999999997</v>
      </c>
      <c r="N43" s="12">
        <v>161229.56037695956</v>
      </c>
      <c r="O43" s="12">
        <v>161229.56037695956</v>
      </c>
      <c r="P43" t="s">
        <v>60</v>
      </c>
      <c r="Q43" t="s">
        <v>26</v>
      </c>
      <c r="R43" s="12"/>
      <c r="S43" s="12"/>
      <c r="T43" s="12"/>
      <c r="U43" s="327"/>
    </row>
    <row r="44" spans="1:21">
      <c r="A44" t="s">
        <v>80</v>
      </c>
      <c r="B44" s="12" t="s">
        <v>533</v>
      </c>
      <c r="C44" s="12">
        <v>1072.8605559999999</v>
      </c>
      <c r="D44" s="12">
        <v>1072.8605559999999</v>
      </c>
      <c r="E44" s="12">
        <v>1072.8605559999999</v>
      </c>
      <c r="F44" s="12">
        <v>1072.8605559999999</v>
      </c>
      <c r="G44" s="12">
        <v>1072.8605559999999</v>
      </c>
      <c r="H44" s="12">
        <v>1072.8605559999999</v>
      </c>
      <c r="I44" s="12">
        <v>1072.8605559999999</v>
      </c>
      <c r="J44" s="12">
        <v>1072.8605559999999</v>
      </c>
      <c r="K44" s="12">
        <v>1188.2224727319999</v>
      </c>
      <c r="L44" s="12">
        <v>1188.2224727319999</v>
      </c>
      <c r="M44" s="12">
        <v>1342.6576582538</v>
      </c>
      <c r="N44" s="12">
        <v>1301.010426029</v>
      </c>
      <c r="O44" s="12">
        <v>1301.010426029</v>
      </c>
      <c r="P44" t="s">
        <v>81</v>
      </c>
      <c r="Q44" t="s">
        <v>24</v>
      </c>
      <c r="R44" s="12"/>
      <c r="S44" s="12"/>
      <c r="T44" s="12"/>
      <c r="U44" s="327"/>
    </row>
    <row r="45" spans="1:21">
      <c r="A45" t="s">
        <v>82</v>
      </c>
      <c r="B45" s="12" t="s">
        <v>446</v>
      </c>
      <c r="C45" s="12">
        <v>-25.303314999999998</v>
      </c>
      <c r="D45" s="12">
        <v>-25.303314999999998</v>
      </c>
      <c r="E45" s="12">
        <v>-25.303314999999998</v>
      </c>
      <c r="F45" s="12">
        <v>-25.303314999999998</v>
      </c>
      <c r="G45" s="12">
        <v>179.14747019999999</v>
      </c>
      <c r="H45" s="12">
        <v>179.14747019999999</v>
      </c>
      <c r="I45" s="12">
        <v>179.14747019999999</v>
      </c>
      <c r="J45" s="12">
        <v>179.14747019999999</v>
      </c>
      <c r="K45" s="12">
        <v>170.01786480000001</v>
      </c>
      <c r="L45" s="12">
        <v>170.01786480000001</v>
      </c>
      <c r="M45" s="12">
        <v>21.254784599999997</v>
      </c>
      <c r="N45" s="12">
        <v>141.698564</v>
      </c>
      <c r="O45" s="12">
        <v>141.698564</v>
      </c>
      <c r="P45" t="s">
        <v>81</v>
      </c>
      <c r="Q45" t="s">
        <v>26</v>
      </c>
      <c r="R45" s="12"/>
      <c r="S45" s="12"/>
      <c r="T45" s="12"/>
      <c r="U45" s="327"/>
    </row>
    <row r="46" spans="1:21">
      <c r="A46" t="s">
        <v>83</v>
      </c>
      <c r="B46" s="12" t="s">
        <v>534</v>
      </c>
      <c r="C46" s="12">
        <v>89235.037634656328</v>
      </c>
      <c r="D46" s="12">
        <v>89234.737495486523</v>
      </c>
      <c r="E46" s="12">
        <v>89234.737495486523</v>
      </c>
      <c r="F46" s="12">
        <v>66926.053121614896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-48518.545714285719</v>
      </c>
      <c r="M46" s="12">
        <v>0</v>
      </c>
      <c r="N46" s="12">
        <v>0</v>
      </c>
      <c r="O46" s="12">
        <v>0</v>
      </c>
      <c r="P46" t="s">
        <v>98</v>
      </c>
      <c r="Q46" t="s">
        <v>24</v>
      </c>
      <c r="R46" s="12"/>
      <c r="S46" s="12"/>
      <c r="T46" s="12"/>
      <c r="U46" s="327"/>
    </row>
    <row r="47" spans="1:21">
      <c r="A47" t="s">
        <v>235</v>
      </c>
      <c r="B47" s="12" t="s">
        <v>535</v>
      </c>
      <c r="C47" s="12">
        <v>0</v>
      </c>
      <c r="D47" s="12">
        <v>0</v>
      </c>
      <c r="E47" s="12">
        <v>0</v>
      </c>
      <c r="F47" s="12">
        <v>22308.684373871631</v>
      </c>
      <c r="G47" s="12">
        <v>89234.737495486523</v>
      </c>
      <c r="H47" s="12">
        <v>90159.118373967591</v>
      </c>
      <c r="I47" s="12">
        <v>90159.118373967591</v>
      </c>
      <c r="J47" s="12">
        <v>90159.118373967591</v>
      </c>
      <c r="K47" s="12">
        <v>92132.448620537703</v>
      </c>
      <c r="L47" s="12">
        <v>92132.448620537703</v>
      </c>
      <c r="M47" s="12">
        <v>75464.804373230654</v>
      </c>
      <c r="N47" s="12">
        <v>84674.29105918284</v>
      </c>
      <c r="O47" s="12">
        <v>84674.29105918284</v>
      </c>
      <c r="P47" t="s">
        <v>235</v>
      </c>
      <c r="Q47" t="s">
        <v>24</v>
      </c>
      <c r="R47" s="12"/>
      <c r="S47" s="12"/>
      <c r="T47" s="12"/>
      <c r="U47" s="327"/>
    </row>
    <row r="48" spans="1:21">
      <c r="A48" t="s">
        <v>370</v>
      </c>
      <c r="B48" s="12" t="s">
        <v>536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49157.3050858653</v>
      </c>
      <c r="N48" s="12">
        <v>0</v>
      </c>
      <c r="O48" s="12">
        <v>0</v>
      </c>
      <c r="P48" t="s">
        <v>5</v>
      </c>
      <c r="Q48" t="s">
        <v>24</v>
      </c>
      <c r="R48" s="12"/>
      <c r="S48" s="12"/>
      <c r="T48" s="12"/>
      <c r="U48" s="327"/>
    </row>
    <row r="49" spans="1:21">
      <c r="A49" t="s">
        <v>371</v>
      </c>
      <c r="B49" s="12" t="s">
        <v>537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20399.187039640197</v>
      </c>
      <c r="N49" s="12">
        <v>0</v>
      </c>
      <c r="O49" s="12">
        <v>0</v>
      </c>
      <c r="P49" t="s">
        <v>5</v>
      </c>
      <c r="Q49" t="s">
        <v>24</v>
      </c>
      <c r="R49" s="12"/>
      <c r="S49" s="12"/>
      <c r="T49" s="12"/>
      <c r="U49" s="327"/>
    </row>
    <row r="50" spans="1:21">
      <c r="A50" t="s">
        <v>372</v>
      </c>
      <c r="B50" s="12" t="s">
        <v>538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5846.3905841522819</v>
      </c>
      <c r="N50" s="12">
        <v>0</v>
      </c>
      <c r="O50" s="12">
        <v>0</v>
      </c>
      <c r="P50" t="s">
        <v>3</v>
      </c>
      <c r="Q50" t="s">
        <v>24</v>
      </c>
      <c r="R50" s="12"/>
      <c r="S50" s="12"/>
      <c r="T50" s="12"/>
      <c r="U50" s="327"/>
    </row>
    <row r="51" spans="1:21">
      <c r="A51" t="s">
        <v>372</v>
      </c>
      <c r="B51" s="12" t="s">
        <v>538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45706.503939637616</v>
      </c>
      <c r="N51" s="12">
        <v>0</v>
      </c>
      <c r="O51" s="12">
        <v>0</v>
      </c>
      <c r="P51" t="s">
        <v>5</v>
      </c>
      <c r="Q51" t="s">
        <v>24</v>
      </c>
      <c r="R51" s="12"/>
      <c r="S51" s="12"/>
      <c r="T51" s="12"/>
      <c r="U51" s="327"/>
    </row>
    <row r="52" spans="1:21">
      <c r="A52" t="s">
        <v>375</v>
      </c>
      <c r="B52" s="12" t="s">
        <v>539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10746.45935073</v>
      </c>
      <c r="N52" s="12">
        <v>0</v>
      </c>
      <c r="O52" s="12">
        <v>0</v>
      </c>
      <c r="P52" t="s">
        <v>5</v>
      </c>
      <c r="Q52" t="s">
        <v>24</v>
      </c>
      <c r="R52" s="12"/>
      <c r="S52" s="12"/>
      <c r="T52" s="12"/>
      <c r="U52" s="327"/>
    </row>
    <row r="53" spans="1:21">
      <c r="A53" t="s">
        <v>432</v>
      </c>
      <c r="B53" s="12" t="s">
        <v>540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5509.0894229999994</v>
      </c>
      <c r="O53" s="12">
        <v>5509.0894229999994</v>
      </c>
      <c r="P53" t="s">
        <v>5</v>
      </c>
      <c r="Q53" t="s">
        <v>24</v>
      </c>
      <c r="R53" s="12"/>
      <c r="S53" s="12"/>
      <c r="T53" s="12"/>
      <c r="U53" s="327"/>
    </row>
    <row r="54" spans="1:21">
      <c r="A54" t="s">
        <v>433</v>
      </c>
      <c r="B54" s="12" t="s">
        <v>526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646.63774141190402</v>
      </c>
      <c r="O54" s="12">
        <v>646.63774141190402</v>
      </c>
      <c r="P54" t="s">
        <v>433</v>
      </c>
      <c r="Q54" t="s">
        <v>24</v>
      </c>
      <c r="R54" s="12"/>
      <c r="S54" s="12"/>
      <c r="T54" s="12"/>
      <c r="U54" s="327"/>
    </row>
    <row r="55" spans="1:21">
      <c r="A55" t="s">
        <v>445</v>
      </c>
      <c r="B55" s="12" t="s">
        <v>541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241288.05862842887</v>
      </c>
      <c r="P55" t="s">
        <v>5</v>
      </c>
      <c r="Q55" t="s">
        <v>24</v>
      </c>
      <c r="R55" s="12"/>
      <c r="S55" s="12"/>
      <c r="T55" s="12"/>
      <c r="U55" s="327"/>
    </row>
    <row r="56" spans="1:21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R56" s="12"/>
      <c r="S56" s="12"/>
      <c r="T56" s="12"/>
    </row>
    <row r="57" spans="1:21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R57" s="12"/>
      <c r="S57" s="12"/>
      <c r="T57" s="12"/>
    </row>
    <row r="58" spans="1:21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</row>
    <row r="59" spans="1:21">
      <c r="A59" s="18" t="s">
        <v>6</v>
      </c>
      <c r="B59" s="21"/>
      <c r="C59" s="21">
        <f t="shared" ref="C59:O59" si="0">SUM(C9:C58)</f>
        <v>3411681.2579689091</v>
      </c>
      <c r="D59" s="21">
        <f t="shared" si="0"/>
        <v>3225448.5594297396</v>
      </c>
      <c r="E59" s="21">
        <f t="shared" si="0"/>
        <v>3225448.5594297396</v>
      </c>
      <c r="F59" s="21">
        <f t="shared" si="0"/>
        <v>3225448.5594297391</v>
      </c>
      <c r="G59" s="21">
        <f t="shared" si="0"/>
        <v>3468551.2717425255</v>
      </c>
      <c r="H59" s="21">
        <f t="shared" si="0"/>
        <v>3210312.18271029</v>
      </c>
      <c r="I59" s="21">
        <f t="shared" si="0"/>
        <v>3210312.18271029</v>
      </c>
      <c r="J59" s="21">
        <f t="shared" si="0"/>
        <v>3210312.18271029</v>
      </c>
      <c r="K59" s="21">
        <f t="shared" si="0"/>
        <v>3147262.3997916635</v>
      </c>
      <c r="L59" s="21">
        <f t="shared" si="0"/>
        <v>3092865.1433476061</v>
      </c>
      <c r="M59" s="21">
        <f t="shared" si="0"/>
        <v>2976902.1512522702</v>
      </c>
      <c r="N59" s="21">
        <f t="shared" si="0"/>
        <v>2820201.6280327979</v>
      </c>
      <c r="O59" s="21">
        <f t="shared" si="0"/>
        <v>3112848.2857930851</v>
      </c>
      <c r="P59" s="15"/>
      <c r="R59" s="12"/>
      <c r="S59" s="21"/>
      <c r="T59" s="12"/>
    </row>
    <row r="60" spans="1:21">
      <c r="R60" s="12"/>
      <c r="T60" s="12"/>
    </row>
    <row r="61" spans="1:21">
      <c r="A61" s="18" t="s">
        <v>7</v>
      </c>
      <c r="R61" s="12"/>
      <c r="T61" s="12"/>
    </row>
    <row r="62" spans="1:21">
      <c r="A62" t="s">
        <v>20</v>
      </c>
      <c r="B62" s="12" t="s">
        <v>494</v>
      </c>
      <c r="C62" s="12">
        <v>2460.8645955489001</v>
      </c>
      <c r="D62" s="12">
        <v>2460.8645955489001</v>
      </c>
      <c r="E62" s="12">
        <v>2460.8645955489001</v>
      </c>
      <c r="F62" s="12">
        <v>2460.8645955489001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3065.9919002135998</v>
      </c>
      <c r="O62" s="12">
        <v>3065.9919002135998</v>
      </c>
      <c r="P62" t="s">
        <v>5</v>
      </c>
      <c r="Q62" t="s">
        <v>24</v>
      </c>
      <c r="R62" s="12"/>
      <c r="S62" s="12"/>
      <c r="T62" s="12"/>
      <c r="U62" s="327"/>
    </row>
    <row r="63" spans="1:21">
      <c r="A63" t="s">
        <v>21</v>
      </c>
      <c r="B63" s="12" t="s">
        <v>542</v>
      </c>
      <c r="C63" s="12">
        <v>7842.9966589774358</v>
      </c>
      <c r="D63" s="12">
        <v>7842.9966589774358</v>
      </c>
      <c r="E63" s="12">
        <v>7842.9966589774358</v>
      </c>
      <c r="F63" s="12">
        <v>7842.9966589774358</v>
      </c>
      <c r="G63" s="12">
        <v>7578.9246840164033</v>
      </c>
      <c r="H63" s="12">
        <v>7578.9246840164033</v>
      </c>
      <c r="I63" s="12">
        <v>7578.9246840164033</v>
      </c>
      <c r="J63" s="12">
        <v>7578.9246840164033</v>
      </c>
      <c r="K63" s="12">
        <v>7575.7133050282164</v>
      </c>
      <c r="L63" s="12">
        <v>7575.7133050282164</v>
      </c>
      <c r="M63" s="12">
        <v>6782.9873780056369</v>
      </c>
      <c r="N63" s="12">
        <v>0</v>
      </c>
      <c r="O63" s="12">
        <v>0</v>
      </c>
      <c r="P63" t="s">
        <v>5</v>
      </c>
      <c r="Q63" t="s">
        <v>24</v>
      </c>
      <c r="R63" s="12"/>
      <c r="S63" s="12"/>
      <c r="T63" s="12"/>
      <c r="U63" s="327"/>
    </row>
    <row r="64" spans="1:21">
      <c r="A64" t="s">
        <v>113</v>
      </c>
      <c r="B64" s="12" t="s">
        <v>543</v>
      </c>
      <c r="C64" s="12">
        <v>0</v>
      </c>
      <c r="D64" s="12">
        <v>0</v>
      </c>
      <c r="E64" s="12">
        <v>0</v>
      </c>
      <c r="F64" s="12">
        <v>0</v>
      </c>
      <c r="G64" s="12">
        <v>-18242.264576517904</v>
      </c>
      <c r="H64" s="12">
        <v>-18242.264576517904</v>
      </c>
      <c r="I64" s="12">
        <v>-18242.264576517904</v>
      </c>
      <c r="J64" s="12">
        <v>-18242.264576517904</v>
      </c>
      <c r="K64" s="12">
        <v>-10363.512138304784</v>
      </c>
      <c r="L64" s="12">
        <v>-10363.512138304784</v>
      </c>
      <c r="M64" s="12">
        <v>-10098.269566881992</v>
      </c>
      <c r="N64" s="12">
        <v>-9628.1291666901761</v>
      </c>
      <c r="O64" s="12">
        <v>-10421.975347421361</v>
      </c>
      <c r="P64" t="s">
        <v>5</v>
      </c>
      <c r="Q64" t="s">
        <v>24</v>
      </c>
      <c r="R64" s="12"/>
      <c r="S64" s="12"/>
      <c r="T64" s="12"/>
      <c r="U64" s="327"/>
    </row>
    <row r="65" spans="1:21">
      <c r="A65" t="s">
        <v>114</v>
      </c>
      <c r="B65" s="12" t="s">
        <v>544</v>
      </c>
      <c r="C65" s="12">
        <v>0</v>
      </c>
      <c r="D65" s="12">
        <v>0</v>
      </c>
      <c r="E65" s="12">
        <v>0</v>
      </c>
      <c r="F65" s="12">
        <v>0</v>
      </c>
      <c r="G65" s="12">
        <v>13838.708958752715</v>
      </c>
      <c r="H65" s="12">
        <v>13838.708958752715</v>
      </c>
      <c r="I65" s="12">
        <v>13838.708958752715</v>
      </c>
      <c r="J65" s="12">
        <v>13838.708958752715</v>
      </c>
      <c r="K65" s="12">
        <v>11822.733650287277</v>
      </c>
      <c r="L65" s="12">
        <v>11822.733650287277</v>
      </c>
      <c r="M65" s="12">
        <v>14749.202182647461</v>
      </c>
      <c r="N65" s="12">
        <v>17874.03602115027</v>
      </c>
      <c r="O65" s="12">
        <v>18549.958611841474</v>
      </c>
      <c r="P65" t="s">
        <v>5</v>
      </c>
      <c r="Q65" t="s">
        <v>24</v>
      </c>
      <c r="R65" s="12"/>
      <c r="S65" s="12"/>
      <c r="T65" s="12"/>
      <c r="U65" s="327"/>
    </row>
    <row r="66" spans="1:21">
      <c r="A66" t="s">
        <v>115</v>
      </c>
      <c r="B66" s="12" t="s">
        <v>545</v>
      </c>
      <c r="C66" s="12">
        <v>0</v>
      </c>
      <c r="D66" s="12">
        <v>0</v>
      </c>
      <c r="E66" s="12">
        <v>0</v>
      </c>
      <c r="F66" s="12">
        <v>0</v>
      </c>
      <c r="G66" s="12">
        <v>297.65388165463486</v>
      </c>
      <c r="H66" s="12">
        <v>297.65388165463486</v>
      </c>
      <c r="I66" s="12">
        <v>297.65388165463486</v>
      </c>
      <c r="J66" s="12">
        <v>297.65388165463486</v>
      </c>
      <c r="K66" s="12">
        <v>2717.1226761587423</v>
      </c>
      <c r="L66" s="12">
        <v>2717.1226761587423</v>
      </c>
      <c r="M66" s="12">
        <v>3521.4260113924061</v>
      </c>
      <c r="N66" s="12">
        <v>3442.8771572392989</v>
      </c>
      <c r="O66" s="12">
        <v>3619.679406389409</v>
      </c>
      <c r="P66" t="s">
        <v>5</v>
      </c>
      <c r="Q66" t="s">
        <v>24</v>
      </c>
      <c r="R66" s="12"/>
      <c r="S66" s="12"/>
      <c r="T66" s="12"/>
      <c r="U66" s="327"/>
    </row>
    <row r="67" spans="1:21">
      <c r="A67" t="s">
        <v>117</v>
      </c>
      <c r="B67" s="12" t="s">
        <v>546</v>
      </c>
      <c r="C67" s="12">
        <v>0</v>
      </c>
      <c r="D67" s="12">
        <v>0</v>
      </c>
      <c r="E67" s="12">
        <v>0</v>
      </c>
      <c r="F67" s="12">
        <v>0</v>
      </c>
      <c r="G67" s="12">
        <v>916.84931421797876</v>
      </c>
      <c r="H67" s="12">
        <v>916.84931421797876</v>
      </c>
      <c r="I67" s="12">
        <v>916.84931421797876</v>
      </c>
      <c r="J67" s="12">
        <v>916.84931421797876</v>
      </c>
      <c r="K67" s="12">
        <v>223.70722107676906</v>
      </c>
      <c r="L67" s="12">
        <v>223.70722107676906</v>
      </c>
      <c r="M67" s="12">
        <v>224.82059047319851</v>
      </c>
      <c r="N67" s="12">
        <v>222.196486445505</v>
      </c>
      <c r="O67" s="12">
        <v>228.67458897609933</v>
      </c>
      <c r="P67" t="s">
        <v>5</v>
      </c>
      <c r="Q67" t="s">
        <v>24</v>
      </c>
      <c r="R67" s="12"/>
      <c r="S67" s="12"/>
      <c r="T67" s="12"/>
      <c r="U67" s="327"/>
    </row>
    <row r="68" spans="1:21">
      <c r="A68" t="s">
        <v>104</v>
      </c>
      <c r="B68" s="12" t="s">
        <v>547</v>
      </c>
      <c r="C68" s="12">
        <v>11774.82637087723</v>
      </c>
      <c r="D68" s="12">
        <v>11774.82637087723</v>
      </c>
      <c r="E68" s="12">
        <v>11774.82637087723</v>
      </c>
      <c r="F68" s="12">
        <v>11774.82637087723</v>
      </c>
      <c r="G68" s="12">
        <v>3849.8475114850912</v>
      </c>
      <c r="H68" s="12">
        <v>3849.8475114850912</v>
      </c>
      <c r="I68" s="12">
        <v>3849.8475114850912</v>
      </c>
      <c r="J68" s="12">
        <v>3849.8475114850912</v>
      </c>
      <c r="K68" s="12">
        <v>3707.071785513117</v>
      </c>
      <c r="L68" s="12">
        <v>3707.071785513117</v>
      </c>
      <c r="M68" s="12">
        <v>0</v>
      </c>
      <c r="N68" s="12">
        <v>0</v>
      </c>
      <c r="O68" s="12">
        <v>0</v>
      </c>
      <c r="P68" t="s">
        <v>5</v>
      </c>
      <c r="Q68" t="s">
        <v>24</v>
      </c>
      <c r="R68" s="12"/>
      <c r="S68" s="12"/>
      <c r="T68" s="12"/>
      <c r="U68" s="327"/>
    </row>
    <row r="69" spans="1:21">
      <c r="A69" t="s">
        <v>23</v>
      </c>
      <c r="B69" s="12" t="s">
        <v>446</v>
      </c>
      <c r="C69" s="12">
        <v>5757.9420113573733</v>
      </c>
      <c r="D69" s="12">
        <v>6761.2327247173725</v>
      </c>
      <c r="E69" s="12">
        <v>6761.2327247173725</v>
      </c>
      <c r="F69" s="12">
        <v>6761.2327247173725</v>
      </c>
      <c r="G69" s="12">
        <v>4091.7015173161735</v>
      </c>
      <c r="H69" s="12">
        <v>4084.8366440600876</v>
      </c>
      <c r="I69" s="12">
        <v>4084.8366440600876</v>
      </c>
      <c r="J69" s="12">
        <v>5617.0971562606846</v>
      </c>
      <c r="K69" s="12">
        <v>7836.1328672590944</v>
      </c>
      <c r="L69" s="12">
        <v>7836.1328672590944</v>
      </c>
      <c r="M69" s="12">
        <v>11416.542000504454</v>
      </c>
      <c r="N69" s="12">
        <v>3285.8960466428071</v>
      </c>
      <c r="O69" s="12">
        <v>3285.8960466428071</v>
      </c>
      <c r="P69" t="s">
        <v>5</v>
      </c>
      <c r="Q69" t="s">
        <v>24</v>
      </c>
      <c r="R69" s="12"/>
      <c r="S69" s="12"/>
      <c r="T69" s="12"/>
      <c r="U69" s="327"/>
    </row>
    <row r="70" spans="1:21">
      <c r="A70" s="252" t="s">
        <v>344</v>
      </c>
      <c r="B70" s="12" t="s">
        <v>326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9151.8938528029503</v>
      </c>
      <c r="K70" s="12">
        <v>9150.7938542165066</v>
      </c>
      <c r="L70" s="12">
        <v>9150.7938542165066</v>
      </c>
      <c r="M70" s="12">
        <v>0</v>
      </c>
      <c r="N70" s="12">
        <v>0</v>
      </c>
      <c r="O70" s="12">
        <v>0</v>
      </c>
      <c r="P70" t="s">
        <v>5</v>
      </c>
      <c r="Q70" t="s">
        <v>24</v>
      </c>
      <c r="R70" s="12"/>
      <c r="S70" s="12"/>
      <c r="T70" s="12"/>
      <c r="U70" s="327"/>
    </row>
    <row r="71" spans="1:21">
      <c r="A71" t="s">
        <v>382</v>
      </c>
      <c r="B71" s="12" t="s">
        <v>548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19553.413197438818</v>
      </c>
      <c r="N71" s="12">
        <v>6630.1442245618264</v>
      </c>
      <c r="O71" s="12">
        <v>6947.6822545118957</v>
      </c>
      <c r="P71" t="s">
        <v>5</v>
      </c>
      <c r="Q71" t="s">
        <v>24</v>
      </c>
      <c r="R71" s="12"/>
      <c r="S71" s="12"/>
      <c r="T71" s="12"/>
      <c r="U71" s="327"/>
    </row>
    <row r="72" spans="1:21">
      <c r="A72" s="252" t="s">
        <v>247</v>
      </c>
      <c r="B72" s="12" t="s">
        <v>380</v>
      </c>
      <c r="C72" s="12">
        <v>0</v>
      </c>
      <c r="D72" s="12">
        <v>0</v>
      </c>
      <c r="E72" s="12">
        <v>0</v>
      </c>
      <c r="F72" s="12">
        <v>0</v>
      </c>
      <c r="G72" s="12">
        <v>-333.56654586959996</v>
      </c>
      <c r="H72" s="12">
        <v>-333.56654586959996</v>
      </c>
      <c r="I72" s="12">
        <v>-333.56654586959996</v>
      </c>
      <c r="J72" s="12">
        <v>-333.56654586959996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t="s">
        <v>5</v>
      </c>
      <c r="Q72" t="s">
        <v>26</v>
      </c>
      <c r="R72" s="12"/>
      <c r="S72" s="12"/>
      <c r="T72" s="12"/>
      <c r="U72" s="327"/>
    </row>
    <row r="73" spans="1:21">
      <c r="A73" s="252" t="s">
        <v>248</v>
      </c>
      <c r="B73" s="12" t="s">
        <v>494</v>
      </c>
      <c r="C73" s="12">
        <v>0</v>
      </c>
      <c r="D73" s="12">
        <v>0</v>
      </c>
      <c r="E73" s="12">
        <v>0</v>
      </c>
      <c r="F73" s="12">
        <v>0</v>
      </c>
      <c r="G73" s="12">
        <v>62042.099340000001</v>
      </c>
      <c r="H73" s="12">
        <v>62042.099340000001</v>
      </c>
      <c r="I73" s="12">
        <v>62042.099340000001</v>
      </c>
      <c r="J73" s="12">
        <v>62042.099340000001</v>
      </c>
      <c r="K73" s="12">
        <v>97834.232665999996</v>
      </c>
      <c r="L73" s="12">
        <v>97834.232665999996</v>
      </c>
      <c r="M73" s="12">
        <v>96619.676042399995</v>
      </c>
      <c r="N73" s="12">
        <v>85598.38471649999</v>
      </c>
      <c r="O73" s="12">
        <v>85598.38471649999</v>
      </c>
      <c r="P73" t="s">
        <v>5</v>
      </c>
      <c r="Q73" t="s">
        <v>26</v>
      </c>
      <c r="R73" s="12"/>
      <c r="S73" s="12"/>
      <c r="T73" s="12"/>
      <c r="U73" s="327"/>
    </row>
    <row r="74" spans="1:21">
      <c r="A74" t="s">
        <v>28</v>
      </c>
      <c r="B74" s="12" t="s">
        <v>494</v>
      </c>
      <c r="C74" s="12">
        <v>14304.957620399999</v>
      </c>
      <c r="D74" s="12">
        <v>14304.957620399999</v>
      </c>
      <c r="E74" s="12">
        <v>14304.957620399999</v>
      </c>
      <c r="F74" s="12">
        <v>14304.957620399999</v>
      </c>
      <c r="G74" s="12">
        <v>14618.280596999999</v>
      </c>
      <c r="H74" s="12">
        <v>14618.280596999999</v>
      </c>
      <c r="I74" s="12">
        <v>14618.280596999999</v>
      </c>
      <c r="J74" s="12">
        <v>14618.280596999999</v>
      </c>
      <c r="K74" s="12">
        <v>12263.7715892</v>
      </c>
      <c r="L74" s="12">
        <v>12263.7715892</v>
      </c>
      <c r="M74" s="12">
        <v>11368.8515814</v>
      </c>
      <c r="N74" s="12">
        <v>10448.595024299999</v>
      </c>
      <c r="O74" s="12">
        <v>10448.595024299999</v>
      </c>
      <c r="P74" t="s">
        <v>5</v>
      </c>
      <c r="Q74" t="s">
        <v>26</v>
      </c>
      <c r="R74" s="12"/>
      <c r="S74" s="12"/>
      <c r="T74" s="12"/>
      <c r="U74" s="327"/>
    </row>
    <row r="75" spans="1:21">
      <c r="A75" t="s">
        <v>29</v>
      </c>
      <c r="B75" s="12" t="s">
        <v>494</v>
      </c>
      <c r="C75" s="12">
        <v>-6227.0347865999993</v>
      </c>
      <c r="D75" s="12">
        <v>-6227.0347865999993</v>
      </c>
      <c r="E75" s="12">
        <v>-6227.0347865999993</v>
      </c>
      <c r="F75" s="12">
        <v>-6227.0347865999993</v>
      </c>
      <c r="G75" s="12">
        <v>2817.8318027999999</v>
      </c>
      <c r="H75" s="12">
        <v>2817.8318027999999</v>
      </c>
      <c r="I75" s="12">
        <v>2817.8318027999999</v>
      </c>
      <c r="J75" s="12">
        <v>2817.8318027999999</v>
      </c>
      <c r="K75" s="12">
        <v>-12060.447343600001</v>
      </c>
      <c r="L75" s="12">
        <v>-12060.447343600001</v>
      </c>
      <c r="M75" s="12">
        <v>-63.2870913</v>
      </c>
      <c r="N75" s="12">
        <v>1908.7884732863999</v>
      </c>
      <c r="O75" s="12">
        <v>1908.7884732863999</v>
      </c>
      <c r="P75" t="s">
        <v>5</v>
      </c>
      <c r="Q75" t="s">
        <v>26</v>
      </c>
      <c r="R75" s="12"/>
      <c r="S75" s="12"/>
      <c r="T75" s="12"/>
      <c r="U75" s="327"/>
    </row>
    <row r="76" spans="1:21">
      <c r="A76" t="s">
        <v>32</v>
      </c>
      <c r="B76" s="12" t="s">
        <v>380</v>
      </c>
      <c r="C76" s="12">
        <v>111.01178309999999</v>
      </c>
      <c r="D76" s="12">
        <v>111.01178309999999</v>
      </c>
      <c r="E76" s="12">
        <v>111.01178309999999</v>
      </c>
      <c r="F76" s="12">
        <v>111.01178309999999</v>
      </c>
      <c r="G76" s="12">
        <v>108.9367965</v>
      </c>
      <c r="H76" s="12">
        <v>108.9367965</v>
      </c>
      <c r="I76" s="12">
        <v>108.9367965</v>
      </c>
      <c r="J76" s="12">
        <v>108.9367965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t="s">
        <v>5</v>
      </c>
      <c r="Q76" t="s">
        <v>26</v>
      </c>
      <c r="R76" s="12"/>
      <c r="S76" s="12"/>
      <c r="T76" s="12"/>
      <c r="U76" s="327"/>
    </row>
    <row r="77" spans="1:21">
      <c r="A77" t="s">
        <v>33</v>
      </c>
      <c r="B77" s="12" t="s">
        <v>494</v>
      </c>
      <c r="C77" s="12">
        <v>3717.3384938999998</v>
      </c>
      <c r="D77" s="12">
        <v>3717.3384938999998</v>
      </c>
      <c r="E77" s="12">
        <v>3717.3384938999998</v>
      </c>
      <c r="F77" s="12">
        <v>3717.3384938999998</v>
      </c>
      <c r="G77" s="12">
        <v>3739.1258531999997</v>
      </c>
      <c r="H77" s="12">
        <v>3739.1258531999997</v>
      </c>
      <c r="I77" s="12">
        <v>3739.1258531999997</v>
      </c>
      <c r="J77" s="12">
        <v>3739.1258531999997</v>
      </c>
      <c r="K77" s="12">
        <v>3376.6347929999997</v>
      </c>
      <c r="L77" s="12">
        <v>3376.6347929999997</v>
      </c>
      <c r="M77" s="12">
        <v>1615.3770680999999</v>
      </c>
      <c r="N77" s="12">
        <v>-631.83341969999992</v>
      </c>
      <c r="O77" s="12">
        <v>-631.83341969999992</v>
      </c>
      <c r="P77" t="s">
        <v>5</v>
      </c>
      <c r="Q77" t="s">
        <v>26</v>
      </c>
      <c r="R77" s="12"/>
      <c r="S77" s="12"/>
      <c r="T77" s="12"/>
      <c r="U77" s="327"/>
    </row>
    <row r="78" spans="1:21">
      <c r="A78" t="s">
        <v>338</v>
      </c>
      <c r="B78" s="12" t="s">
        <v>494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420.13428299999998</v>
      </c>
      <c r="L78" s="12">
        <v>420.13428299999998</v>
      </c>
      <c r="M78" s="12">
        <v>3.1124798999999999</v>
      </c>
      <c r="N78" s="12">
        <v>0</v>
      </c>
      <c r="O78" s="12">
        <v>0</v>
      </c>
      <c r="P78" t="s">
        <v>5</v>
      </c>
      <c r="Q78" t="s">
        <v>26</v>
      </c>
      <c r="R78" s="12"/>
      <c r="S78" s="12"/>
      <c r="T78" s="12"/>
      <c r="U78" s="327"/>
    </row>
    <row r="79" spans="1:21">
      <c r="A79" t="s">
        <v>339</v>
      </c>
      <c r="B79" s="12" t="s">
        <v>494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17012.84504</v>
      </c>
      <c r="L79" s="12">
        <v>17012.84504</v>
      </c>
      <c r="M79" s="12">
        <v>17014.89012</v>
      </c>
      <c r="N79" s="12">
        <v>60589.608719999997</v>
      </c>
      <c r="O79" s="12">
        <v>60589.608719999997</v>
      </c>
      <c r="P79" t="s">
        <v>5</v>
      </c>
      <c r="Q79" t="s">
        <v>26</v>
      </c>
      <c r="R79" s="12"/>
      <c r="S79" s="12"/>
      <c r="T79" s="12"/>
      <c r="U79" s="327"/>
    </row>
    <row r="80" spans="1:21">
      <c r="A80" s="13" t="s">
        <v>35</v>
      </c>
      <c r="B80" s="12" t="s">
        <v>494</v>
      </c>
      <c r="C80" s="12">
        <v>8196.1970700000002</v>
      </c>
      <c r="D80" s="12">
        <v>8196.1970700000002</v>
      </c>
      <c r="E80" s="12">
        <v>8196.1970700000002</v>
      </c>
      <c r="F80" s="12">
        <v>8196.1970700000002</v>
      </c>
      <c r="G80" s="12">
        <v>7148.328837</v>
      </c>
      <c r="H80" s="12">
        <v>7148.328837</v>
      </c>
      <c r="I80" s="12">
        <v>7148.328837</v>
      </c>
      <c r="J80" s="12">
        <v>7148.328837</v>
      </c>
      <c r="K80" s="12">
        <v>12956.733813999999</v>
      </c>
      <c r="L80" s="12">
        <v>12956.733813999999</v>
      </c>
      <c r="M80" s="12">
        <v>18197.632482000001</v>
      </c>
      <c r="N80" s="12">
        <v>17949.671583299998</v>
      </c>
      <c r="O80" s="12">
        <v>17949.671583299998</v>
      </c>
      <c r="P80" t="s">
        <v>5</v>
      </c>
      <c r="Q80" t="s">
        <v>26</v>
      </c>
      <c r="R80" s="12"/>
      <c r="S80" s="12"/>
      <c r="T80" s="12"/>
      <c r="U80" s="327"/>
    </row>
    <row r="81" spans="1:21">
      <c r="A81" s="13" t="s">
        <v>36</v>
      </c>
      <c r="B81" s="12" t="s">
        <v>494</v>
      </c>
      <c r="C81" s="12">
        <v>2384.1596033999999</v>
      </c>
      <c r="D81" s="12">
        <v>2384.1596033999999</v>
      </c>
      <c r="E81" s="12">
        <v>2384.1596033999999</v>
      </c>
      <c r="F81" s="12">
        <v>2384.1596033999999</v>
      </c>
      <c r="G81" s="12">
        <v>2386.23459</v>
      </c>
      <c r="H81" s="12">
        <v>2386.23459</v>
      </c>
      <c r="I81" s="12">
        <v>2386.23459</v>
      </c>
      <c r="J81" s="12">
        <v>2386.23459</v>
      </c>
      <c r="K81" s="12">
        <v>2480.3483225999998</v>
      </c>
      <c r="L81" s="12">
        <v>2480.3483225999998</v>
      </c>
      <c r="M81" s="12">
        <v>756.33261570000002</v>
      </c>
      <c r="N81" s="12">
        <v>599.67112739999993</v>
      </c>
      <c r="O81" s="12">
        <v>599.67112739999993</v>
      </c>
      <c r="P81" t="s">
        <v>5</v>
      </c>
      <c r="Q81" t="s">
        <v>26</v>
      </c>
      <c r="R81" s="12"/>
      <c r="S81" s="12"/>
      <c r="T81" s="12"/>
      <c r="U81" s="327"/>
    </row>
    <row r="82" spans="1:21">
      <c r="A82" s="13" t="s">
        <v>37</v>
      </c>
      <c r="B82" s="12" t="s">
        <v>380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t="s">
        <v>5</v>
      </c>
      <c r="Q82" t="s">
        <v>26</v>
      </c>
      <c r="R82" s="12"/>
      <c r="S82" s="12"/>
      <c r="T82" s="12"/>
      <c r="U82" s="327"/>
    </row>
    <row r="83" spans="1:21">
      <c r="A83" s="467" t="s">
        <v>257</v>
      </c>
      <c r="B83" s="12" t="s">
        <v>494</v>
      </c>
      <c r="C83" s="12">
        <v>0</v>
      </c>
      <c r="D83" s="12">
        <v>0</v>
      </c>
      <c r="E83" s="12">
        <v>0</v>
      </c>
      <c r="F83" s="12">
        <v>0</v>
      </c>
      <c r="G83" s="12">
        <v>-274.93572449999999</v>
      </c>
      <c r="H83" s="12">
        <v>-274.93572449999999</v>
      </c>
      <c r="I83" s="12">
        <v>-274.93572449999999</v>
      </c>
      <c r="J83" s="12">
        <v>-274.93572449999999</v>
      </c>
      <c r="K83" s="12">
        <v>597.52431360000003</v>
      </c>
      <c r="L83" s="12">
        <v>597.52431360000003</v>
      </c>
      <c r="M83" s="12">
        <v>-18.674879399999998</v>
      </c>
      <c r="N83" s="12">
        <v>179.48634089999999</v>
      </c>
      <c r="O83" s="12">
        <v>179.48634089999999</v>
      </c>
      <c r="P83" t="s">
        <v>5</v>
      </c>
      <c r="Q83" t="s">
        <v>26</v>
      </c>
      <c r="R83" s="12"/>
      <c r="S83" s="12"/>
      <c r="T83" s="12"/>
      <c r="U83" s="327"/>
    </row>
    <row r="84" spans="1:21">
      <c r="A84" s="467" t="s">
        <v>258</v>
      </c>
      <c r="B84" s="12" t="s">
        <v>494</v>
      </c>
      <c r="C84" s="12">
        <v>0</v>
      </c>
      <c r="D84" s="12">
        <v>0</v>
      </c>
      <c r="E84" s="12">
        <v>0</v>
      </c>
      <c r="F84" s="12">
        <v>0</v>
      </c>
      <c r="G84" s="12">
        <v>-283.2356709</v>
      </c>
      <c r="H84" s="12">
        <v>-283.2356709</v>
      </c>
      <c r="I84" s="12">
        <v>-283.2356709</v>
      </c>
      <c r="J84" s="12">
        <v>-283.2356709</v>
      </c>
      <c r="K84" s="12">
        <v>-1.675350289</v>
      </c>
      <c r="L84" s="12">
        <v>-1.675350289</v>
      </c>
      <c r="M84" s="12">
        <v>0</v>
      </c>
      <c r="N84" s="12">
        <v>-3.1124798999999999</v>
      </c>
      <c r="O84" s="12">
        <v>-3.1124798999999999</v>
      </c>
      <c r="P84" t="s">
        <v>5</v>
      </c>
      <c r="Q84" t="s">
        <v>26</v>
      </c>
      <c r="R84" s="12"/>
      <c r="S84" s="12"/>
      <c r="T84" s="12"/>
      <c r="U84" s="327"/>
    </row>
    <row r="85" spans="1:21">
      <c r="A85" s="13" t="s">
        <v>38</v>
      </c>
      <c r="B85" s="12" t="s">
        <v>380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t="s">
        <v>5</v>
      </c>
      <c r="Q85" t="s">
        <v>26</v>
      </c>
      <c r="R85" s="12"/>
      <c r="S85" s="12"/>
      <c r="T85" s="12"/>
      <c r="U85" s="327"/>
    </row>
    <row r="86" spans="1:21">
      <c r="A86" s="13" t="s">
        <v>217</v>
      </c>
      <c r="B86" s="12" t="s">
        <v>494</v>
      </c>
      <c r="C86" s="12">
        <v>-1769.9635698</v>
      </c>
      <c r="D86" s="12">
        <v>-1769.9635698</v>
      </c>
      <c r="E86" s="12">
        <v>-1769.9635698</v>
      </c>
      <c r="F86" s="12">
        <v>-1769.9635698</v>
      </c>
      <c r="G86" s="12">
        <v>0</v>
      </c>
      <c r="H86" s="12">
        <v>0</v>
      </c>
      <c r="I86" s="12">
        <v>0</v>
      </c>
      <c r="J86" s="12">
        <v>0</v>
      </c>
      <c r="K86" s="12">
        <v>147.47958175619999</v>
      </c>
      <c r="L86" s="12">
        <v>147.47958175619999</v>
      </c>
      <c r="M86" s="12">
        <v>0</v>
      </c>
      <c r="N86" s="12">
        <v>0</v>
      </c>
      <c r="O86" s="12">
        <v>0</v>
      </c>
      <c r="P86" t="s">
        <v>5</v>
      </c>
      <c r="Q86" t="s">
        <v>26</v>
      </c>
      <c r="R86" s="12"/>
      <c r="S86" s="12"/>
      <c r="T86" s="12"/>
      <c r="U86" s="327"/>
    </row>
    <row r="87" spans="1:21">
      <c r="A87" s="13" t="s">
        <v>330</v>
      </c>
      <c r="B87" s="12" t="s">
        <v>494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2258.3514421999998</v>
      </c>
      <c r="L87" s="12">
        <v>2258.3514421999998</v>
      </c>
      <c r="M87" s="12">
        <v>5482.1145971999995</v>
      </c>
      <c r="N87" s="12">
        <v>70662.631169699991</v>
      </c>
      <c r="O87" s="12">
        <v>70662.631169699991</v>
      </c>
      <c r="P87" t="s">
        <v>5</v>
      </c>
      <c r="Q87" t="s">
        <v>26</v>
      </c>
      <c r="R87" s="12"/>
      <c r="S87" s="12"/>
      <c r="T87" s="12"/>
      <c r="U87" s="327"/>
    </row>
    <row r="88" spans="1:21">
      <c r="A88" s="13" t="s">
        <v>345</v>
      </c>
      <c r="B88" s="12" t="s">
        <v>494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1324.7225299000002</v>
      </c>
      <c r="L88" s="12">
        <v>1324.7225299000002</v>
      </c>
      <c r="M88" s="12">
        <v>3295.5037456</v>
      </c>
      <c r="N88" s="12">
        <v>11326.775926599999</v>
      </c>
      <c r="O88" s="12">
        <v>11326.775926599999</v>
      </c>
      <c r="P88" t="s">
        <v>3</v>
      </c>
      <c r="Q88" t="s">
        <v>26</v>
      </c>
      <c r="R88" s="12"/>
      <c r="S88" s="12"/>
      <c r="T88" s="12"/>
      <c r="U88" s="327"/>
    </row>
    <row r="89" spans="1:21">
      <c r="A89" t="s">
        <v>337</v>
      </c>
      <c r="B89" s="12" t="s">
        <v>494</v>
      </c>
      <c r="C89" s="12">
        <v>959.50170479999997</v>
      </c>
      <c r="D89" s="12">
        <v>959.50170479999997</v>
      </c>
      <c r="E89" s="12">
        <v>959.50170479999997</v>
      </c>
      <c r="F89" s="12">
        <v>959.50170479999997</v>
      </c>
      <c r="G89" s="12">
        <v>824.88806899999997</v>
      </c>
      <c r="H89" s="12">
        <v>824.88806899999997</v>
      </c>
      <c r="I89" s="12">
        <v>824.88806899999997</v>
      </c>
      <c r="J89" s="12">
        <v>824.88806899999997</v>
      </c>
      <c r="K89" s="12">
        <v>955.3384784000001</v>
      </c>
      <c r="L89" s="12">
        <v>955.3384784000001</v>
      </c>
      <c r="M89" s="12">
        <v>-173.07467459999998</v>
      </c>
      <c r="N89" s="12">
        <v>282.38499539999998</v>
      </c>
      <c r="O89" s="12">
        <v>282.38499539999998</v>
      </c>
      <c r="P89" t="s">
        <v>3</v>
      </c>
      <c r="Q89" t="s">
        <v>26</v>
      </c>
      <c r="R89" s="12"/>
      <c r="S89" s="12"/>
      <c r="T89" s="12"/>
      <c r="U89" s="327"/>
    </row>
    <row r="90" spans="1:21">
      <c r="A90" t="s">
        <v>22</v>
      </c>
      <c r="B90" s="12" t="s">
        <v>549</v>
      </c>
      <c r="C90" s="12">
        <v>10384.438789999989</v>
      </c>
      <c r="D90" s="12">
        <v>10384.438789999989</v>
      </c>
      <c r="E90" s="12">
        <v>10384.438789999989</v>
      </c>
      <c r="F90" s="12">
        <v>10384.438789999989</v>
      </c>
      <c r="G90" s="12">
        <v>14512.247960000124</v>
      </c>
      <c r="H90" s="12">
        <v>14512.247960000124</v>
      </c>
      <c r="I90" s="12">
        <v>14512.247960000124</v>
      </c>
      <c r="J90" s="12">
        <v>14512.247960000124</v>
      </c>
      <c r="K90" s="12">
        <v>13108.984509999978</v>
      </c>
      <c r="L90" s="12">
        <v>13108.984509999978</v>
      </c>
      <c r="M90" s="12">
        <v>17468.285040000002</v>
      </c>
      <c r="N90" s="12">
        <v>21772.850630000012</v>
      </c>
      <c r="O90" s="12">
        <v>21772.850630000012</v>
      </c>
      <c r="P90" t="s">
        <v>5</v>
      </c>
      <c r="Q90" t="s">
        <v>24</v>
      </c>
      <c r="R90" s="12"/>
      <c r="S90" s="12"/>
      <c r="T90" s="12"/>
      <c r="U90" s="327"/>
    </row>
    <row r="91" spans="1:21">
      <c r="A91" s="13" t="s">
        <v>43</v>
      </c>
      <c r="B91" s="12" t="s">
        <v>550</v>
      </c>
      <c r="C91" s="12">
        <v>-1006.6484500001117</v>
      </c>
      <c r="D91" s="12">
        <v>-1006.6484500001117</v>
      </c>
      <c r="E91" s="12">
        <v>-1006.6484500001117</v>
      </c>
      <c r="F91" s="12">
        <v>-1006.6484500001117</v>
      </c>
      <c r="G91" s="12">
        <v>-2412.1108600000562</v>
      </c>
      <c r="H91" s="12">
        <v>-2412.1108600000562</v>
      </c>
      <c r="I91" s="12">
        <v>-2412.1108600000562</v>
      </c>
      <c r="J91" s="12">
        <v>-2412.1108600000562</v>
      </c>
      <c r="K91" s="12">
        <v>-2771.0864299999776</v>
      </c>
      <c r="L91" s="12">
        <v>-2771.0864299999776</v>
      </c>
      <c r="M91" s="12">
        <v>-1178.0985599999967</v>
      </c>
      <c r="N91" s="12">
        <v>-1423.5695200000023</v>
      </c>
      <c r="O91" s="12">
        <v>-1423.5695200000023</v>
      </c>
      <c r="P91" t="s">
        <v>44</v>
      </c>
      <c r="Q91" t="s">
        <v>24</v>
      </c>
      <c r="R91" s="12"/>
      <c r="S91" s="12"/>
      <c r="T91" s="12"/>
      <c r="U91" s="327"/>
    </row>
    <row r="92" spans="1:21">
      <c r="A92" s="13" t="s">
        <v>45</v>
      </c>
      <c r="B92" s="12" t="s">
        <v>550</v>
      </c>
      <c r="C92" s="12">
        <v>23000.546209997989</v>
      </c>
      <c r="D92" s="12">
        <v>23000.546209997989</v>
      </c>
      <c r="E92" s="12">
        <v>23000.546209997989</v>
      </c>
      <c r="F92" s="12">
        <v>23000.546209997989</v>
      </c>
      <c r="G92" s="12">
        <v>6461.6487400032402</v>
      </c>
      <c r="H92" s="12">
        <v>6461.6487400032402</v>
      </c>
      <c r="I92" s="12">
        <v>6461.6487400032402</v>
      </c>
      <c r="J92" s="12">
        <v>6461.6487400032402</v>
      </c>
      <c r="K92" s="12">
        <v>-9516.3053999996482</v>
      </c>
      <c r="L92" s="12">
        <v>-9516.3053999996482</v>
      </c>
      <c r="M92" s="12">
        <v>8785.1610399999317</v>
      </c>
      <c r="N92" s="12">
        <v>7929.8560599999728</v>
      </c>
      <c r="O92" s="12">
        <v>7929.8560599999728</v>
      </c>
      <c r="P92" t="s">
        <v>44</v>
      </c>
      <c r="Q92" t="s">
        <v>24</v>
      </c>
      <c r="R92" s="12"/>
      <c r="S92" s="12"/>
      <c r="T92" s="12"/>
      <c r="U92" s="327"/>
    </row>
    <row r="93" spans="1:21">
      <c r="A93" s="13" t="s">
        <v>46</v>
      </c>
      <c r="B93" s="12" t="s">
        <v>551</v>
      </c>
      <c r="C93" s="12">
        <v>191.3576699999968</v>
      </c>
      <c r="D93" s="12">
        <v>191.3576699999968</v>
      </c>
      <c r="E93" s="12">
        <v>191.3576699999968</v>
      </c>
      <c r="F93" s="12">
        <v>191.3576699999968</v>
      </c>
      <c r="G93" s="12">
        <v>52.435750000001498</v>
      </c>
      <c r="H93" s="12">
        <v>52.435750000001498</v>
      </c>
      <c r="I93" s="12">
        <v>52.435750000001498</v>
      </c>
      <c r="J93" s="12">
        <v>52.435750000001498</v>
      </c>
      <c r="K93" s="12">
        <v>924.59608999999921</v>
      </c>
      <c r="L93" s="12">
        <v>924.59608999999921</v>
      </c>
      <c r="M93" s="12">
        <v>455.58558000001125</v>
      </c>
      <c r="N93" s="12">
        <v>329.55970000000065</v>
      </c>
      <c r="O93" s="12">
        <v>329.55970000000065</v>
      </c>
      <c r="P93" t="s">
        <v>44</v>
      </c>
      <c r="Q93" t="s">
        <v>24</v>
      </c>
      <c r="R93" s="12"/>
      <c r="S93" s="12"/>
      <c r="T93" s="12"/>
      <c r="U93" s="327"/>
    </row>
    <row r="94" spans="1:21">
      <c r="A94" s="13" t="s">
        <v>47</v>
      </c>
      <c r="B94" s="12" t="s">
        <v>549</v>
      </c>
      <c r="C94" s="12">
        <v>-106.41925999997184</v>
      </c>
      <c r="D94" s="12">
        <v>-106.41925999997184</v>
      </c>
      <c r="E94" s="12">
        <v>-106.41925999997184</v>
      </c>
      <c r="F94" s="12">
        <v>-106.41925999997184</v>
      </c>
      <c r="G94" s="12">
        <v>317.79030000004639</v>
      </c>
      <c r="H94" s="12">
        <v>317.79030000004639</v>
      </c>
      <c r="I94" s="12">
        <v>317.79030000004639</v>
      </c>
      <c r="J94" s="12">
        <v>317.79030000004639</v>
      </c>
      <c r="K94" s="12">
        <v>-290.2039800000079</v>
      </c>
      <c r="L94" s="12">
        <v>-290.2039800000079</v>
      </c>
      <c r="M94" s="12">
        <v>103.88005999999493</v>
      </c>
      <c r="N94" s="12">
        <v>1346.6115899999961</v>
      </c>
      <c r="O94" s="12">
        <v>1346.6115899999961</v>
      </c>
      <c r="P94" t="s">
        <v>44</v>
      </c>
      <c r="Q94" t="s">
        <v>24</v>
      </c>
      <c r="R94" s="12"/>
      <c r="S94" s="12"/>
      <c r="T94" s="12"/>
      <c r="U94" s="327"/>
    </row>
    <row r="95" spans="1:21">
      <c r="A95" s="14" t="s">
        <v>48</v>
      </c>
      <c r="B95" s="12" t="s">
        <v>552</v>
      </c>
      <c r="C95" s="12">
        <v>-218.36895000001789</v>
      </c>
      <c r="D95" s="12">
        <v>-218.36895000001789</v>
      </c>
      <c r="E95" s="12">
        <v>-218.36895000001789</v>
      </c>
      <c r="F95" s="12">
        <v>-218.36895000001789</v>
      </c>
      <c r="G95" s="12">
        <v>615.40979000003267</v>
      </c>
      <c r="H95" s="12">
        <v>615.40979000003267</v>
      </c>
      <c r="I95" s="12">
        <v>615.40979000003267</v>
      </c>
      <c r="J95" s="12">
        <v>615.40979000003267</v>
      </c>
      <c r="K95" s="12">
        <v>418.28167999988051</v>
      </c>
      <c r="L95" s="12">
        <v>418.28167999988051</v>
      </c>
      <c r="M95" s="12">
        <v>1447.6496099999938</v>
      </c>
      <c r="N95" s="12">
        <v>477.35870999999997</v>
      </c>
      <c r="O95" s="12">
        <v>477.35870999999997</v>
      </c>
      <c r="P95" t="s">
        <v>44</v>
      </c>
      <c r="Q95" t="s">
        <v>24</v>
      </c>
      <c r="R95" s="12"/>
      <c r="S95" s="12"/>
      <c r="T95" s="12"/>
      <c r="U95" s="327"/>
    </row>
    <row r="96" spans="1:21">
      <c r="A96" s="14" t="s">
        <v>49</v>
      </c>
      <c r="B96" s="12" t="s">
        <v>552</v>
      </c>
      <c r="C96" s="12">
        <v>14155.425600007415</v>
      </c>
      <c r="D96" s="12">
        <v>14155.425600007415</v>
      </c>
      <c r="E96" s="12">
        <v>14155.425600007415</v>
      </c>
      <c r="F96" s="12">
        <v>14155.425600007415</v>
      </c>
      <c r="G96" s="12">
        <v>7976.6311100022194</v>
      </c>
      <c r="H96" s="12">
        <v>7976.6311100022194</v>
      </c>
      <c r="I96" s="12">
        <v>7976.6311100022194</v>
      </c>
      <c r="J96" s="12">
        <v>7976.6311100022194</v>
      </c>
      <c r="K96" s="12">
        <v>3865.5688600117564</v>
      </c>
      <c r="L96" s="12">
        <v>3865.5688600117564</v>
      </c>
      <c r="M96" s="12">
        <v>5532.6434999999701</v>
      </c>
      <c r="N96" s="12">
        <v>1773.2363299999981</v>
      </c>
      <c r="O96" s="12">
        <v>1773.2363299999981</v>
      </c>
      <c r="P96" t="s">
        <v>44</v>
      </c>
      <c r="Q96" t="s">
        <v>24</v>
      </c>
      <c r="R96" s="12"/>
      <c r="S96" s="12"/>
      <c r="T96" s="12"/>
      <c r="U96" s="327"/>
    </row>
    <row r="97" spans="1:21">
      <c r="A97" s="14" t="s">
        <v>50</v>
      </c>
      <c r="B97" s="12" t="s">
        <v>552</v>
      </c>
      <c r="C97" s="12">
        <v>14.466140000000014</v>
      </c>
      <c r="D97" s="12">
        <v>14.466140000000014</v>
      </c>
      <c r="E97" s="12">
        <v>14.466140000000014</v>
      </c>
      <c r="F97" s="12">
        <v>14.466140000000014</v>
      </c>
      <c r="G97" s="12">
        <v>5.1695499999999885</v>
      </c>
      <c r="H97" s="12">
        <v>5.1695499999999885</v>
      </c>
      <c r="I97" s="12">
        <v>5.1695499999999885</v>
      </c>
      <c r="J97" s="12">
        <v>5.1695499999999885</v>
      </c>
      <c r="K97" s="12">
        <v>5.3989899999999329</v>
      </c>
      <c r="L97" s="12">
        <v>5.3989899999999329</v>
      </c>
      <c r="M97" s="12">
        <v>22.662190000000002</v>
      </c>
      <c r="N97" s="12">
        <v>9.902400000000009</v>
      </c>
      <c r="O97" s="12">
        <v>9.902400000000009</v>
      </c>
      <c r="P97" t="s">
        <v>44</v>
      </c>
      <c r="Q97" t="s">
        <v>24</v>
      </c>
      <c r="R97" s="12"/>
      <c r="S97" s="12"/>
      <c r="T97" s="12"/>
      <c r="U97" s="327"/>
    </row>
    <row r="98" spans="1:21">
      <c r="A98" s="14" t="s">
        <v>55</v>
      </c>
      <c r="B98" s="12" t="s">
        <v>380</v>
      </c>
      <c r="C98" s="12">
        <v>-2901.6067196047434</v>
      </c>
      <c r="D98" s="12">
        <v>-2901.6067196047434</v>
      </c>
      <c r="E98" s="12">
        <v>-2901.6067196047434</v>
      </c>
      <c r="F98" s="12">
        <v>-2901.6067196047434</v>
      </c>
      <c r="G98" s="12">
        <v>-2901.6067196047434</v>
      </c>
      <c r="H98" s="12">
        <v>-1656.5705868665918</v>
      </c>
      <c r="I98" s="12">
        <v>-1656.5705868665918</v>
      </c>
      <c r="J98" s="12">
        <v>-1656.5705868665918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t="s">
        <v>100</v>
      </c>
      <c r="Q98" t="s">
        <v>24</v>
      </c>
      <c r="R98" s="12"/>
      <c r="S98" s="12"/>
      <c r="T98" s="12"/>
      <c r="U98" s="327"/>
    </row>
    <row r="99" spans="1:21">
      <c r="A99" s="14" t="s">
        <v>56</v>
      </c>
      <c r="B99" s="12" t="s">
        <v>532</v>
      </c>
      <c r="C99" s="12">
        <v>-87310.418381812095</v>
      </c>
      <c r="D99" s="12">
        <v>-87310.418381812095</v>
      </c>
      <c r="E99" s="12">
        <v>-87310.418381812095</v>
      </c>
      <c r="F99" s="12">
        <v>-87310.418381812095</v>
      </c>
      <c r="G99" s="12">
        <v>-87310.418381812095</v>
      </c>
      <c r="H99" s="12">
        <v>-93536.339217096684</v>
      </c>
      <c r="I99" s="12">
        <v>-93536.339217096684</v>
      </c>
      <c r="J99" s="12">
        <v>-93536.339217096684</v>
      </c>
      <c r="K99" s="12">
        <v>-190908.3696552389</v>
      </c>
      <c r="L99" s="12">
        <v>-190908.3696552389</v>
      </c>
      <c r="M99" s="12">
        <v>-182489.27020956861</v>
      </c>
      <c r="N99" s="12">
        <v>-232593.89170328664</v>
      </c>
      <c r="O99" s="12">
        <v>-232593.89170328664</v>
      </c>
      <c r="P99" t="s">
        <v>100</v>
      </c>
      <c r="Q99" t="s">
        <v>24</v>
      </c>
      <c r="R99" s="12"/>
      <c r="S99" s="12"/>
      <c r="T99" s="12"/>
      <c r="U99" s="327"/>
    </row>
    <row r="100" spans="1:21">
      <c r="A100" t="s">
        <v>285</v>
      </c>
      <c r="B100" s="12" t="s">
        <v>553</v>
      </c>
      <c r="C100" s="12">
        <v>115112.231</v>
      </c>
      <c r="D100" s="12">
        <v>115112.231</v>
      </c>
      <c r="E100" s="12">
        <v>115112.231</v>
      </c>
      <c r="F100" s="12">
        <v>115112.231</v>
      </c>
      <c r="G100" s="12">
        <v>128081.288</v>
      </c>
      <c r="H100" s="12">
        <v>128081.288</v>
      </c>
      <c r="I100" s="12">
        <v>128081.288</v>
      </c>
      <c r="J100" s="12">
        <v>128081.288</v>
      </c>
      <c r="K100" s="12">
        <v>144870.24400000001</v>
      </c>
      <c r="L100" s="12">
        <v>144870.24400000001</v>
      </c>
      <c r="M100" s="12">
        <v>186051.41</v>
      </c>
      <c r="N100" s="12">
        <v>220326.85200000001</v>
      </c>
      <c r="O100" s="12">
        <v>220326.85200000001</v>
      </c>
      <c r="P100" t="s">
        <v>102</v>
      </c>
      <c r="Q100" t="s">
        <v>24</v>
      </c>
      <c r="R100" s="12"/>
      <c r="S100" s="12"/>
      <c r="T100" s="12"/>
      <c r="U100" s="327"/>
    </row>
    <row r="101" spans="1:21">
      <c r="A101" t="s">
        <v>62</v>
      </c>
      <c r="B101" s="12" t="s">
        <v>553</v>
      </c>
      <c r="C101" s="12">
        <v>15145.043</v>
      </c>
      <c r="D101" s="12">
        <v>15145.043</v>
      </c>
      <c r="E101" s="12">
        <v>15145.043</v>
      </c>
      <c r="F101" s="12">
        <v>15145.043</v>
      </c>
      <c r="G101" s="12">
        <v>0</v>
      </c>
      <c r="H101" s="12">
        <v>0</v>
      </c>
      <c r="I101" s="12">
        <v>0</v>
      </c>
      <c r="J101" s="12">
        <v>0</v>
      </c>
      <c r="K101" s="12">
        <v>4191.1350000000002</v>
      </c>
      <c r="L101" s="12">
        <v>4191.1350000000002</v>
      </c>
      <c r="M101" s="12">
        <v>14728.338</v>
      </c>
      <c r="N101" s="12">
        <v>16389.363000000001</v>
      </c>
      <c r="O101" s="12">
        <v>16389.363000000001</v>
      </c>
      <c r="P101" t="s">
        <v>102</v>
      </c>
      <c r="Q101" t="s">
        <v>24</v>
      </c>
      <c r="R101" s="12"/>
      <c r="S101" s="12"/>
      <c r="T101" s="12"/>
      <c r="U101" s="327"/>
    </row>
    <row r="102" spans="1:21">
      <c r="A102" t="s">
        <v>489</v>
      </c>
      <c r="B102" s="12" t="s">
        <v>553</v>
      </c>
      <c r="C102" s="12">
        <v>84166.665600000008</v>
      </c>
      <c r="D102" s="12">
        <v>84166.665600000008</v>
      </c>
      <c r="E102" s="12">
        <v>84166.665600000008</v>
      </c>
      <c r="F102" s="12">
        <v>84166.665600000008</v>
      </c>
      <c r="G102" s="12">
        <v>77750.887799999997</v>
      </c>
      <c r="H102" s="12">
        <v>77750.887799999997</v>
      </c>
      <c r="I102" s="12">
        <v>77750.887799999997</v>
      </c>
      <c r="J102" s="12">
        <v>77750.887799999997</v>
      </c>
      <c r="K102" s="12">
        <v>80275.317999999999</v>
      </c>
      <c r="L102" s="12">
        <v>80275.317999999999</v>
      </c>
      <c r="M102" s="12">
        <v>117574.094</v>
      </c>
      <c r="N102" s="12">
        <v>56297.355000000003</v>
      </c>
      <c r="O102" s="12">
        <v>56297.355000000003</v>
      </c>
      <c r="P102" t="s">
        <v>102</v>
      </c>
      <c r="Q102" t="s">
        <v>24</v>
      </c>
      <c r="R102" s="12"/>
      <c r="S102" s="12"/>
      <c r="T102" s="12"/>
      <c r="U102" s="327"/>
    </row>
    <row r="103" spans="1:21">
      <c r="A103" t="s">
        <v>63</v>
      </c>
      <c r="B103" s="12" t="s">
        <v>553</v>
      </c>
      <c r="C103" s="12">
        <v>16280</v>
      </c>
      <c r="D103" s="12">
        <v>16280</v>
      </c>
      <c r="E103" s="12">
        <v>16280</v>
      </c>
      <c r="F103" s="12">
        <v>16280</v>
      </c>
      <c r="G103" s="12">
        <v>13024</v>
      </c>
      <c r="H103" s="12">
        <v>13024</v>
      </c>
      <c r="I103" s="12">
        <v>13024</v>
      </c>
      <c r="J103" s="12">
        <v>13024</v>
      </c>
      <c r="K103" s="12">
        <v>19157.599999999995</v>
      </c>
      <c r="L103" s="12">
        <v>19157.599999999995</v>
      </c>
      <c r="M103" s="12">
        <v>16279.999999999998</v>
      </c>
      <c r="N103" s="12">
        <v>16279.999999999998</v>
      </c>
      <c r="O103" s="12">
        <v>16279.999999999998</v>
      </c>
      <c r="P103" t="s">
        <v>102</v>
      </c>
      <c r="Q103" t="s">
        <v>24</v>
      </c>
      <c r="R103" s="12"/>
      <c r="S103" s="12"/>
      <c r="T103" s="12"/>
      <c r="U103" s="327"/>
    </row>
    <row r="104" spans="1:21">
      <c r="A104" t="s">
        <v>64</v>
      </c>
      <c r="B104" s="12" t="s">
        <v>553</v>
      </c>
      <c r="C104" s="12">
        <v>2601.8919999999998</v>
      </c>
      <c r="D104" s="12">
        <v>2601.8919999999998</v>
      </c>
      <c r="E104" s="12">
        <v>2601.8919999999998</v>
      </c>
      <c r="F104" s="12">
        <v>2601.8919999999998</v>
      </c>
      <c r="G104" s="12">
        <v>3458</v>
      </c>
      <c r="H104" s="12">
        <v>3458</v>
      </c>
      <c r="I104" s="12">
        <v>3458</v>
      </c>
      <c r="J104" s="12">
        <v>3458</v>
      </c>
      <c r="K104" s="12">
        <v>4414.4930000000004</v>
      </c>
      <c r="L104" s="12">
        <v>4414.4930000000004</v>
      </c>
      <c r="M104" s="12">
        <v>4783.058</v>
      </c>
      <c r="N104" s="12">
        <v>5102.9219999999996</v>
      </c>
      <c r="O104" s="12">
        <v>5102.9219999999996</v>
      </c>
      <c r="P104" t="s">
        <v>102</v>
      </c>
      <c r="Q104" t="s">
        <v>24</v>
      </c>
      <c r="R104" s="12"/>
      <c r="S104" s="12"/>
      <c r="T104" s="12"/>
      <c r="U104" s="327"/>
    </row>
    <row r="105" spans="1:21">
      <c r="A105" t="s">
        <v>65</v>
      </c>
      <c r="B105" s="12" t="s">
        <v>553</v>
      </c>
      <c r="C105" s="12">
        <v>0</v>
      </c>
      <c r="D105" s="12">
        <v>26759.200000000001</v>
      </c>
      <c r="E105" s="12">
        <v>26759.200000000001</v>
      </c>
      <c r="F105" s="12">
        <v>26759.200000000001</v>
      </c>
      <c r="G105" s="12">
        <v>20069.400000000001</v>
      </c>
      <c r="H105" s="12">
        <v>20069.400000000001</v>
      </c>
      <c r="I105" s="12">
        <v>20069.400000000001</v>
      </c>
      <c r="J105" s="12">
        <v>20069.400000000001</v>
      </c>
      <c r="K105" s="12">
        <v>20069.400000000001</v>
      </c>
      <c r="L105" s="12">
        <v>20069.400000000001</v>
      </c>
      <c r="M105" s="12">
        <v>20069.400000000001</v>
      </c>
      <c r="N105" s="12">
        <v>22022.400000000001</v>
      </c>
      <c r="O105" s="12">
        <v>22022.400000000001</v>
      </c>
      <c r="P105" t="s">
        <v>102</v>
      </c>
      <c r="Q105" t="s">
        <v>24</v>
      </c>
      <c r="R105" s="12"/>
      <c r="S105" s="12"/>
      <c r="T105" s="12"/>
      <c r="U105" s="327"/>
    </row>
    <row r="106" spans="1:21">
      <c r="A106" t="s">
        <v>66</v>
      </c>
      <c r="B106" s="12" t="s">
        <v>553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t="s">
        <v>102</v>
      </c>
      <c r="Q106" t="s">
        <v>24</v>
      </c>
      <c r="R106" s="12"/>
      <c r="S106" s="12"/>
      <c r="T106" s="12"/>
      <c r="U106" s="327"/>
    </row>
    <row r="107" spans="1:21">
      <c r="A107" t="s">
        <v>67</v>
      </c>
      <c r="B107" s="12" t="s">
        <v>553</v>
      </c>
      <c r="C107" s="12">
        <v>32.645000000000003</v>
      </c>
      <c r="D107" s="12">
        <v>32.645000000000003</v>
      </c>
      <c r="E107" s="12">
        <v>32.645000000000003</v>
      </c>
      <c r="F107" s="12">
        <v>32.645000000000003</v>
      </c>
      <c r="G107" s="12">
        <v>31</v>
      </c>
      <c r="H107" s="12">
        <v>31</v>
      </c>
      <c r="I107" s="12">
        <v>31</v>
      </c>
      <c r="J107" s="12">
        <v>31</v>
      </c>
      <c r="K107" s="12">
        <v>41.46</v>
      </c>
      <c r="L107" s="12">
        <v>41.46</v>
      </c>
      <c r="M107" s="12">
        <v>35.700000000000003</v>
      </c>
      <c r="N107" s="12">
        <v>32</v>
      </c>
      <c r="O107" s="12">
        <v>32</v>
      </c>
      <c r="P107" t="s">
        <v>102</v>
      </c>
      <c r="Q107" t="s">
        <v>24</v>
      </c>
      <c r="R107" s="12"/>
      <c r="S107" s="12"/>
      <c r="T107" s="12"/>
      <c r="U107" s="327"/>
    </row>
    <row r="108" spans="1:21">
      <c r="A108" t="s">
        <v>251</v>
      </c>
      <c r="B108" s="12" t="s">
        <v>553</v>
      </c>
      <c r="C108" s="12">
        <v>0</v>
      </c>
      <c r="D108" s="12">
        <v>0</v>
      </c>
      <c r="E108" s="12">
        <v>0</v>
      </c>
      <c r="F108" s="12">
        <v>0</v>
      </c>
      <c r="G108" s="12">
        <v>2079</v>
      </c>
      <c r="H108" s="12">
        <v>2079</v>
      </c>
      <c r="I108" s="12">
        <v>2079</v>
      </c>
      <c r="J108" s="12">
        <v>2079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t="s">
        <v>102</v>
      </c>
      <c r="Q108" t="s">
        <v>24</v>
      </c>
      <c r="R108" s="12"/>
      <c r="S108" s="12"/>
      <c r="T108" s="12"/>
      <c r="U108" s="327"/>
    </row>
    <row r="109" spans="1:21">
      <c r="A109" t="s">
        <v>252</v>
      </c>
      <c r="B109" s="12" t="s">
        <v>553</v>
      </c>
      <c r="C109" s="12">
        <v>0</v>
      </c>
      <c r="D109" s="12">
        <v>0</v>
      </c>
      <c r="E109" s="12">
        <v>0</v>
      </c>
      <c r="F109" s="12">
        <v>0</v>
      </c>
      <c r="G109" s="12">
        <v>1464</v>
      </c>
      <c r="H109" s="12">
        <v>1464</v>
      </c>
      <c r="I109" s="12">
        <v>1464</v>
      </c>
      <c r="J109" s="12">
        <v>1464</v>
      </c>
      <c r="K109" s="12">
        <v>1100</v>
      </c>
      <c r="L109" s="12">
        <v>1100</v>
      </c>
      <c r="M109" s="12">
        <v>0</v>
      </c>
      <c r="N109" s="12">
        <v>0</v>
      </c>
      <c r="O109" s="12">
        <v>0</v>
      </c>
      <c r="P109" t="s">
        <v>102</v>
      </c>
      <c r="Q109" t="s">
        <v>24</v>
      </c>
      <c r="R109" s="12"/>
      <c r="S109" s="12"/>
      <c r="T109" s="12"/>
      <c r="U109" s="327"/>
    </row>
    <row r="110" spans="1:21">
      <c r="A110" t="s">
        <v>327</v>
      </c>
      <c r="B110" s="12" t="s">
        <v>553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40867.582000000002</v>
      </c>
      <c r="K110" s="12">
        <v>62899.071711428565</v>
      </c>
      <c r="L110" s="12">
        <v>62899.071711428565</v>
      </c>
      <c r="M110" s="12">
        <v>18884.133900000001</v>
      </c>
      <c r="N110" s="12">
        <v>0</v>
      </c>
      <c r="O110" s="12">
        <v>0</v>
      </c>
      <c r="P110" t="s">
        <v>102</v>
      </c>
      <c r="Q110" t="s">
        <v>24</v>
      </c>
      <c r="R110" s="12"/>
      <c r="S110" s="12"/>
      <c r="T110" s="12"/>
      <c r="U110" s="327"/>
    </row>
    <row r="111" spans="1:21">
      <c r="A111" t="s">
        <v>334</v>
      </c>
      <c r="B111" s="12" t="s">
        <v>553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t="s">
        <v>102</v>
      </c>
      <c r="Q111" t="s">
        <v>24</v>
      </c>
      <c r="R111" s="12"/>
      <c r="S111" s="12"/>
      <c r="T111" s="12"/>
      <c r="U111" s="327"/>
    </row>
    <row r="112" spans="1:21">
      <c r="A112" t="s">
        <v>335</v>
      </c>
      <c r="B112" s="12" t="s">
        <v>553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2400</v>
      </c>
      <c r="L112" s="12">
        <v>2400</v>
      </c>
      <c r="M112" s="12">
        <v>3200</v>
      </c>
      <c r="N112" s="12">
        <v>0</v>
      </c>
      <c r="O112" s="12">
        <v>0</v>
      </c>
      <c r="P112" t="s">
        <v>102</v>
      </c>
      <c r="Q112" t="s">
        <v>24</v>
      </c>
      <c r="R112" s="12"/>
      <c r="S112" s="12"/>
      <c r="T112" s="12"/>
      <c r="U112" s="327"/>
    </row>
    <row r="113" spans="1:21">
      <c r="A113" t="s">
        <v>336</v>
      </c>
      <c r="B113" s="12" t="s">
        <v>553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237.21700000000001</v>
      </c>
      <c r="L113" s="12">
        <v>237.21700000000001</v>
      </c>
      <c r="M113" s="12">
        <v>192</v>
      </c>
      <c r="N113" s="12">
        <v>503</v>
      </c>
      <c r="O113" s="12">
        <v>503</v>
      </c>
      <c r="P113" t="s">
        <v>102</v>
      </c>
      <c r="Q113" t="s">
        <v>24</v>
      </c>
      <c r="R113" s="12"/>
      <c r="S113" s="12"/>
      <c r="T113" s="12"/>
      <c r="U113" s="327"/>
    </row>
    <row r="114" spans="1:21">
      <c r="A114" t="s">
        <v>328</v>
      </c>
      <c r="B114" s="12" t="s">
        <v>553</v>
      </c>
      <c r="C114" s="12">
        <v>0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5987.7629999999999</v>
      </c>
      <c r="L114" s="12">
        <v>5987.7629999999999</v>
      </c>
      <c r="M114" s="12">
        <v>0</v>
      </c>
      <c r="N114" s="12">
        <v>0</v>
      </c>
      <c r="O114" s="12">
        <v>0</v>
      </c>
      <c r="P114" t="s">
        <v>102</v>
      </c>
      <c r="Q114" t="s">
        <v>24</v>
      </c>
      <c r="R114" s="12"/>
      <c r="S114" s="12"/>
      <c r="T114" s="12"/>
      <c r="U114" s="327"/>
    </row>
    <row r="115" spans="1:21">
      <c r="A115" t="s">
        <v>377</v>
      </c>
      <c r="B115" s="12" t="s">
        <v>497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300</v>
      </c>
      <c r="N115" s="12">
        <v>0</v>
      </c>
      <c r="O115" s="12">
        <v>0</v>
      </c>
      <c r="P115" t="s">
        <v>102</v>
      </c>
      <c r="Q115" t="s">
        <v>26</v>
      </c>
      <c r="R115" s="12"/>
      <c r="S115" s="12"/>
      <c r="T115" s="12"/>
      <c r="U115" s="327"/>
    </row>
    <row r="116" spans="1:21">
      <c r="A116" t="s">
        <v>253</v>
      </c>
      <c r="B116" s="12" t="s">
        <v>553</v>
      </c>
      <c r="C116" s="12">
        <v>0</v>
      </c>
      <c r="D116" s="12">
        <v>0</v>
      </c>
      <c r="E116" s="12">
        <v>0</v>
      </c>
      <c r="F116" s="12">
        <v>0</v>
      </c>
      <c r="G116" s="12">
        <v>286.30700000000002</v>
      </c>
      <c r="H116" s="12">
        <v>286.30700000000002</v>
      </c>
      <c r="I116" s="12">
        <v>286.30700000000002</v>
      </c>
      <c r="J116" s="12">
        <v>286.30700000000002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t="s">
        <v>102</v>
      </c>
      <c r="Q116" t="s">
        <v>24</v>
      </c>
      <c r="R116" s="12"/>
      <c r="S116" s="12"/>
      <c r="T116" s="12"/>
      <c r="U116" s="327"/>
    </row>
    <row r="117" spans="1:21">
      <c r="A117" t="s">
        <v>562</v>
      </c>
      <c r="B117" s="12" t="s">
        <v>529</v>
      </c>
      <c r="C117" s="484"/>
      <c r="D117" s="484"/>
      <c r="E117" s="484"/>
      <c r="F117" s="484"/>
      <c r="G117" s="484"/>
      <c r="H117" s="484"/>
      <c r="I117" s="484"/>
      <c r="J117" s="484"/>
      <c r="K117" s="484"/>
      <c r="L117" s="484"/>
      <c r="M117" s="484"/>
      <c r="N117" s="484"/>
      <c r="O117" s="484"/>
      <c r="P117" t="s">
        <v>102</v>
      </c>
      <c r="Q117" t="s">
        <v>24</v>
      </c>
      <c r="R117" s="12"/>
      <c r="S117" s="12"/>
      <c r="T117" s="12"/>
      <c r="U117" s="327"/>
    </row>
    <row r="118" spans="1:21">
      <c r="A118" t="s">
        <v>68</v>
      </c>
      <c r="B118" s="12" t="s">
        <v>497</v>
      </c>
      <c r="C118" s="12">
        <v>9000</v>
      </c>
      <c r="D118" s="12">
        <v>9000</v>
      </c>
      <c r="E118" s="12">
        <v>9000</v>
      </c>
      <c r="F118" s="12">
        <v>9000</v>
      </c>
      <c r="G118" s="12">
        <v>2000</v>
      </c>
      <c r="H118" s="12">
        <v>2000</v>
      </c>
      <c r="I118" s="12">
        <v>2000</v>
      </c>
      <c r="J118" s="12">
        <v>2000</v>
      </c>
      <c r="K118" s="12">
        <v>34000</v>
      </c>
      <c r="L118" s="12">
        <v>34000</v>
      </c>
      <c r="M118" s="12">
        <v>79000</v>
      </c>
      <c r="N118" s="12">
        <v>39000</v>
      </c>
      <c r="O118" s="12">
        <v>39000</v>
      </c>
      <c r="P118" t="s">
        <v>102</v>
      </c>
      <c r="Q118" t="s">
        <v>26</v>
      </c>
      <c r="R118" s="12"/>
      <c r="S118" s="12"/>
      <c r="T118" s="12"/>
      <c r="U118" s="327"/>
    </row>
    <row r="119" spans="1:21">
      <c r="A119" t="s">
        <v>69</v>
      </c>
      <c r="B119" s="12" t="s">
        <v>497</v>
      </c>
      <c r="C119" s="12">
        <v>-2000</v>
      </c>
      <c r="D119" s="12">
        <v>-2000</v>
      </c>
      <c r="E119" s="12">
        <v>-2000</v>
      </c>
      <c r="F119" s="12">
        <v>-2000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-8500</v>
      </c>
      <c r="O119" s="12">
        <v>-8500</v>
      </c>
      <c r="P119" t="s">
        <v>102</v>
      </c>
      <c r="Q119" t="s">
        <v>26</v>
      </c>
      <c r="R119" s="12"/>
      <c r="S119" s="12"/>
      <c r="T119" s="12"/>
      <c r="U119" s="327"/>
    </row>
    <row r="120" spans="1:21">
      <c r="A120" t="s">
        <v>70</v>
      </c>
      <c r="B120" s="12" t="s">
        <v>497</v>
      </c>
      <c r="C120" s="12">
        <v>-13000</v>
      </c>
      <c r="D120" s="12">
        <v>-13000</v>
      </c>
      <c r="E120" s="12">
        <v>-13000</v>
      </c>
      <c r="F120" s="12">
        <v>-13000</v>
      </c>
      <c r="G120" s="12">
        <v>-33500</v>
      </c>
      <c r="H120" s="12">
        <v>-33500</v>
      </c>
      <c r="I120" s="12">
        <v>-33500</v>
      </c>
      <c r="J120" s="12">
        <v>-33500</v>
      </c>
      <c r="K120" s="12">
        <v>-45440</v>
      </c>
      <c r="L120" s="12">
        <v>-45440</v>
      </c>
      <c r="M120" s="12">
        <v>0</v>
      </c>
      <c r="N120" s="12">
        <v>-31000</v>
      </c>
      <c r="O120" s="12">
        <v>-31000</v>
      </c>
      <c r="P120" t="s">
        <v>102</v>
      </c>
      <c r="Q120" t="s">
        <v>26</v>
      </c>
      <c r="R120" s="12"/>
      <c r="S120" s="12"/>
      <c r="T120" s="12"/>
      <c r="U120" s="327"/>
    </row>
    <row r="121" spans="1:21">
      <c r="A121" t="s">
        <v>71</v>
      </c>
      <c r="B121" s="12" t="s">
        <v>497</v>
      </c>
      <c r="C121" s="12">
        <v>0</v>
      </c>
      <c r="D121" s="12">
        <v>0</v>
      </c>
      <c r="E121" s="12">
        <v>0</v>
      </c>
      <c r="F121" s="12">
        <v>0</v>
      </c>
      <c r="G121" s="12">
        <v>-928.26216999999997</v>
      </c>
      <c r="H121" s="12">
        <v>-928.26216999999997</v>
      </c>
      <c r="I121" s="12">
        <v>-928.26216999999997</v>
      </c>
      <c r="J121" s="12">
        <v>-928.26216999999997</v>
      </c>
      <c r="K121" s="12">
        <v>-10396.87976</v>
      </c>
      <c r="L121" s="12">
        <v>-10396.87976</v>
      </c>
      <c r="M121" s="12">
        <v>0</v>
      </c>
      <c r="N121" s="12">
        <v>0</v>
      </c>
      <c r="O121" s="12">
        <v>0</v>
      </c>
      <c r="P121" t="s">
        <v>102</v>
      </c>
      <c r="Q121" t="s">
        <v>26</v>
      </c>
      <c r="R121" s="12"/>
      <c r="S121" s="12"/>
      <c r="T121" s="12"/>
      <c r="U121" s="327"/>
    </row>
    <row r="122" spans="1:21">
      <c r="A122" t="s">
        <v>72</v>
      </c>
      <c r="B122" s="12" t="s">
        <v>497</v>
      </c>
      <c r="C122" s="12">
        <v>221</v>
      </c>
      <c r="D122" s="12">
        <v>221</v>
      </c>
      <c r="E122" s="12">
        <v>221</v>
      </c>
      <c r="F122" s="12">
        <v>221</v>
      </c>
      <c r="G122" s="12">
        <v>1203</v>
      </c>
      <c r="H122" s="12">
        <v>1203</v>
      </c>
      <c r="I122" s="12">
        <v>1203</v>
      </c>
      <c r="J122" s="12">
        <v>1203</v>
      </c>
      <c r="K122" s="12">
        <v>514.08761000000038</v>
      </c>
      <c r="L122" s="12">
        <v>514.08761000000038</v>
      </c>
      <c r="M122" s="12">
        <v>0</v>
      </c>
      <c r="N122" s="12">
        <v>0</v>
      </c>
      <c r="O122" s="12">
        <v>0</v>
      </c>
      <c r="P122" t="s">
        <v>102</v>
      </c>
      <c r="Q122" t="s">
        <v>26</v>
      </c>
      <c r="R122" s="12"/>
      <c r="S122" s="12"/>
      <c r="T122" s="12"/>
      <c r="U122" s="327"/>
    </row>
    <row r="123" spans="1:21">
      <c r="A123" t="s">
        <v>73</v>
      </c>
      <c r="B123" s="12" t="s">
        <v>497</v>
      </c>
      <c r="C123" s="12">
        <v>223</v>
      </c>
      <c r="D123" s="12">
        <v>223</v>
      </c>
      <c r="E123" s="12">
        <v>223</v>
      </c>
      <c r="F123" s="12">
        <v>223</v>
      </c>
      <c r="G123" s="12">
        <v>671</v>
      </c>
      <c r="H123" s="12">
        <v>671</v>
      </c>
      <c r="I123" s="12">
        <v>671</v>
      </c>
      <c r="J123" s="12">
        <v>671</v>
      </c>
      <c r="K123" s="12">
        <v>1300</v>
      </c>
      <c r="L123" s="12">
        <v>1300</v>
      </c>
      <c r="M123" s="12">
        <v>1000</v>
      </c>
      <c r="N123" s="12">
        <v>0</v>
      </c>
      <c r="O123" s="12">
        <v>0</v>
      </c>
      <c r="P123" t="s">
        <v>102</v>
      </c>
      <c r="Q123" t="s">
        <v>26</v>
      </c>
      <c r="R123" s="12"/>
      <c r="S123" s="12"/>
      <c r="T123" s="12"/>
      <c r="U123" s="327"/>
    </row>
    <row r="124" spans="1:21">
      <c r="A124" t="s">
        <v>74</v>
      </c>
      <c r="B124" s="12" t="s">
        <v>497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30.905999999999999</v>
      </c>
      <c r="L124" s="12">
        <v>30.905999999999999</v>
      </c>
      <c r="M124" s="12">
        <v>0</v>
      </c>
      <c r="N124" s="12">
        <v>0</v>
      </c>
      <c r="O124" s="12">
        <v>0</v>
      </c>
      <c r="P124" t="s">
        <v>102</v>
      </c>
      <c r="Q124" t="s">
        <v>26</v>
      </c>
      <c r="R124" s="12"/>
      <c r="S124" s="12"/>
      <c r="T124" s="12"/>
      <c r="U124" s="327"/>
    </row>
    <row r="125" spans="1:21">
      <c r="A125" t="s">
        <v>75</v>
      </c>
      <c r="B125" s="12" t="s">
        <v>497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t="s">
        <v>102</v>
      </c>
      <c r="Q125" t="s">
        <v>26</v>
      </c>
      <c r="R125" s="12"/>
      <c r="S125" s="12"/>
      <c r="T125" s="12"/>
      <c r="U125" s="327"/>
    </row>
    <row r="126" spans="1:21">
      <c r="A126" t="s">
        <v>76</v>
      </c>
      <c r="B126" s="12" t="s">
        <v>554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-9942.5857699999997</v>
      </c>
      <c r="O126" s="12">
        <v>-9942.5857699999997</v>
      </c>
      <c r="P126" t="s">
        <v>102</v>
      </c>
      <c r="Q126" t="s">
        <v>26</v>
      </c>
      <c r="R126" s="12"/>
      <c r="S126" s="12"/>
      <c r="T126" s="12"/>
      <c r="U126" s="327"/>
    </row>
    <row r="127" spans="1:21">
      <c r="A127" t="s">
        <v>77</v>
      </c>
      <c r="B127" s="12" t="s">
        <v>497</v>
      </c>
      <c r="C127" s="12">
        <v>14</v>
      </c>
      <c r="D127" s="12">
        <v>14</v>
      </c>
      <c r="E127" s="12">
        <v>14</v>
      </c>
      <c r="F127" s="12">
        <v>14</v>
      </c>
      <c r="G127" s="12">
        <v>22</v>
      </c>
      <c r="H127" s="12">
        <v>22</v>
      </c>
      <c r="I127" s="12">
        <v>22</v>
      </c>
      <c r="J127" s="12">
        <v>22</v>
      </c>
      <c r="K127" s="12">
        <v>12</v>
      </c>
      <c r="L127" s="12">
        <v>12</v>
      </c>
      <c r="M127" s="12">
        <v>11</v>
      </c>
      <c r="N127" s="12">
        <v>31</v>
      </c>
      <c r="O127" s="12">
        <v>31</v>
      </c>
      <c r="P127" t="s">
        <v>102</v>
      </c>
      <c r="Q127" t="s">
        <v>26</v>
      </c>
      <c r="R127" s="12"/>
      <c r="S127" s="12"/>
      <c r="T127" s="12"/>
      <c r="U127" s="327"/>
    </row>
    <row r="128" spans="1:21">
      <c r="A128" s="252" t="s">
        <v>254</v>
      </c>
      <c r="B128" s="12" t="s">
        <v>497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-411.07335</v>
      </c>
      <c r="O128" s="12">
        <v>-411.07335</v>
      </c>
      <c r="P128" t="s">
        <v>102</v>
      </c>
      <c r="Q128" t="s">
        <v>26</v>
      </c>
      <c r="R128" s="12"/>
      <c r="S128" s="12"/>
      <c r="T128" s="12"/>
      <c r="U128" s="327"/>
    </row>
    <row r="129" spans="1:21">
      <c r="A129" s="252" t="s">
        <v>255</v>
      </c>
      <c r="B129" s="12" t="s">
        <v>497</v>
      </c>
      <c r="C129" s="12">
        <v>0</v>
      </c>
      <c r="D129" s="12">
        <v>0</v>
      </c>
      <c r="E129" s="12">
        <v>0</v>
      </c>
      <c r="F129" s="12">
        <v>0</v>
      </c>
      <c r="G129" s="12">
        <v>1430</v>
      </c>
      <c r="H129" s="12">
        <v>1430</v>
      </c>
      <c r="I129" s="12">
        <v>1430</v>
      </c>
      <c r="J129" s="12">
        <v>1430</v>
      </c>
      <c r="K129" s="12">
        <v>320</v>
      </c>
      <c r="L129" s="12">
        <v>320</v>
      </c>
      <c r="M129" s="12">
        <v>-985.40700000000004</v>
      </c>
      <c r="N129" s="12">
        <v>0</v>
      </c>
      <c r="O129" s="12">
        <v>0</v>
      </c>
      <c r="P129" t="s">
        <v>102</v>
      </c>
      <c r="Q129" t="s">
        <v>26</v>
      </c>
      <c r="R129" s="12"/>
      <c r="S129" s="12"/>
      <c r="T129" s="12"/>
      <c r="U129" s="327"/>
    </row>
    <row r="130" spans="1:21">
      <c r="A130" s="252" t="s">
        <v>256</v>
      </c>
      <c r="B130" s="12" t="s">
        <v>497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t="s">
        <v>102</v>
      </c>
      <c r="Q130" t="s">
        <v>26</v>
      </c>
      <c r="R130" s="12"/>
      <c r="S130" s="12"/>
      <c r="T130" s="12"/>
      <c r="U130" s="327"/>
    </row>
    <row r="131" spans="1:21">
      <c r="A131" s="252" t="s">
        <v>340</v>
      </c>
      <c r="B131" s="12" t="s">
        <v>497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3200</v>
      </c>
      <c r="L131" s="12">
        <v>3200</v>
      </c>
      <c r="M131" s="12">
        <v>6700</v>
      </c>
      <c r="N131" s="12">
        <v>8100</v>
      </c>
      <c r="O131" s="12">
        <v>8100</v>
      </c>
      <c r="P131" t="s">
        <v>102</v>
      </c>
      <c r="Q131" t="s">
        <v>26</v>
      </c>
      <c r="R131" s="12"/>
      <c r="S131" s="12"/>
      <c r="T131" s="12"/>
      <c r="U131" s="327"/>
    </row>
    <row r="132" spans="1:21">
      <c r="A132" s="252" t="s">
        <v>341</v>
      </c>
      <c r="B132" s="12" t="s">
        <v>497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600</v>
      </c>
      <c r="N132" s="12">
        <v>-300</v>
      </c>
      <c r="O132" s="12">
        <v>-300</v>
      </c>
      <c r="P132" t="s">
        <v>102</v>
      </c>
      <c r="Q132" t="s">
        <v>26</v>
      </c>
      <c r="R132" s="12"/>
      <c r="S132" s="12"/>
      <c r="T132" s="12"/>
      <c r="U132" s="327"/>
    </row>
    <row r="133" spans="1:21">
      <c r="A133" s="252" t="s">
        <v>342</v>
      </c>
      <c r="B133" s="12" t="s">
        <v>497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2900</v>
      </c>
      <c r="O133" s="12">
        <v>2900</v>
      </c>
      <c r="P133" t="s">
        <v>102</v>
      </c>
      <c r="Q133" t="s">
        <v>26</v>
      </c>
      <c r="R133" s="12"/>
      <c r="S133" s="12"/>
      <c r="T133" s="12"/>
      <c r="U133" s="327"/>
    </row>
    <row r="134" spans="1:21">
      <c r="A134" s="252" t="s">
        <v>343</v>
      </c>
      <c r="B134" s="12" t="s">
        <v>497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340</v>
      </c>
      <c r="L134" s="12">
        <v>340</v>
      </c>
      <c r="M134" s="12">
        <v>140</v>
      </c>
      <c r="N134" s="12">
        <v>430</v>
      </c>
      <c r="O134" s="12">
        <v>430</v>
      </c>
      <c r="P134" t="s">
        <v>102</v>
      </c>
      <c r="Q134" t="s">
        <v>26</v>
      </c>
      <c r="R134" s="12"/>
      <c r="S134" s="12"/>
      <c r="T134" s="12"/>
      <c r="U134" s="327"/>
    </row>
    <row r="135" spans="1:21">
      <c r="A135" t="s">
        <v>214</v>
      </c>
      <c r="B135" s="12" t="s">
        <v>497</v>
      </c>
      <c r="C135" s="12">
        <v>21354.984</v>
      </c>
      <c r="D135" s="12">
        <v>21354.984</v>
      </c>
      <c r="E135" s="12">
        <v>21354.984</v>
      </c>
      <c r="F135" s="12">
        <v>21354.984</v>
      </c>
      <c r="G135" s="12">
        <v>2170.9180000000001</v>
      </c>
      <c r="H135" s="12">
        <v>2170.9180000000001</v>
      </c>
      <c r="I135" s="12">
        <v>2170.9180000000001</v>
      </c>
      <c r="J135" s="12">
        <v>2170.9180000000001</v>
      </c>
      <c r="K135" s="12">
        <v>9362.7150000000001</v>
      </c>
      <c r="L135" s="12">
        <v>9362.7150000000001</v>
      </c>
      <c r="M135" s="12">
        <v>18725.337</v>
      </c>
      <c r="N135" s="12">
        <v>-37450.673999999999</v>
      </c>
      <c r="O135" s="12">
        <v>-37450.673999999999</v>
      </c>
      <c r="P135" t="s">
        <v>102</v>
      </c>
      <c r="Q135" t="s">
        <v>26</v>
      </c>
      <c r="R135" s="12"/>
      <c r="S135" s="12"/>
      <c r="T135" s="12"/>
      <c r="U135" s="327"/>
    </row>
    <row r="136" spans="1:21">
      <c r="A136" t="s">
        <v>78</v>
      </c>
      <c r="B136" s="12" t="s">
        <v>498</v>
      </c>
      <c r="C136" s="12">
        <v>60000</v>
      </c>
      <c r="D136" s="12">
        <v>60000</v>
      </c>
      <c r="E136" s="12">
        <v>60000</v>
      </c>
      <c r="F136" s="12">
        <v>60000</v>
      </c>
      <c r="G136" s="12">
        <v>80000</v>
      </c>
      <c r="H136" s="12">
        <v>80000</v>
      </c>
      <c r="I136" s="12">
        <v>80000</v>
      </c>
      <c r="J136" s="12">
        <v>80000</v>
      </c>
      <c r="K136" s="12">
        <v>80000</v>
      </c>
      <c r="L136" s="12">
        <v>80000</v>
      </c>
      <c r="M136" s="12">
        <v>1000</v>
      </c>
      <c r="N136" s="12">
        <v>9000</v>
      </c>
      <c r="O136" s="12">
        <v>9000</v>
      </c>
      <c r="P136" t="s">
        <v>79</v>
      </c>
      <c r="Q136" t="s">
        <v>26</v>
      </c>
      <c r="R136" s="12"/>
      <c r="S136" s="12"/>
      <c r="T136" s="12"/>
      <c r="U136" s="327"/>
    </row>
    <row r="137" spans="1:21">
      <c r="A137" t="s">
        <v>376</v>
      </c>
      <c r="B137" s="12" t="s">
        <v>494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67.437064499999991</v>
      </c>
      <c r="N137" s="12">
        <v>376.61006789999999</v>
      </c>
      <c r="O137" s="12">
        <v>376.61006789999999</v>
      </c>
      <c r="P137" t="s">
        <v>5</v>
      </c>
      <c r="Q137" t="s">
        <v>26</v>
      </c>
      <c r="R137" s="12"/>
      <c r="S137" s="12"/>
      <c r="T137" s="12"/>
      <c r="U137" s="327"/>
    </row>
    <row r="138" spans="1:21">
      <c r="A138" t="s">
        <v>373</v>
      </c>
      <c r="B138" s="12" t="s">
        <v>555</v>
      </c>
      <c r="C138" s="12">
        <v>0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336</v>
      </c>
      <c r="N138" s="12">
        <v>379.5</v>
      </c>
      <c r="O138" s="12">
        <v>379.5</v>
      </c>
      <c r="P138" t="s">
        <v>102</v>
      </c>
      <c r="Q138" t="s">
        <v>24</v>
      </c>
      <c r="R138" s="12"/>
      <c r="S138" s="12"/>
      <c r="T138" s="12"/>
      <c r="U138" s="327"/>
    </row>
    <row r="139" spans="1:21">
      <c r="A139" t="s">
        <v>374</v>
      </c>
      <c r="B139" s="12" t="s">
        <v>555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295.5</v>
      </c>
      <c r="N139" s="12">
        <v>325.5</v>
      </c>
      <c r="O139" s="12">
        <v>325.5</v>
      </c>
      <c r="P139" t="s">
        <v>102</v>
      </c>
      <c r="Q139" t="s">
        <v>24</v>
      </c>
      <c r="R139" s="12"/>
      <c r="S139" s="12"/>
      <c r="T139" s="12"/>
      <c r="U139" s="327"/>
    </row>
    <row r="140" spans="1:21">
      <c r="A140" t="s">
        <v>429</v>
      </c>
      <c r="B140" s="12" t="s">
        <v>497</v>
      </c>
      <c r="C140" s="12">
        <v>0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400</v>
      </c>
      <c r="O140" s="12">
        <v>400</v>
      </c>
      <c r="P140" t="s">
        <v>102</v>
      </c>
      <c r="Q140" t="s">
        <v>26</v>
      </c>
      <c r="R140" s="12"/>
      <c r="S140" s="12"/>
      <c r="T140" s="12"/>
      <c r="U140" s="327"/>
    </row>
    <row r="141" spans="1:21">
      <c r="A141" t="s">
        <v>430</v>
      </c>
      <c r="B141" s="12" t="s">
        <v>497</v>
      </c>
      <c r="C141" s="12">
        <v>0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300</v>
      </c>
      <c r="O141" s="12">
        <v>300</v>
      </c>
      <c r="P141" t="s">
        <v>102</v>
      </c>
      <c r="Q141" t="s">
        <v>26</v>
      </c>
      <c r="R141" s="12"/>
      <c r="S141" s="12"/>
      <c r="T141" s="12"/>
      <c r="U141" s="327"/>
    </row>
    <row r="142" spans="1:21">
      <c r="A142" t="s">
        <v>431</v>
      </c>
      <c r="B142" s="12" t="s">
        <v>497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t="s">
        <v>102</v>
      </c>
      <c r="Q142" t="s">
        <v>26</v>
      </c>
      <c r="R142" s="12"/>
      <c r="S142" s="12"/>
      <c r="T142" s="12"/>
      <c r="U142" s="327"/>
    </row>
    <row r="143" spans="1:21">
      <c r="A143" t="s">
        <v>434</v>
      </c>
      <c r="B143" s="12" t="s">
        <v>494</v>
      </c>
      <c r="C143" s="12">
        <v>0</v>
      </c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248.998392</v>
      </c>
      <c r="O143" s="12">
        <v>248.998392</v>
      </c>
      <c r="P143" t="s">
        <v>102</v>
      </c>
      <c r="Q143" t="s">
        <v>26</v>
      </c>
      <c r="R143" s="12"/>
      <c r="S143" s="12"/>
      <c r="T143" s="12"/>
      <c r="U143" s="327"/>
    </row>
    <row r="144" spans="1:21">
      <c r="A144" t="s">
        <v>435</v>
      </c>
      <c r="B144" s="12" t="s">
        <v>494</v>
      </c>
      <c r="C144" s="12">
        <v>0</v>
      </c>
      <c r="D144" s="12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7.2624531000000001</v>
      </c>
      <c r="O144" s="12">
        <v>7.2624531000000001</v>
      </c>
      <c r="P144" t="s">
        <v>102</v>
      </c>
      <c r="Q144" t="s">
        <v>26</v>
      </c>
      <c r="R144" s="12"/>
      <c r="S144" s="12"/>
      <c r="T144" s="12"/>
      <c r="U144" s="327"/>
    </row>
    <row r="145" spans="1:21">
      <c r="A145" t="s">
        <v>436</v>
      </c>
      <c r="B145" s="12" t="s">
        <v>494</v>
      </c>
      <c r="C145" s="12">
        <v>0</v>
      </c>
      <c r="D145" s="12">
        <v>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43.574718599999997</v>
      </c>
      <c r="O145" s="12">
        <v>43.574718599999997</v>
      </c>
      <c r="P145" t="s">
        <v>102</v>
      </c>
      <c r="Q145" t="s">
        <v>26</v>
      </c>
      <c r="R145" s="12"/>
      <c r="S145" s="12"/>
      <c r="T145" s="12"/>
      <c r="U145" s="327"/>
    </row>
    <row r="146" spans="1:21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R146" s="12"/>
      <c r="S146" s="15"/>
      <c r="T146" s="12"/>
      <c r="U146" s="327"/>
    </row>
    <row r="147" spans="1:21">
      <c r="A147" s="13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R147" s="12"/>
      <c r="S147" s="15"/>
      <c r="T147" s="12"/>
      <c r="U147" s="327"/>
    </row>
    <row r="148" spans="1:21">
      <c r="A148" s="13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R148" s="12"/>
      <c r="S148" s="15"/>
      <c r="T148" s="12"/>
      <c r="U148" s="327"/>
    </row>
    <row r="149" spans="1:21">
      <c r="A149" s="18" t="s">
        <v>8</v>
      </c>
      <c r="B149" s="21"/>
      <c r="C149" s="21">
        <f t="shared" ref="C149:O149" si="1">SUM(C62:C148)</f>
        <v>314867.0308045494</v>
      </c>
      <c r="D149" s="21">
        <f t="shared" si="1"/>
        <v>342629.52151790942</v>
      </c>
      <c r="E149" s="21">
        <f t="shared" si="1"/>
        <v>342629.52151790942</v>
      </c>
      <c r="F149" s="21">
        <f t="shared" si="1"/>
        <v>342629.52151790942</v>
      </c>
      <c r="G149" s="21">
        <f t="shared" si="1"/>
        <v>341755.14510374423</v>
      </c>
      <c r="H149" s="21">
        <f t="shared" si="1"/>
        <v>336767.3955279417</v>
      </c>
      <c r="I149" s="21">
        <f t="shared" si="1"/>
        <v>336767.3955279417</v>
      </c>
      <c r="J149" s="21">
        <f t="shared" si="1"/>
        <v>388319.13189294533</v>
      </c>
      <c r="K149" s="21">
        <f t="shared" si="1"/>
        <v>405959.15260720375</v>
      </c>
      <c r="L149" s="21">
        <f t="shared" si="1"/>
        <v>405959.15260720375</v>
      </c>
      <c r="M149" s="21">
        <f t="shared" si="1"/>
        <v>539385.07509551116</v>
      </c>
      <c r="N149" s="21">
        <f t="shared" si="1"/>
        <v>394317.98355566274</v>
      </c>
      <c r="O149" s="21">
        <f t="shared" si="1"/>
        <v>394700.8783472536</v>
      </c>
      <c r="R149" s="12"/>
      <c r="S149" s="21"/>
      <c r="T149" s="12"/>
      <c r="U149" s="327"/>
    </row>
    <row r="150" spans="1:21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R150" s="12"/>
      <c r="S150" s="15"/>
      <c r="T150" s="12"/>
      <c r="U150" s="327"/>
    </row>
    <row r="151" spans="1:21">
      <c r="A151" s="18" t="s">
        <v>9</v>
      </c>
      <c r="R151" s="12"/>
      <c r="T151" s="12"/>
      <c r="U151" s="327"/>
    </row>
    <row r="152" spans="1:21">
      <c r="A152" t="s">
        <v>84</v>
      </c>
      <c r="B152" s="15" t="s">
        <v>556</v>
      </c>
      <c r="C152" s="15">
        <v>868299.98992230475</v>
      </c>
      <c r="D152" s="15">
        <v>868299.98992230475</v>
      </c>
      <c r="E152" s="15">
        <v>868299.98992230475</v>
      </c>
      <c r="F152" s="15">
        <v>868299.98992230475</v>
      </c>
      <c r="G152" s="15">
        <v>1035770.6823141619</v>
      </c>
      <c r="H152" s="15">
        <v>1035770.6823141619</v>
      </c>
      <c r="I152" s="15">
        <v>1035770.6823141619</v>
      </c>
      <c r="J152" s="15">
        <v>1035770.6823141619</v>
      </c>
      <c r="K152" s="15">
        <v>1074297.3462269725</v>
      </c>
      <c r="L152" s="15">
        <v>1074297.3462269725</v>
      </c>
      <c r="M152" s="15">
        <v>1193257.0559192772</v>
      </c>
      <c r="N152" s="15">
        <v>1015801.8622927812</v>
      </c>
      <c r="O152" s="15">
        <v>1015801.8622927812</v>
      </c>
      <c r="P152" t="s">
        <v>10</v>
      </c>
      <c r="Q152" t="s">
        <v>24</v>
      </c>
      <c r="R152" s="12"/>
      <c r="S152" s="15"/>
      <c r="T152" s="12"/>
      <c r="U152" s="327"/>
    </row>
    <row r="153" spans="1:21">
      <c r="A153" t="s">
        <v>85</v>
      </c>
      <c r="B153" s="12" t="s">
        <v>557</v>
      </c>
      <c r="C153" s="12">
        <v>-290446.64441818016</v>
      </c>
      <c r="D153" s="12">
        <v>-290446.64441818016</v>
      </c>
      <c r="E153" s="12">
        <v>-290446.64441818016</v>
      </c>
      <c r="F153" s="12">
        <v>-290446.64441818016</v>
      </c>
      <c r="G153" s="12">
        <v>-277683.71417458501</v>
      </c>
      <c r="H153" s="12">
        <v>-277683.71417458501</v>
      </c>
      <c r="I153" s="12">
        <v>-277683.71417458501</v>
      </c>
      <c r="J153" s="12">
        <v>-277683.71417458501</v>
      </c>
      <c r="K153" s="12">
        <v>-278898.97072907857</v>
      </c>
      <c r="L153" s="12">
        <v>-278898.97072907857</v>
      </c>
      <c r="M153" s="12">
        <v>-290681.11501687701</v>
      </c>
      <c r="N153" s="12">
        <v>-281192.87689030415</v>
      </c>
      <c r="O153" s="12">
        <v>-281192.87689030415</v>
      </c>
      <c r="P153" t="s">
        <v>10</v>
      </c>
      <c r="Q153" t="s">
        <v>26</v>
      </c>
      <c r="R153" s="12"/>
      <c r="S153" s="12"/>
      <c r="T153" s="12"/>
      <c r="U153" s="327"/>
    </row>
    <row r="154" spans="1:21">
      <c r="A154" t="s">
        <v>86</v>
      </c>
      <c r="B154" s="12" t="s">
        <v>558</v>
      </c>
      <c r="C154" s="12">
        <v>-19395.786457506467</v>
      </c>
      <c r="D154" s="12">
        <v>-19395.786457506467</v>
      </c>
      <c r="E154" s="12">
        <v>-19395.786457506467</v>
      </c>
      <c r="F154" s="12">
        <v>-19395.786457506467</v>
      </c>
      <c r="G154" s="12">
        <v>-21666.547322748575</v>
      </c>
      <c r="H154" s="12">
        <v>-21666.547322748575</v>
      </c>
      <c r="I154" s="12">
        <v>-21666.547322748575</v>
      </c>
      <c r="J154" s="12">
        <v>-21666.547322748575</v>
      </c>
      <c r="K154" s="12">
        <v>-22726.988940683394</v>
      </c>
      <c r="L154" s="12">
        <v>-22726.988940683394</v>
      </c>
      <c r="M154" s="12">
        <v>-42946.287503795225</v>
      </c>
      <c r="N154" s="12">
        <v>-49504.512347211225</v>
      </c>
      <c r="O154" s="12">
        <v>-49504.512347211225</v>
      </c>
      <c r="P154" t="s">
        <v>10</v>
      </c>
      <c r="Q154" t="s">
        <v>26</v>
      </c>
      <c r="R154" s="12"/>
      <c r="S154" s="12"/>
      <c r="T154" s="12"/>
      <c r="U154" s="327"/>
    </row>
    <row r="155" spans="1:21">
      <c r="A155" t="s">
        <v>87</v>
      </c>
      <c r="B155" s="12" t="s">
        <v>559</v>
      </c>
      <c r="C155" s="12">
        <v>631.66948234935251</v>
      </c>
      <c r="D155" s="12">
        <v>631.66948234935251</v>
      </c>
      <c r="E155" s="12">
        <v>631.66948234935251</v>
      </c>
      <c r="F155" s="12">
        <v>631.66948234935251</v>
      </c>
      <c r="G155" s="12">
        <v>-245.06877306482485</v>
      </c>
      <c r="H155" s="12">
        <v>-245.06877306482485</v>
      </c>
      <c r="I155" s="12">
        <v>-245.06877306482485</v>
      </c>
      <c r="J155" s="12">
        <v>-245.06877306482485</v>
      </c>
      <c r="K155" s="12">
        <v>151.21123428324981</v>
      </c>
      <c r="L155" s="12">
        <v>151.21123428324981</v>
      </c>
      <c r="M155" s="12">
        <v>557.06449752135018</v>
      </c>
      <c r="N155" s="12">
        <v>141.01499621368913</v>
      </c>
      <c r="O155" s="12">
        <v>141.01499621368913</v>
      </c>
      <c r="P155" t="s">
        <v>88</v>
      </c>
      <c r="Q155" t="s">
        <v>26</v>
      </c>
      <c r="R155" s="12"/>
      <c r="S155" s="12"/>
      <c r="T155" s="12"/>
      <c r="U155" s="327"/>
    </row>
    <row r="156" spans="1:21"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R156" s="12"/>
      <c r="S156" s="12"/>
    </row>
    <row r="157" spans="1:21"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R157" s="12"/>
      <c r="S157" s="15"/>
    </row>
    <row r="158" spans="1:21">
      <c r="A158" s="18" t="s">
        <v>11</v>
      </c>
      <c r="C158" s="21">
        <f t="shared" ref="C158:K158" si="2">SUM(C152:C157)</f>
        <v>559089.22852896748</v>
      </c>
      <c r="D158" s="21">
        <f t="shared" si="2"/>
        <v>559089.22852896748</v>
      </c>
      <c r="E158" s="21">
        <f t="shared" si="2"/>
        <v>559089.22852896748</v>
      </c>
      <c r="F158" s="21">
        <f t="shared" si="2"/>
        <v>559089.22852896748</v>
      </c>
      <c r="G158" s="21">
        <f t="shared" si="2"/>
        <v>736175.3520437635</v>
      </c>
      <c r="H158" s="21">
        <f t="shared" si="2"/>
        <v>736175.3520437635</v>
      </c>
      <c r="I158" s="21">
        <f t="shared" si="2"/>
        <v>736175.3520437635</v>
      </c>
      <c r="J158" s="21">
        <f t="shared" si="2"/>
        <v>736175.3520437635</v>
      </c>
      <c r="K158" s="21">
        <f t="shared" si="2"/>
        <v>772822.59779149375</v>
      </c>
      <c r="L158" s="21">
        <f>SUM(L152:L157)</f>
        <v>772822.59779149375</v>
      </c>
      <c r="M158" s="21">
        <f>SUM(M152:M157)</f>
        <v>860186.71789612644</v>
      </c>
      <c r="N158" s="21">
        <f>SUM(N152:N157)</f>
        <v>685245.48805147957</v>
      </c>
      <c r="O158" s="21">
        <f>SUM(O152:O157)</f>
        <v>685245.48805147957</v>
      </c>
      <c r="R158" s="12"/>
      <c r="S158" s="21"/>
    </row>
    <row r="159" spans="1:21">
      <c r="R159" s="12"/>
    </row>
    <row r="160" spans="1:21" ht="15.75" thickBot="1">
      <c r="A160" s="18" t="s">
        <v>12</v>
      </c>
      <c r="C160" s="196">
        <f t="shared" ref="C160:O160" si="3">C59+C149+C158</f>
        <v>4285637.5173024256</v>
      </c>
      <c r="D160" s="196">
        <f t="shared" si="3"/>
        <v>4127167.3094766168</v>
      </c>
      <c r="E160" s="196">
        <f t="shared" si="3"/>
        <v>4127167.3094766168</v>
      </c>
      <c r="F160" s="196">
        <f t="shared" si="3"/>
        <v>4127167.3094766163</v>
      </c>
      <c r="G160" s="196">
        <f t="shared" si="3"/>
        <v>4546481.7688900335</v>
      </c>
      <c r="H160" s="196">
        <f t="shared" si="3"/>
        <v>4283254.9302819949</v>
      </c>
      <c r="I160" s="196">
        <f t="shared" si="3"/>
        <v>4283254.9302819949</v>
      </c>
      <c r="J160" s="196">
        <f t="shared" si="3"/>
        <v>4334806.6666469984</v>
      </c>
      <c r="K160" s="196">
        <f t="shared" si="3"/>
        <v>4326044.1501903608</v>
      </c>
      <c r="L160" s="196">
        <f t="shared" si="3"/>
        <v>4271646.8937463034</v>
      </c>
      <c r="M160" s="196">
        <f t="shared" si="3"/>
        <v>4376473.9442439079</v>
      </c>
      <c r="N160" s="196">
        <f t="shared" si="3"/>
        <v>3899765.0996399405</v>
      </c>
      <c r="O160" s="196">
        <f t="shared" si="3"/>
        <v>4192794.6521918182</v>
      </c>
      <c r="P160" s="21"/>
      <c r="S160" s="21"/>
    </row>
    <row r="161" spans="1:19" ht="15.75" thickTop="1"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24"/>
      <c r="S161" s="15"/>
    </row>
    <row r="162" spans="1:19">
      <c r="L162" s="25"/>
      <c r="M162" s="25"/>
      <c r="N162" s="15"/>
      <c r="O162" s="15"/>
      <c r="S162" s="25"/>
    </row>
    <row r="163" spans="1:19">
      <c r="G163" s="15"/>
      <c r="H163" s="15"/>
      <c r="I163" s="15"/>
      <c r="J163" s="15"/>
      <c r="K163" s="15"/>
      <c r="L163" s="15"/>
      <c r="M163" s="15"/>
      <c r="N163" s="15"/>
      <c r="O163" s="15"/>
      <c r="S163" s="15"/>
    </row>
    <row r="164" spans="1:19">
      <c r="A164" t="s">
        <v>13</v>
      </c>
      <c r="G164" s="253"/>
      <c r="H164" s="15"/>
      <c r="I164" s="15"/>
      <c r="J164" s="15"/>
      <c r="K164" s="15"/>
      <c r="L164" s="15"/>
      <c r="M164" s="15"/>
      <c r="N164" s="15"/>
      <c r="O164" s="15"/>
      <c r="S164" s="15"/>
    </row>
    <row r="165" spans="1:19">
      <c r="A165" t="s">
        <v>563</v>
      </c>
      <c r="G165" s="13"/>
      <c r="H165" s="13"/>
      <c r="I165" s="13"/>
      <c r="J165" s="13"/>
      <c r="K165" s="13"/>
      <c r="L165" s="13"/>
      <c r="M165" s="13"/>
      <c r="N165" s="13"/>
      <c r="O165" s="13"/>
      <c r="S165" s="13"/>
    </row>
    <row r="166" spans="1:19">
      <c r="A166" t="s">
        <v>564</v>
      </c>
    </row>
  </sheetData>
  <autoFilter ref="A7:Q155" xr:uid="{58C69D28-87E3-445F-89CF-C3F304F54B9A}"/>
  <sortState xmlns:xlrd2="http://schemas.microsoft.com/office/spreadsheetml/2017/richdata2" ref="A63:P149">
    <sortCondition ref="P62"/>
  </sortState>
  <pageMargins left="0.7" right="0.7" top="0.75" bottom="0.75" header="0.3" footer="0.3"/>
  <pageSetup paperSize="5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86F18-8C03-46B1-A3A4-34B73037874F}">
  <sheetPr codeName="Sheet7"/>
  <dimension ref="A1:S189"/>
  <sheetViews>
    <sheetView zoomScale="90" zoomScaleNormal="90" workbookViewId="0">
      <selection activeCell="L99" sqref="L99"/>
    </sheetView>
  </sheetViews>
  <sheetFormatPr defaultColWidth="8.85546875" defaultRowHeight="15"/>
  <cols>
    <col min="1" max="1" width="58.140625" customWidth="1"/>
    <col min="2" max="2" width="18.7109375" customWidth="1"/>
    <col min="3" max="3" width="30" customWidth="1"/>
    <col min="4" max="4" width="14.85546875" bestFit="1" customWidth="1"/>
    <col min="5" max="5" width="23" bestFit="1" customWidth="1"/>
    <col min="6" max="6" width="13.140625" customWidth="1"/>
    <col min="7" max="7" width="15.85546875" bestFit="1" customWidth="1"/>
    <col min="8" max="8" width="15.42578125" bestFit="1" customWidth="1"/>
    <col min="9" max="9" width="14.42578125" bestFit="1" customWidth="1"/>
    <col min="10" max="10" width="14.42578125" customWidth="1"/>
    <col min="11" max="11" width="23.42578125" style="12" customWidth="1"/>
    <col min="12" max="12" width="18.28515625" style="12" customWidth="1"/>
    <col min="13" max="13" width="36.140625" bestFit="1" customWidth="1"/>
    <col min="14" max="14" width="15" bestFit="1" customWidth="1"/>
    <col min="15" max="15" width="13.85546875" bestFit="1" customWidth="1"/>
    <col min="16" max="16" width="14.140625" bestFit="1" customWidth="1"/>
    <col min="17" max="17" width="13.7109375" bestFit="1" customWidth="1"/>
    <col min="18" max="18" width="12.140625" bestFit="1" customWidth="1"/>
    <col min="19" max="19" width="14" customWidth="1"/>
  </cols>
  <sheetData>
    <row r="1" spans="1:19" ht="21">
      <c r="A1" s="483" t="str">
        <f>'Selected Data'!A1</f>
        <v>SDG&amp;E Electric Revenue Requirement List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</row>
    <row r="2" spans="1:19" ht="21">
      <c r="A2" s="483" t="str">
        <f>'Selected Data'!A2</f>
        <v>Annual Period 2024</v>
      </c>
      <c r="B2" s="17"/>
    </row>
    <row r="3" spans="1:19" ht="21">
      <c r="A3" s="483" t="str">
        <f>'Selected Data'!A3</f>
        <v>Reporting Date: Quarter Ended September 30</v>
      </c>
      <c r="B3" s="17"/>
    </row>
    <row r="4" spans="1:19" ht="21">
      <c r="A4" s="483" t="str">
        <f>'Selected Data'!A4</f>
        <v>Submitted: September 1, 2024</v>
      </c>
      <c r="B4" s="17"/>
    </row>
    <row r="5" spans="1:19">
      <c r="A5" s="18" t="s">
        <v>89</v>
      </c>
      <c r="B5" s="21">
        <f>'Authorized Rev Req'!O160</f>
        <v>4192794.6521918182</v>
      </c>
    </row>
    <row r="6" spans="1:19">
      <c r="A6" s="18" t="s">
        <v>90</v>
      </c>
      <c r="B6" s="22">
        <f>'Authorized Rev Req'!O5</f>
        <v>45352</v>
      </c>
    </row>
    <row r="7" spans="1:19" ht="32.25" customHeight="1">
      <c r="A7" s="522" t="s">
        <v>91</v>
      </c>
      <c r="B7" s="523"/>
      <c r="C7" s="523"/>
      <c r="D7" s="523"/>
      <c r="E7" s="523"/>
      <c r="F7" s="523"/>
      <c r="G7" s="523"/>
      <c r="H7" s="523"/>
      <c r="I7" s="523"/>
      <c r="J7" s="523"/>
      <c r="K7" s="523"/>
      <c r="L7" s="524"/>
      <c r="N7" s="515" t="s">
        <v>167</v>
      </c>
      <c r="O7" s="515"/>
      <c r="P7" s="515"/>
      <c r="Q7" s="515"/>
      <c r="R7" s="515"/>
      <c r="S7" s="515"/>
    </row>
    <row r="8" spans="1:19" ht="72" customHeight="1">
      <c r="A8" s="450" t="s">
        <v>0</v>
      </c>
      <c r="B8" s="160" t="s">
        <v>92</v>
      </c>
      <c r="C8" s="161" t="s">
        <v>4</v>
      </c>
      <c r="D8" s="161" t="s">
        <v>124</v>
      </c>
      <c r="E8" s="161" t="s">
        <v>1</v>
      </c>
      <c r="F8" s="518" t="s">
        <v>125</v>
      </c>
      <c r="G8" s="518"/>
      <c r="H8" s="518"/>
      <c r="I8" s="518"/>
      <c r="J8" s="518"/>
      <c r="K8" s="161" t="s">
        <v>93</v>
      </c>
      <c r="L8" s="451"/>
      <c r="N8" s="19"/>
      <c r="O8" s="30">
        <v>2024</v>
      </c>
      <c r="P8" s="30">
        <v>2025</v>
      </c>
      <c r="Q8" s="30">
        <v>2026</v>
      </c>
      <c r="R8" s="30">
        <v>2027</v>
      </c>
      <c r="S8" s="30">
        <v>2028</v>
      </c>
    </row>
    <row r="9" spans="1:19">
      <c r="A9" s="18" t="s">
        <v>2</v>
      </c>
      <c r="D9" s="159">
        <f>B6</f>
        <v>45352</v>
      </c>
      <c r="E9" s="18"/>
      <c r="F9" s="18">
        <v>2024</v>
      </c>
      <c r="G9" s="18">
        <v>2025</v>
      </c>
      <c r="H9" s="18">
        <v>2026</v>
      </c>
      <c r="I9" s="18">
        <v>2027</v>
      </c>
      <c r="J9" s="18">
        <v>2028</v>
      </c>
      <c r="L9" s="18"/>
      <c r="M9" s="80"/>
      <c r="N9" s="80" t="s">
        <v>3</v>
      </c>
      <c r="O9" s="79">
        <f t="shared" ref="O9:O22" si="0">SUMIF($E$10:$E$78,N9,$F$10:$F$78)</f>
        <v>544345.88951319002</v>
      </c>
      <c r="P9" s="79">
        <f t="shared" ref="P9:P22" si="1">SUMIF($E$10:$E$78,N9,$G$10:$G$78)</f>
        <v>544063.88201551733</v>
      </c>
      <c r="Q9" s="79">
        <f t="shared" ref="Q9:Q22" si="2">SUMIF($E$10:$E$78,N9,$H$10:$H$78)</f>
        <v>544063.89549064601</v>
      </c>
      <c r="R9" s="79">
        <f t="shared" ref="R9:R22" si="3">SUMIF($E$10:$E$78,N9,$I$10:$I$78)</f>
        <v>544063.55820737593</v>
      </c>
      <c r="S9" s="79">
        <f t="shared" ref="S9:S22" si="4">SUMIF($E$10:$E$78,N9,$J$10:$J$78)</f>
        <v>544063.56158992311</v>
      </c>
    </row>
    <row r="10" spans="1:19">
      <c r="A10" t="s">
        <v>94</v>
      </c>
      <c r="C10" s="23" t="str">
        <f>'Authorized Rev Req'!B9</f>
        <v>D.21-05-003, D.22-12-031, AL 4310-E/3246-G, AL 4300-E</v>
      </c>
      <c r="D10" s="23">
        <f t="shared" ref="D10:D19" si="5">F10</f>
        <v>1720272.5372833791</v>
      </c>
      <c r="E10" t="s">
        <v>5</v>
      </c>
      <c r="F10" s="23">
        <f>'Authorized Rev Req'!O9</f>
        <v>1720272.5372833791</v>
      </c>
      <c r="G10" s="23">
        <f t="shared" ref="G10:G18" si="6">F10</f>
        <v>1720272.5372833791</v>
      </c>
      <c r="H10" s="23">
        <f t="shared" ref="H10:J11" si="7">G10</f>
        <v>1720272.5372833791</v>
      </c>
      <c r="I10" s="23">
        <f t="shared" si="7"/>
        <v>1720272.5372833791</v>
      </c>
      <c r="J10" s="23">
        <f t="shared" si="7"/>
        <v>1720272.5372833791</v>
      </c>
      <c r="K10" s="12" t="s">
        <v>95</v>
      </c>
      <c r="L10" s="23"/>
      <c r="N10" s="80" t="s">
        <v>433</v>
      </c>
      <c r="O10" s="79">
        <f t="shared" si="0"/>
        <v>646.63774141190402</v>
      </c>
      <c r="P10" s="79">
        <f t="shared" si="1"/>
        <v>646.63774141190402</v>
      </c>
      <c r="Q10" s="79">
        <f t="shared" si="2"/>
        <v>646.63774141190402</v>
      </c>
      <c r="R10" s="79">
        <f t="shared" si="3"/>
        <v>646.63774141190402</v>
      </c>
      <c r="S10" s="79">
        <f t="shared" si="4"/>
        <v>646.63774141190402</v>
      </c>
    </row>
    <row r="11" spans="1:19" ht="16.5" customHeight="1">
      <c r="A11" t="s">
        <v>94</v>
      </c>
      <c r="C11" s="23" t="str">
        <f>'Authorized Rev Req'!B10</f>
        <v>D.21-05-003, D.22-12-031, AL 4092-E,AL 4300-E</v>
      </c>
      <c r="D11" s="23">
        <f t="shared" si="5"/>
        <v>206976.1183843688</v>
      </c>
      <c r="E11" t="s">
        <v>3</v>
      </c>
      <c r="F11" s="23">
        <f>'Authorized Rev Req'!O10</f>
        <v>206976.1183843688</v>
      </c>
      <c r="G11" s="23">
        <f t="shared" si="6"/>
        <v>206976.1183843688</v>
      </c>
      <c r="H11" s="23">
        <f t="shared" si="7"/>
        <v>206976.1183843688</v>
      </c>
      <c r="I11" s="23">
        <f t="shared" si="7"/>
        <v>206976.1183843688</v>
      </c>
      <c r="J11" s="23">
        <f t="shared" si="7"/>
        <v>206976.1183843688</v>
      </c>
      <c r="K11" s="12" t="s">
        <v>95</v>
      </c>
      <c r="L11" s="23"/>
      <c r="N11" s="80" t="s">
        <v>60</v>
      </c>
      <c r="O11" s="79">
        <f t="shared" si="0"/>
        <v>368769.24400659313</v>
      </c>
      <c r="P11" s="79">
        <f t="shared" si="1"/>
        <v>368769.24400659313</v>
      </c>
      <c r="Q11" s="79">
        <f t="shared" si="2"/>
        <v>368769.24400659313</v>
      </c>
      <c r="R11" s="79">
        <f t="shared" si="3"/>
        <v>368769.24400659313</v>
      </c>
      <c r="S11" s="79">
        <f t="shared" si="4"/>
        <v>368769.24400659313</v>
      </c>
    </row>
    <row r="12" spans="1:19">
      <c r="A12" t="s">
        <v>415</v>
      </c>
      <c r="C12" s="23" t="str">
        <f>'Authorized Rev Req'!B17</f>
        <v>D.23-12-021, AL 4344-E</v>
      </c>
      <c r="D12" s="23">
        <f t="shared" si="5"/>
        <v>487032.04468507774</v>
      </c>
      <c r="E12" t="s">
        <v>3</v>
      </c>
      <c r="F12" s="23">
        <f>'Authorized Rev Req'!O17</f>
        <v>487032.04468507774</v>
      </c>
      <c r="G12" s="23">
        <f t="shared" si="6"/>
        <v>487032.04468507774</v>
      </c>
      <c r="H12" s="23">
        <f t="shared" ref="H12:I15" si="8">G12</f>
        <v>487032.04468507774</v>
      </c>
      <c r="I12" s="23">
        <f t="shared" si="8"/>
        <v>487032.04468507774</v>
      </c>
      <c r="J12" s="23">
        <f t="shared" ref="J12:J46" si="9">I12</f>
        <v>487032.04468507774</v>
      </c>
      <c r="K12" s="12" t="s">
        <v>95</v>
      </c>
      <c r="L12" s="23"/>
      <c r="N12" s="80" t="s">
        <v>5</v>
      </c>
      <c r="O12" s="79">
        <f t="shared" si="0"/>
        <v>2348308.8303103489</v>
      </c>
      <c r="P12" s="79">
        <f t="shared" si="1"/>
        <v>2296712.5972473342</v>
      </c>
      <c r="Q12" s="79">
        <f t="shared" si="2"/>
        <v>2164078.2729356019</v>
      </c>
      <c r="R12" s="79">
        <f t="shared" si="3"/>
        <v>2091571.6491326254</v>
      </c>
      <c r="S12" s="79">
        <f t="shared" si="4"/>
        <v>2090517.9500126</v>
      </c>
    </row>
    <row r="13" spans="1:19">
      <c r="A13" t="s">
        <v>14</v>
      </c>
      <c r="C13" s="23" t="str">
        <f>'Authorized Rev Req'!B40</f>
        <v>D.23-12-021</v>
      </c>
      <c r="D13" s="23">
        <f t="shared" si="5"/>
        <v>4978.0553645074278</v>
      </c>
      <c r="E13" t="s">
        <v>14</v>
      </c>
      <c r="F13" s="23">
        <f>'Authorized Rev Req'!O40</f>
        <v>4978.0553645074278</v>
      </c>
      <c r="G13" s="23">
        <f t="shared" si="6"/>
        <v>4978.0553645074278</v>
      </c>
      <c r="H13" s="23">
        <f t="shared" si="8"/>
        <v>4978.0553645074278</v>
      </c>
      <c r="I13" s="23">
        <f t="shared" si="8"/>
        <v>4978.0553645074278</v>
      </c>
      <c r="J13" s="23">
        <f t="shared" si="9"/>
        <v>4978.0553645074278</v>
      </c>
      <c r="K13" s="12" t="s">
        <v>95</v>
      </c>
      <c r="L13" s="23"/>
      <c r="N13" s="80" t="s">
        <v>100</v>
      </c>
      <c r="O13" s="79">
        <f t="shared" si="0"/>
        <v>-232593.89170328664</v>
      </c>
      <c r="P13" s="79">
        <f t="shared" si="1"/>
        <v>-232593.89170328664</v>
      </c>
      <c r="Q13" s="79">
        <f t="shared" si="2"/>
        <v>-232593.89170328664</v>
      </c>
      <c r="R13" s="79">
        <f t="shared" si="3"/>
        <v>-232593.89170328664</v>
      </c>
      <c r="S13" s="79">
        <f t="shared" si="4"/>
        <v>-232593.89170328664</v>
      </c>
    </row>
    <row r="14" spans="1:19">
      <c r="A14" t="s">
        <v>60</v>
      </c>
      <c r="C14" s="23" t="str">
        <f>'Authorized Rev Req'!B42</f>
        <v>D.23-12-021, AL 4344-E</v>
      </c>
      <c r="D14" s="23">
        <f t="shared" si="5"/>
        <v>207539.6836296336</v>
      </c>
      <c r="E14" t="s">
        <v>60</v>
      </c>
      <c r="F14" s="23">
        <f>'Authorized Rev Req'!O42</f>
        <v>207539.6836296336</v>
      </c>
      <c r="G14" s="23">
        <f t="shared" si="6"/>
        <v>207539.6836296336</v>
      </c>
      <c r="H14" s="23">
        <f t="shared" si="8"/>
        <v>207539.6836296336</v>
      </c>
      <c r="I14" s="23">
        <f t="shared" si="8"/>
        <v>207539.6836296336</v>
      </c>
      <c r="J14" s="23">
        <f t="shared" si="9"/>
        <v>207539.6836296336</v>
      </c>
      <c r="K14" s="12" t="s">
        <v>95</v>
      </c>
      <c r="L14" s="23"/>
      <c r="N14" s="80" t="s">
        <v>14</v>
      </c>
      <c r="O14" s="79">
        <f t="shared" si="0"/>
        <v>9899.0440657074287</v>
      </c>
      <c r="P14" s="79">
        <f t="shared" si="1"/>
        <v>9899.0440657074287</v>
      </c>
      <c r="Q14" s="79">
        <f t="shared" si="2"/>
        <v>9899.0440657074287</v>
      </c>
      <c r="R14" s="79">
        <f t="shared" si="3"/>
        <v>9899.0440657074287</v>
      </c>
      <c r="S14" s="79">
        <f t="shared" si="4"/>
        <v>9899.0440657074287</v>
      </c>
    </row>
    <row r="15" spans="1:19">
      <c r="A15" t="s">
        <v>96</v>
      </c>
      <c r="C15" s="25" t="str">
        <f>'Authorized Rev Req'!B44</f>
        <v>D.22-12-042, D.23-12-021, Resolution E-5217</v>
      </c>
      <c r="D15" s="23">
        <f t="shared" si="5"/>
        <v>1301.010426029</v>
      </c>
      <c r="E15" t="s">
        <v>81</v>
      </c>
      <c r="F15" s="25">
        <f>'Authorized Rev Req'!O44</f>
        <v>1301.010426029</v>
      </c>
      <c r="G15" s="23">
        <f t="shared" si="6"/>
        <v>1301.010426029</v>
      </c>
      <c r="H15" s="23">
        <f t="shared" si="8"/>
        <v>1301.010426029</v>
      </c>
      <c r="I15" s="23">
        <f t="shared" si="8"/>
        <v>1301.010426029</v>
      </c>
      <c r="J15" s="23">
        <f t="shared" si="9"/>
        <v>1301.010426029</v>
      </c>
      <c r="K15" s="12" t="s">
        <v>95</v>
      </c>
      <c r="L15" s="385"/>
      <c r="N15" s="80" t="s">
        <v>81</v>
      </c>
      <c r="O15" s="79">
        <f t="shared" si="0"/>
        <v>1442.708990029</v>
      </c>
      <c r="P15" s="79">
        <f t="shared" si="1"/>
        <v>1442.708990029</v>
      </c>
      <c r="Q15" s="79">
        <f t="shared" si="2"/>
        <v>1442.708990029</v>
      </c>
      <c r="R15" s="79">
        <f t="shared" si="3"/>
        <v>1442.708990029</v>
      </c>
      <c r="S15" s="79">
        <f t="shared" si="4"/>
        <v>1442.708990029</v>
      </c>
    </row>
    <row r="16" spans="1:19">
      <c r="A16" t="s">
        <v>97</v>
      </c>
      <c r="C16" s="23" t="str">
        <f>'Authorized Rev Req'!B37</f>
        <v>D.21-05-003, AL 4092-E</v>
      </c>
      <c r="D16" s="23">
        <f t="shared" si="5"/>
        <v>1540.4658171999999</v>
      </c>
      <c r="E16" t="s">
        <v>3</v>
      </c>
      <c r="F16" s="23">
        <f>'Authorized Rev Req'!O37</f>
        <v>1540.4658171999999</v>
      </c>
      <c r="G16" s="23">
        <f t="shared" si="6"/>
        <v>1540.4658171999999</v>
      </c>
      <c r="H16" s="23">
        <f t="shared" ref="H16:I19" si="10">G16</f>
        <v>1540.4658171999999</v>
      </c>
      <c r="I16" s="23">
        <f t="shared" si="10"/>
        <v>1540.4658171999999</v>
      </c>
      <c r="J16" s="23">
        <f t="shared" si="9"/>
        <v>1540.4658171999999</v>
      </c>
      <c r="K16" s="12" t="s">
        <v>95</v>
      </c>
      <c r="L16" s="23"/>
      <c r="M16" s="12"/>
      <c r="N16" s="81" t="s">
        <v>102</v>
      </c>
      <c r="O16" s="79">
        <f t="shared" si="0"/>
        <v>311027.02644370002</v>
      </c>
      <c r="P16" s="79">
        <f t="shared" si="1"/>
        <v>306768.06738549378</v>
      </c>
      <c r="Q16" s="79">
        <f t="shared" si="2"/>
        <v>299221.78038549382</v>
      </c>
      <c r="R16" s="79">
        <f t="shared" si="3"/>
        <v>301383.65938549378</v>
      </c>
      <c r="S16" s="79">
        <f t="shared" si="4"/>
        <v>278207.71783709689</v>
      </c>
    </row>
    <row r="17" spans="1:19">
      <c r="A17" t="s">
        <v>235</v>
      </c>
      <c r="C17" s="25" t="str">
        <f>'Authorized Rev Req'!B47</f>
        <v>D.23-11-090</v>
      </c>
      <c r="D17" s="23">
        <f t="shared" si="5"/>
        <v>84674.29105918284</v>
      </c>
      <c r="E17" t="s">
        <v>235</v>
      </c>
      <c r="F17" s="25">
        <f>'Authorized Rev Req'!O47</f>
        <v>84674.29105918284</v>
      </c>
      <c r="G17" s="25">
        <f t="shared" si="6"/>
        <v>84674.29105918284</v>
      </c>
      <c r="H17" s="25">
        <f t="shared" si="10"/>
        <v>84674.29105918284</v>
      </c>
      <c r="I17" s="25">
        <f t="shared" si="10"/>
        <v>84674.29105918284</v>
      </c>
      <c r="J17" s="23">
        <f t="shared" si="9"/>
        <v>84674.29105918284</v>
      </c>
      <c r="K17" s="12" t="s">
        <v>95</v>
      </c>
      <c r="L17" s="385"/>
      <c r="N17" s="80" t="s">
        <v>98</v>
      </c>
      <c r="O17" s="79">
        <f t="shared" si="0"/>
        <v>0</v>
      </c>
      <c r="P17" s="79">
        <f t="shared" si="1"/>
        <v>0</v>
      </c>
      <c r="Q17" s="79">
        <f t="shared" si="2"/>
        <v>0</v>
      </c>
      <c r="R17" s="79">
        <f t="shared" si="3"/>
        <v>0</v>
      </c>
      <c r="S17" s="79">
        <f t="shared" si="4"/>
        <v>0</v>
      </c>
    </row>
    <row r="18" spans="1:19">
      <c r="A18" t="s">
        <v>346</v>
      </c>
      <c r="C18" s="25" t="str">
        <f>'Authorized Rev Req'!B20</f>
        <v>D.23-12-021, AL 4344-E,AL 4300-E, D.22-12-042, A.23-05-013</v>
      </c>
      <c r="D18" s="23">
        <f t="shared" si="5"/>
        <v>-97290.830192037392</v>
      </c>
      <c r="E18" t="s">
        <v>3</v>
      </c>
      <c r="F18" s="25">
        <f>'Authorized Rev Req'!O20</f>
        <v>-97290.830192037392</v>
      </c>
      <c r="G18" s="23">
        <f t="shared" si="6"/>
        <v>-97290.830192037392</v>
      </c>
      <c r="H18" s="23">
        <f>G18</f>
        <v>-97290.830192037392</v>
      </c>
      <c r="I18" s="23">
        <f>H18</f>
        <v>-97290.830192037392</v>
      </c>
      <c r="J18" s="23">
        <f t="shared" si="9"/>
        <v>-97290.830192037392</v>
      </c>
      <c r="K18" s="12" t="s">
        <v>95</v>
      </c>
      <c r="L18" s="385"/>
      <c r="N18" s="80" t="s">
        <v>267</v>
      </c>
      <c r="O18" s="79">
        <f t="shared" si="0"/>
        <v>101946.30110346289</v>
      </c>
      <c r="P18" s="79">
        <f t="shared" si="1"/>
        <v>101946.30110346289</v>
      </c>
      <c r="Q18" s="79">
        <f t="shared" si="2"/>
        <v>101946.30110346289</v>
      </c>
      <c r="R18" s="79">
        <f t="shared" si="3"/>
        <v>101946.30110346289</v>
      </c>
      <c r="S18" s="79">
        <f t="shared" si="4"/>
        <v>101946.30110346289</v>
      </c>
    </row>
    <row r="19" spans="1:19">
      <c r="A19" t="s">
        <v>349</v>
      </c>
      <c r="C19" s="25" t="str">
        <f>'Authorized Rev Req'!B25</f>
        <v>D.22-12-042, AL 4344-E, Resolution E-5217, AL 4300-E</v>
      </c>
      <c r="D19" s="23">
        <f t="shared" si="5"/>
        <v>63009.916720960238</v>
      </c>
      <c r="E19" t="s">
        <v>267</v>
      </c>
      <c r="F19" s="25">
        <f>'Authorized Rev Req'!O25</f>
        <v>63009.916720960238</v>
      </c>
      <c r="G19" s="23">
        <f t="shared" ref="G19:H21" si="11">F19</f>
        <v>63009.916720960238</v>
      </c>
      <c r="H19" s="23">
        <f t="shared" si="11"/>
        <v>63009.916720960238</v>
      </c>
      <c r="I19" s="23">
        <f t="shared" si="10"/>
        <v>63009.916720960238</v>
      </c>
      <c r="J19" s="23">
        <f t="shared" si="9"/>
        <v>63009.916720960238</v>
      </c>
      <c r="K19" s="12" t="s">
        <v>95</v>
      </c>
      <c r="L19" s="385"/>
      <c r="N19" s="80" t="s">
        <v>10</v>
      </c>
      <c r="O19" s="79">
        <f t="shared" si="0"/>
        <v>685104.47305526584</v>
      </c>
      <c r="P19" s="79">
        <f t="shared" si="1"/>
        <v>685104.47305526584</v>
      </c>
      <c r="Q19" s="79">
        <f t="shared" si="2"/>
        <v>685104.47305526584</v>
      </c>
      <c r="R19" s="79">
        <f t="shared" si="3"/>
        <v>685104.47305526584</v>
      </c>
      <c r="S19" s="79">
        <f t="shared" si="4"/>
        <v>685104.47305526584</v>
      </c>
    </row>
    <row r="20" spans="1:19">
      <c r="A20" t="s">
        <v>433</v>
      </c>
      <c r="C20" s="25" t="str">
        <f>'Authorized Rev Req'!B54</f>
        <v>D.23-12-021, AL 4344-E</v>
      </c>
      <c r="D20" s="23">
        <f>F20</f>
        <v>646.63774141190402</v>
      </c>
      <c r="E20" t="s">
        <v>433</v>
      </c>
      <c r="F20" s="25">
        <f>'Authorized Rev Req'!O54</f>
        <v>646.63774141190402</v>
      </c>
      <c r="G20" s="23">
        <f t="shared" si="11"/>
        <v>646.63774141190402</v>
      </c>
      <c r="H20" s="23">
        <f t="shared" si="11"/>
        <v>646.63774141190402</v>
      </c>
      <c r="I20" s="23">
        <f>H20</f>
        <v>646.63774141190402</v>
      </c>
      <c r="J20" s="23">
        <f>I20</f>
        <v>646.63774141190402</v>
      </c>
      <c r="K20" s="12" t="s">
        <v>95</v>
      </c>
      <c r="L20" s="385"/>
      <c r="N20" s="80" t="s">
        <v>88</v>
      </c>
      <c r="O20" s="79">
        <f t="shared" si="0"/>
        <v>141.01499621368913</v>
      </c>
      <c r="P20" s="79">
        <f t="shared" si="1"/>
        <v>141.01499621368913</v>
      </c>
      <c r="Q20" s="79">
        <f t="shared" si="2"/>
        <v>141.01499621368913</v>
      </c>
      <c r="R20" s="79">
        <f t="shared" si="3"/>
        <v>141.01499621368913</v>
      </c>
      <c r="S20" s="79">
        <f t="shared" si="4"/>
        <v>141.01499621368913</v>
      </c>
    </row>
    <row r="21" spans="1:19">
      <c r="A21" t="s">
        <v>488</v>
      </c>
      <c r="C21" s="25" t="str">
        <f>'Authorized Rev Req'!B29</f>
        <v>D.22-12-042, AL 4344-E, Resolution E-5217</v>
      </c>
      <c r="D21" s="23">
        <f>F21</f>
        <v>-14112.271914700001</v>
      </c>
      <c r="E21" t="s">
        <v>267</v>
      </c>
      <c r="F21" s="25">
        <f>'Authorized Rev Req'!O29</f>
        <v>-14112.271914700001</v>
      </c>
      <c r="G21" s="23">
        <f t="shared" si="11"/>
        <v>-14112.271914700001</v>
      </c>
      <c r="H21" s="23">
        <f t="shared" si="11"/>
        <v>-14112.271914700001</v>
      </c>
      <c r="I21" s="23">
        <f>H21</f>
        <v>-14112.271914700001</v>
      </c>
      <c r="J21" s="23">
        <f>I21</f>
        <v>-14112.271914700001</v>
      </c>
      <c r="K21" s="12" t="s">
        <v>95</v>
      </c>
      <c r="L21"/>
      <c r="N21" s="80" t="s">
        <v>79</v>
      </c>
      <c r="O21" s="79">
        <f t="shared" si="0"/>
        <v>9000</v>
      </c>
      <c r="P21" s="79">
        <f t="shared" si="1"/>
        <v>9000</v>
      </c>
      <c r="Q21" s="79">
        <f t="shared" si="2"/>
        <v>9000</v>
      </c>
      <c r="R21" s="79">
        <f t="shared" si="3"/>
        <v>9000</v>
      </c>
      <c r="S21" s="79">
        <f t="shared" si="4"/>
        <v>9000</v>
      </c>
    </row>
    <row r="22" spans="1:19">
      <c r="A22" t="s">
        <v>381</v>
      </c>
      <c r="B22" t="s">
        <v>407</v>
      </c>
      <c r="C22" s="25" t="s">
        <v>518</v>
      </c>
      <c r="D22" s="23">
        <f>F22</f>
        <v>0</v>
      </c>
      <c r="E22" s="32" t="s">
        <v>5</v>
      </c>
      <c r="G22" s="25">
        <v>36449.220168325097</v>
      </c>
      <c r="H22" s="25">
        <v>36449.220168325097</v>
      </c>
      <c r="I22" s="25"/>
      <c r="J22" s="25"/>
      <c r="K22" s="12" t="s">
        <v>95</v>
      </c>
      <c r="L22" s="199"/>
      <c r="N22" s="80" t="s">
        <v>235</v>
      </c>
      <c r="O22" s="79">
        <f t="shared" si="0"/>
        <v>84674.29105918284</v>
      </c>
      <c r="P22" s="79">
        <f t="shared" si="1"/>
        <v>84674.29105918284</v>
      </c>
      <c r="Q22" s="79">
        <f t="shared" si="2"/>
        <v>84674.29105918284</v>
      </c>
      <c r="R22" s="79">
        <f t="shared" si="3"/>
        <v>84674.29105918284</v>
      </c>
      <c r="S22" s="79">
        <f t="shared" si="4"/>
        <v>84674.29105918284</v>
      </c>
    </row>
    <row r="23" spans="1:19">
      <c r="A23" t="s">
        <v>362</v>
      </c>
      <c r="B23" t="s">
        <v>363</v>
      </c>
      <c r="C23" s="25" t="s">
        <v>519</v>
      </c>
      <c r="D23" s="23"/>
      <c r="E23" t="s">
        <v>5</v>
      </c>
      <c r="F23" s="25">
        <v>30405.285389999997</v>
      </c>
      <c r="G23" s="200">
        <v>31042.229955999996</v>
      </c>
      <c r="H23" s="200">
        <v>617.234555</v>
      </c>
      <c r="I23" s="200">
        <v>602.71138900000005</v>
      </c>
      <c r="K23" s="12" t="s">
        <v>95</v>
      </c>
      <c r="L23" s="199"/>
      <c r="N23" s="80" t="s">
        <v>116</v>
      </c>
      <c r="O23" s="12">
        <f>SUM(O9:O22)</f>
        <v>4232711.5695818188</v>
      </c>
      <c r="P23" s="79">
        <f>SUM(P9:P22)</f>
        <v>4176574.3699629256</v>
      </c>
      <c r="Q23" s="79">
        <f>SUM(Q9:Q22)</f>
        <v>4036393.7721263221</v>
      </c>
      <c r="R23" s="79">
        <f>SUM(R9:R22)</f>
        <v>3966048.6900400757</v>
      </c>
      <c r="S23" s="79">
        <f>SUM(S9:S22)</f>
        <v>3941819.0527542005</v>
      </c>
    </row>
    <row r="24" spans="1:19">
      <c r="C24" s="25"/>
      <c r="D24" s="23"/>
      <c r="E24" s="371"/>
      <c r="F24" s="25"/>
      <c r="G24" s="23"/>
      <c r="H24" s="23"/>
      <c r="I24" s="23"/>
      <c r="J24" s="23"/>
      <c r="L24" s="385"/>
      <c r="N24" s="80" t="s">
        <v>261</v>
      </c>
      <c r="O24" s="262">
        <f>'Sales Allocations'!R3</f>
        <v>1E-3</v>
      </c>
    </row>
    <row r="25" spans="1:19">
      <c r="C25" s="25"/>
      <c r="D25" s="23"/>
      <c r="E25" s="371"/>
      <c r="F25" s="25"/>
      <c r="G25" s="23"/>
      <c r="H25" s="23"/>
      <c r="I25" s="23"/>
      <c r="J25" s="23"/>
      <c r="L25" s="385"/>
      <c r="N25" s="246"/>
      <c r="O25" s="247"/>
      <c r="P25" s="247"/>
      <c r="Q25" s="247"/>
      <c r="R25" s="247"/>
      <c r="S25" s="247"/>
    </row>
    <row r="26" spans="1:19">
      <c r="A26" s="18" t="s">
        <v>7</v>
      </c>
      <c r="B26" s="18"/>
      <c r="C26" s="197"/>
      <c r="D26" s="23"/>
      <c r="F26" s="197"/>
      <c r="G26" s="23"/>
      <c r="H26" s="23"/>
      <c r="I26" s="23"/>
      <c r="J26" s="23"/>
      <c r="L26" s="386"/>
    </row>
    <row r="27" spans="1:19">
      <c r="A27" t="s">
        <v>100</v>
      </c>
      <c r="B27" s="18"/>
      <c r="C27" s="23" t="str">
        <f>'Authorized Rev Req'!B99</f>
        <v>D.23-12-021</v>
      </c>
      <c r="D27" s="23">
        <f t="shared" ref="D27:D45" si="12">F27</f>
        <v>-232593.89170328664</v>
      </c>
      <c r="E27" t="s">
        <v>100</v>
      </c>
      <c r="F27" s="23">
        <f>'Authorized Rev Req'!O98+'Authorized Rev Req'!O99</f>
        <v>-232593.89170328664</v>
      </c>
      <c r="G27" s="23">
        <f>F27</f>
        <v>-232593.89170328664</v>
      </c>
      <c r="H27" s="23">
        <f>G27</f>
        <v>-232593.89170328664</v>
      </c>
      <c r="I27" s="23">
        <f>H27</f>
        <v>-232593.89170328664</v>
      </c>
      <c r="J27" s="23">
        <f t="shared" si="9"/>
        <v>-232593.89170328664</v>
      </c>
      <c r="K27" s="12" t="s">
        <v>95</v>
      </c>
      <c r="L27" s="23"/>
    </row>
    <row r="28" spans="1:19">
      <c r="A28" t="s">
        <v>101</v>
      </c>
      <c r="B28" s="18"/>
      <c r="C28" s="25" t="str">
        <f>'Authorized Rev Req'!B105</f>
        <v>AL 4291-E</v>
      </c>
      <c r="D28" s="23">
        <f t="shared" si="12"/>
        <v>22022.400000000001</v>
      </c>
      <c r="E28" t="s">
        <v>102</v>
      </c>
      <c r="F28" s="25">
        <f>'Authorized Rev Req'!O105</f>
        <v>22022.400000000001</v>
      </c>
      <c r="G28" s="23"/>
      <c r="H28" s="23"/>
      <c r="I28" s="23"/>
      <c r="J28" s="23"/>
      <c r="K28" s="12" t="s">
        <v>95</v>
      </c>
      <c r="L28" s="385"/>
    </row>
    <row r="29" spans="1:19">
      <c r="A29" t="s">
        <v>103</v>
      </c>
      <c r="B29" s="18"/>
      <c r="C29" s="23" t="str">
        <f>'Authorized Rev Req'!B102</f>
        <v>AL 4291-E</v>
      </c>
      <c r="D29" s="23">
        <f t="shared" si="12"/>
        <v>56297.355000000003</v>
      </c>
      <c r="E29" t="s">
        <v>102</v>
      </c>
      <c r="F29" s="23">
        <f>'Authorized Rev Req'!O102</f>
        <v>56297.355000000003</v>
      </c>
      <c r="G29" s="23">
        <v>54407.354941793768</v>
      </c>
      <c r="H29" s="23">
        <f>G29</f>
        <v>54407.354941793768</v>
      </c>
      <c r="I29" s="23">
        <f>H29</f>
        <v>54407.354941793768</v>
      </c>
      <c r="J29" s="23">
        <v>55012.078393396885</v>
      </c>
      <c r="K29" s="12" t="s">
        <v>95</v>
      </c>
      <c r="L29" s="23"/>
    </row>
    <row r="30" spans="1:19">
      <c r="A30" t="s">
        <v>219</v>
      </c>
      <c r="B30" s="18"/>
      <c r="C30" s="25" t="str">
        <f>'Authorized Rev Req'!B62</f>
        <v>AL 4344-E, Resolution E-5217</v>
      </c>
      <c r="D30" s="23">
        <f t="shared" si="12"/>
        <v>3065.9919002135998</v>
      </c>
      <c r="E30" t="s">
        <v>5</v>
      </c>
      <c r="F30" s="25">
        <f>'Authorized Rev Req'!O62</f>
        <v>3065.9919002135998</v>
      </c>
      <c r="G30" s="23"/>
      <c r="H30" s="23"/>
      <c r="I30" s="23"/>
      <c r="J30" s="23"/>
      <c r="K30" s="12" t="s">
        <v>95</v>
      </c>
      <c r="L30" s="385"/>
      <c r="O30" s="466"/>
    </row>
    <row r="31" spans="1:19">
      <c r="A31" t="s">
        <v>285</v>
      </c>
      <c r="C31" s="25" t="str">
        <f>'Authorized Rev Req'!B100</f>
        <v>AL 4291-E</v>
      </c>
      <c r="D31" s="23">
        <f t="shared" si="12"/>
        <v>220326.85200000001</v>
      </c>
      <c r="E31" t="s">
        <v>102</v>
      </c>
      <c r="F31" s="25">
        <f>'Authorized Rev Req'!O100</f>
        <v>220326.85200000001</v>
      </c>
      <c r="G31" s="23">
        <f t="shared" ref="G31:G36" si="13">F31</f>
        <v>220326.85200000001</v>
      </c>
      <c r="H31" s="23">
        <f t="shared" ref="H31:I35" si="14">G31</f>
        <v>220326.85200000001</v>
      </c>
      <c r="I31" s="23">
        <f t="shared" si="14"/>
        <v>220326.85200000001</v>
      </c>
      <c r="J31" s="23">
        <f t="shared" si="9"/>
        <v>220326.85200000001</v>
      </c>
      <c r="K31" s="12" t="s">
        <v>95</v>
      </c>
      <c r="L31" s="385"/>
    </row>
    <row r="32" spans="1:19">
      <c r="A32" t="s">
        <v>62</v>
      </c>
      <c r="B32" s="18"/>
      <c r="C32" s="23" t="str">
        <f>'Authorized Rev Req'!B101</f>
        <v>AL 4291-E</v>
      </c>
      <c r="D32" s="23">
        <f t="shared" si="12"/>
        <v>16389.363000000001</v>
      </c>
      <c r="E32" t="s">
        <v>102</v>
      </c>
      <c r="F32" s="23">
        <f>'Authorized Rev Req'!O101</f>
        <v>16389.363000000001</v>
      </c>
      <c r="G32" s="23">
        <f t="shared" si="13"/>
        <v>16389.363000000001</v>
      </c>
      <c r="H32" s="23">
        <f t="shared" si="14"/>
        <v>16389.363000000001</v>
      </c>
      <c r="I32" s="23">
        <f t="shared" si="14"/>
        <v>16389.363000000001</v>
      </c>
      <c r="J32" s="23">
        <f t="shared" si="9"/>
        <v>16389.363000000001</v>
      </c>
      <c r="K32" s="12" t="s">
        <v>95</v>
      </c>
      <c r="L32" s="23"/>
    </row>
    <row r="33" spans="1:15">
      <c r="A33" t="s">
        <v>105</v>
      </c>
      <c r="C33" s="25" t="str">
        <f>'Authorized Rev Req'!B103</f>
        <v>AL 4291-E</v>
      </c>
      <c r="D33" s="23">
        <f t="shared" si="12"/>
        <v>16279.999999999998</v>
      </c>
      <c r="E33" t="s">
        <v>102</v>
      </c>
      <c r="F33" s="25">
        <f>'Authorized Rev Req'!O103</f>
        <v>16279.999999999998</v>
      </c>
      <c r="G33" s="23">
        <f t="shared" si="13"/>
        <v>16279.999999999998</v>
      </c>
      <c r="H33" s="23">
        <f>G33</f>
        <v>16279.999999999998</v>
      </c>
      <c r="I33" s="23">
        <f t="shared" si="14"/>
        <v>16279.999999999998</v>
      </c>
      <c r="J33" s="23">
        <f t="shared" si="9"/>
        <v>16279.999999999998</v>
      </c>
      <c r="K33" s="12" t="s">
        <v>95</v>
      </c>
      <c r="L33" s="385"/>
    </row>
    <row r="34" spans="1:15">
      <c r="A34" t="s">
        <v>64</v>
      </c>
      <c r="C34" s="25" t="str">
        <f>'Authorized Rev Req'!B104</f>
        <v>AL 4291-E</v>
      </c>
      <c r="D34" s="23">
        <f t="shared" si="12"/>
        <v>5102.9219999999996</v>
      </c>
      <c r="E34" t="s">
        <v>102</v>
      </c>
      <c r="F34" s="25">
        <f>'Authorized Rev Req'!O104</f>
        <v>5102.9219999999996</v>
      </c>
      <c r="G34" s="23">
        <f t="shared" si="13"/>
        <v>5102.9219999999996</v>
      </c>
      <c r="H34" s="23">
        <f t="shared" si="14"/>
        <v>5102.9219999999996</v>
      </c>
      <c r="I34" s="23">
        <f t="shared" si="14"/>
        <v>5102.9219999999996</v>
      </c>
      <c r="J34" s="23">
        <f t="shared" si="9"/>
        <v>5102.9219999999996</v>
      </c>
      <c r="K34" s="12" t="s">
        <v>95</v>
      </c>
      <c r="L34" s="385"/>
    </row>
    <row r="35" spans="1:15">
      <c r="A35" s="13" t="s">
        <v>67</v>
      </c>
      <c r="C35" s="25" t="str">
        <f>'Authorized Rev Req'!B107</f>
        <v>AL 4291-E</v>
      </c>
      <c r="D35" s="23">
        <f t="shared" si="12"/>
        <v>32</v>
      </c>
      <c r="E35" t="s">
        <v>102</v>
      </c>
      <c r="F35" s="25">
        <f>'Authorized Rev Req'!O107</f>
        <v>32</v>
      </c>
      <c r="G35" s="23">
        <f t="shared" si="13"/>
        <v>32</v>
      </c>
      <c r="H35" s="23">
        <f t="shared" si="14"/>
        <v>32</v>
      </c>
      <c r="I35" s="23">
        <f t="shared" si="14"/>
        <v>32</v>
      </c>
      <c r="J35" s="23">
        <f t="shared" si="9"/>
        <v>32</v>
      </c>
      <c r="K35" s="12" t="s">
        <v>95</v>
      </c>
      <c r="L35" s="385"/>
      <c r="M35" s="25"/>
    </row>
    <row r="36" spans="1:15">
      <c r="A36" t="s">
        <v>336</v>
      </c>
      <c r="C36" s="25" t="str">
        <f>'Authorized Rev Req'!B113</f>
        <v>AL 4291-E</v>
      </c>
      <c r="D36" s="23">
        <f t="shared" si="12"/>
        <v>503</v>
      </c>
      <c r="E36" t="s">
        <v>102</v>
      </c>
      <c r="F36" s="25">
        <f>'Authorized Rev Req'!O113</f>
        <v>503</v>
      </c>
      <c r="G36" s="23">
        <f t="shared" si="13"/>
        <v>503</v>
      </c>
      <c r="H36" s="23">
        <f>G36</f>
        <v>503</v>
      </c>
      <c r="I36" s="23">
        <f>H36</f>
        <v>503</v>
      </c>
      <c r="J36" s="23">
        <f t="shared" si="9"/>
        <v>503</v>
      </c>
      <c r="K36" s="12" t="s">
        <v>95</v>
      </c>
      <c r="L36" s="385"/>
      <c r="N36" s="25"/>
      <c r="O36" s="25"/>
    </row>
    <row r="37" spans="1:15">
      <c r="A37" t="s">
        <v>562</v>
      </c>
      <c r="C37" s="25" t="str">
        <f>'Authorized Rev Req'!B117</f>
        <v>D.22-12-042</v>
      </c>
      <c r="D37" s="485"/>
      <c r="E37" t="s">
        <v>102</v>
      </c>
      <c r="F37" s="486"/>
      <c r="G37" s="485"/>
      <c r="H37" s="485"/>
      <c r="I37" s="485"/>
      <c r="J37" s="485"/>
      <c r="K37" s="12" t="s">
        <v>95</v>
      </c>
      <c r="L37" s="385"/>
    </row>
    <row r="38" spans="1:15">
      <c r="A38" t="s">
        <v>113</v>
      </c>
      <c r="C38" s="25" t="str">
        <f>'Authorized Rev Req'!B64</f>
        <v>D.19-09-051, D.22-12-031, AL 4078-E, AL 4078-E-A,AL 4300-E</v>
      </c>
      <c r="D38" s="23">
        <f t="shared" si="12"/>
        <v>-10421.975347421361</v>
      </c>
      <c r="E38" t="s">
        <v>5</v>
      </c>
      <c r="F38" s="25">
        <f>'Authorized Rev Req'!O64</f>
        <v>-10421.975347421361</v>
      </c>
      <c r="G38" s="23">
        <v>-9765.6681884233476</v>
      </c>
      <c r="H38" s="23">
        <v>-9282.6454206209492</v>
      </c>
      <c r="I38" s="23">
        <v>-8811.4769844977727</v>
      </c>
      <c r="J38" s="23">
        <v>-8348.4127934867629</v>
      </c>
      <c r="K38" s="12" t="s">
        <v>95</v>
      </c>
      <c r="L38" s="385"/>
    </row>
    <row r="39" spans="1:15">
      <c r="A39" t="s">
        <v>114</v>
      </c>
      <c r="C39" s="25" t="str">
        <f>'Authorized Rev Req'!B65</f>
        <v>D.19-08-026, D.22-12-031, AL 3489-E-A, AL 4300-E</v>
      </c>
      <c r="D39" s="23">
        <f t="shared" si="12"/>
        <v>18549.958611841474</v>
      </c>
      <c r="E39" t="s">
        <v>5</v>
      </c>
      <c r="F39" s="25">
        <f>'Authorized Rev Req'!O65</f>
        <v>18549.958611841474</v>
      </c>
      <c r="G39" s="23">
        <v>16071.60626908112</v>
      </c>
      <c r="H39" s="23">
        <v>14947.835895725197</v>
      </c>
      <c r="I39" s="23">
        <v>14802.66259113717</v>
      </c>
      <c r="J39" s="23">
        <v>14452.49225571141</v>
      </c>
      <c r="K39" s="12" t="s">
        <v>95</v>
      </c>
      <c r="L39" s="385"/>
    </row>
    <row r="40" spans="1:15">
      <c r="A40" t="s">
        <v>115</v>
      </c>
      <c r="C40" s="25" t="str">
        <f>'Authorized Rev Req'!B66</f>
        <v>D.19-11-017, D.22-12-031, AL 3480-E-A,AL 4300-E</v>
      </c>
      <c r="D40" s="23">
        <f t="shared" si="12"/>
        <v>3619.679406389409</v>
      </c>
      <c r="E40" t="s">
        <v>5</v>
      </c>
      <c r="F40" s="25">
        <f>'Authorized Rev Req'!O66</f>
        <v>3619.679406389409</v>
      </c>
      <c r="G40" s="23">
        <v>3528.2121206293436</v>
      </c>
      <c r="H40" s="23">
        <v>3249.5474955789978</v>
      </c>
      <c r="I40" s="23">
        <v>3122.2509007057406</v>
      </c>
      <c r="J40" s="23">
        <v>3016.1683215451676</v>
      </c>
      <c r="K40" s="12" t="s">
        <v>95</v>
      </c>
      <c r="L40" s="385"/>
    </row>
    <row r="41" spans="1:15">
      <c r="A41" t="s">
        <v>117</v>
      </c>
      <c r="C41" s="25" t="str">
        <f>'Authorized Rev Req'!B67</f>
        <v>D.19-08-026, D.22-12-031, AL 3489-E-A,AL 4300-E</v>
      </c>
      <c r="D41" s="23">
        <f t="shared" si="12"/>
        <v>228.67458897609933</v>
      </c>
      <c r="E41" t="s">
        <v>5</v>
      </c>
      <c r="F41" s="25">
        <f>'Authorized Rev Req'!O67</f>
        <v>228.67458897609933</v>
      </c>
      <c r="G41" s="23">
        <v>224.6009098852432</v>
      </c>
      <c r="H41" s="23">
        <v>199.07162931326656</v>
      </c>
      <c r="I41" s="23">
        <v>126.49108348901872</v>
      </c>
      <c r="J41" s="23">
        <v>121.40622904163985</v>
      </c>
      <c r="K41" s="12" t="s">
        <v>95</v>
      </c>
      <c r="L41" s="385"/>
    </row>
    <row r="42" spans="1:15">
      <c r="A42" t="s">
        <v>111</v>
      </c>
      <c r="C42" s="25" t="str">
        <f>'Authorized Rev Req'!B71</f>
        <v>D.21-04-014, D.22-12-031, AL 3765-E, AL 3765-E-A, AL 4300-E</v>
      </c>
      <c r="D42" s="23">
        <f t="shared" si="12"/>
        <v>6947.6822545118957</v>
      </c>
      <c r="E42" t="s">
        <v>5</v>
      </c>
      <c r="F42" s="25">
        <f>'Authorized Rev Req'!O71</f>
        <v>6947.6822545118957</v>
      </c>
      <c r="G42" s="23">
        <v>6630.2107550882793</v>
      </c>
      <c r="H42" s="23">
        <v>6622.2518638020028</v>
      </c>
      <c r="I42" s="23">
        <v>6434.9907486377724</v>
      </c>
      <c r="J42" s="23">
        <v>6251.3421830437355</v>
      </c>
      <c r="K42" s="12" t="s">
        <v>95</v>
      </c>
      <c r="L42" s="385"/>
    </row>
    <row r="43" spans="1:15">
      <c r="A43" t="s">
        <v>123</v>
      </c>
      <c r="C43" s="25" t="str">
        <f>'Authorized Rev Req'!B69</f>
        <v>AL 4344-E</v>
      </c>
      <c r="D43" s="23">
        <f t="shared" si="12"/>
        <v>3285.8960466428071</v>
      </c>
      <c r="E43" t="s">
        <v>5</v>
      </c>
      <c r="F43" s="25">
        <f>'Authorized Rev Req'!O69</f>
        <v>3285.8960466428071</v>
      </c>
      <c r="G43" s="23">
        <f>F43</f>
        <v>3285.8960466428071</v>
      </c>
      <c r="H43" s="23">
        <f>G43</f>
        <v>3285.8960466428071</v>
      </c>
      <c r="I43" s="23">
        <f>H43</f>
        <v>3285.8960466428071</v>
      </c>
      <c r="J43" s="23">
        <f t="shared" si="9"/>
        <v>3285.8960466428071</v>
      </c>
      <c r="K43" s="12" t="s">
        <v>95</v>
      </c>
      <c r="L43" s="385"/>
    </row>
    <row r="44" spans="1:15">
      <c r="A44" t="s">
        <v>373</v>
      </c>
      <c r="C44" s="25" t="str">
        <f>'Authorized Rev Req'!B138</f>
        <v>A.23-05-013, AL 4291-E</v>
      </c>
      <c r="D44" s="23">
        <f t="shared" si="12"/>
        <v>379.5</v>
      </c>
      <c r="E44" t="s">
        <v>102</v>
      </c>
      <c r="F44" s="25">
        <f>'Authorized Rev Req'!O138</f>
        <v>379.5</v>
      </c>
      <c r="G44" s="23">
        <f>F44</f>
        <v>379.5</v>
      </c>
      <c r="H44" s="23">
        <f t="shared" ref="H44:I46" si="15">G44</f>
        <v>379.5</v>
      </c>
      <c r="I44" s="23">
        <f t="shared" si="15"/>
        <v>379.5</v>
      </c>
      <c r="J44" s="23">
        <f t="shared" si="9"/>
        <v>379.5</v>
      </c>
      <c r="K44" s="12" t="s">
        <v>95</v>
      </c>
      <c r="L44" s="385"/>
    </row>
    <row r="45" spans="1:15">
      <c r="A45" t="s">
        <v>374</v>
      </c>
      <c r="C45" s="25" t="str">
        <f>'Authorized Rev Req'!B139</f>
        <v>A.23-05-013, AL 4291-E</v>
      </c>
      <c r="D45" s="23">
        <f t="shared" si="12"/>
        <v>325.5</v>
      </c>
      <c r="E45" t="s">
        <v>102</v>
      </c>
      <c r="F45" s="25">
        <f>'Authorized Rev Req'!O139</f>
        <v>325.5</v>
      </c>
      <c r="G45" s="23">
        <f>F45</f>
        <v>325.5</v>
      </c>
      <c r="H45" s="23">
        <f t="shared" si="15"/>
        <v>325.5</v>
      </c>
      <c r="I45" s="23">
        <f t="shared" si="15"/>
        <v>325.5</v>
      </c>
      <c r="J45" s="23">
        <f t="shared" si="9"/>
        <v>325.5</v>
      </c>
      <c r="K45" s="12" t="s">
        <v>95</v>
      </c>
      <c r="L45" s="385"/>
    </row>
    <row r="46" spans="1:15">
      <c r="A46" t="s">
        <v>378</v>
      </c>
      <c r="C46" s="25" t="s">
        <v>379</v>
      </c>
      <c r="D46" s="23">
        <f t="shared" ref="D46:D51" si="16">F46</f>
        <v>0</v>
      </c>
      <c r="E46" s="32" t="s">
        <v>5</v>
      </c>
      <c r="F46" s="25">
        <v>0</v>
      </c>
      <c r="G46" s="25">
        <v>20031.587665999999</v>
      </c>
      <c r="H46" s="25">
        <f t="shared" si="15"/>
        <v>20031.587665999999</v>
      </c>
      <c r="I46" s="25">
        <f t="shared" si="15"/>
        <v>20031.587665999999</v>
      </c>
      <c r="J46" s="25">
        <f t="shared" si="9"/>
        <v>20031.587665999999</v>
      </c>
      <c r="K46" s="12" t="s">
        <v>95</v>
      </c>
      <c r="L46" s="385"/>
    </row>
    <row r="47" spans="1:15">
      <c r="A47" t="s">
        <v>413</v>
      </c>
      <c r="C47" s="12" t="str">
        <f>'Authorized Rev Req'!B53</f>
        <v>AL 4233-E, Resolution E-5300</v>
      </c>
      <c r="D47" s="23">
        <f t="shared" si="16"/>
        <v>5509.0894229999994</v>
      </c>
      <c r="E47" t="s">
        <v>5</v>
      </c>
      <c r="F47" s="12">
        <f>'Authorized Rev Req'!O53</f>
        <v>5509.0894229999994</v>
      </c>
      <c r="G47" s="25">
        <v>5809.9624800000001</v>
      </c>
      <c r="H47" s="25">
        <v>5747.7128819999998</v>
      </c>
      <c r="I47" s="25">
        <v>352.74772200000001</v>
      </c>
      <c r="K47" s="12" t="s">
        <v>95</v>
      </c>
    </row>
    <row r="48" spans="1:15">
      <c r="A48" t="s">
        <v>419</v>
      </c>
      <c r="C48" s="12" t="str">
        <f>'Authorized Rev Req'!B55</f>
        <v>D.24-02-010</v>
      </c>
      <c r="D48" s="23">
        <f t="shared" si="16"/>
        <v>241288.05862842887</v>
      </c>
      <c r="E48" t="s">
        <v>5</v>
      </c>
      <c r="F48" s="12">
        <f>'Authorized Rev Req'!O55</f>
        <v>241288.05862842887</v>
      </c>
      <c r="G48" s="25">
        <v>99715.971745268558</v>
      </c>
      <c r="H48" s="25"/>
      <c r="I48" s="25"/>
      <c r="J48" s="25"/>
      <c r="K48" s="12" t="s">
        <v>95</v>
      </c>
    </row>
    <row r="49" spans="1:12">
      <c r="A49" t="s">
        <v>502</v>
      </c>
      <c r="C49" s="294" t="s">
        <v>503</v>
      </c>
      <c r="D49" s="23">
        <f t="shared" si="16"/>
        <v>0</v>
      </c>
      <c r="E49" t="s">
        <v>5</v>
      </c>
      <c r="F49" s="24"/>
      <c r="G49" s="24">
        <v>36936.86489391642</v>
      </c>
      <c r="H49" s="24">
        <v>35751.722187417537</v>
      </c>
      <c r="I49" s="24">
        <v>5220.6185609082022</v>
      </c>
      <c r="J49" s="24">
        <v>5304.3006954995999</v>
      </c>
      <c r="K49" s="12" t="s">
        <v>95</v>
      </c>
      <c r="L49" s="199"/>
    </row>
    <row r="50" spans="1:12">
      <c r="A50" t="s">
        <v>502</v>
      </c>
      <c r="C50" s="294" t="s">
        <v>503</v>
      </c>
      <c r="D50" s="23">
        <f t="shared" si="16"/>
        <v>0</v>
      </c>
      <c r="E50" t="s">
        <v>3</v>
      </c>
      <c r="F50" s="24"/>
      <c r="G50" s="24">
        <v>-282.00749767263324</v>
      </c>
      <c r="H50" s="24">
        <v>-281.99402254404987</v>
      </c>
      <c r="I50" s="24">
        <v>-282.3313058141004</v>
      </c>
      <c r="J50" s="24">
        <v>-282.32792326695119</v>
      </c>
      <c r="K50" s="12" t="s">
        <v>95</v>
      </c>
      <c r="L50" s="199"/>
    </row>
    <row r="51" spans="1:12">
      <c r="A51" t="s">
        <v>408</v>
      </c>
      <c r="C51" t="s">
        <v>506</v>
      </c>
      <c r="D51" s="23">
        <f t="shared" si="16"/>
        <v>0</v>
      </c>
      <c r="E51" t="s">
        <v>5</v>
      </c>
      <c r="F51" s="200"/>
      <c r="G51" s="25">
        <v>921.41301715450561</v>
      </c>
      <c r="H51" s="25">
        <v>628.34855865203826</v>
      </c>
      <c r="I51" s="25">
        <v>572.68000083676213</v>
      </c>
      <c r="J51" s="25">
        <v>572.68000083676213</v>
      </c>
      <c r="K51" s="12" t="s">
        <v>95</v>
      </c>
      <c r="L51" s="199"/>
    </row>
    <row r="52" spans="1:12">
      <c r="A52" t="s">
        <v>520</v>
      </c>
      <c r="C52" t="s">
        <v>521</v>
      </c>
      <c r="D52" s="23"/>
      <c r="E52" t="s">
        <v>102</v>
      </c>
      <c r="F52" s="200">
        <f>9511632/1000</f>
        <v>9511.6319999999996</v>
      </c>
      <c r="G52" s="25">
        <f>F52+19653441/1000</f>
        <v>29165.072999999997</v>
      </c>
      <c r="H52" s="25">
        <f>21618786/1000</f>
        <v>21618.786</v>
      </c>
      <c r="I52" s="25">
        <f>23780665/1000</f>
        <v>23780.665000000001</v>
      </c>
      <c r="J52" s="25"/>
      <c r="K52" s="12" t="s">
        <v>95</v>
      </c>
      <c r="L52" s="470"/>
    </row>
    <row r="53" spans="1:12">
      <c r="B53" s="15"/>
      <c r="I53" s="23"/>
      <c r="K53"/>
      <c r="L53" s="470"/>
    </row>
    <row r="54" spans="1:12">
      <c r="B54" s="15"/>
      <c r="K54"/>
      <c r="L54" s="471"/>
    </row>
    <row r="55" spans="1:12">
      <c r="A55" s="18" t="s">
        <v>421</v>
      </c>
      <c r="B55" s="21"/>
      <c r="C55" s="197"/>
      <c r="D55" s="23"/>
      <c r="F55" s="197"/>
      <c r="G55" s="197"/>
      <c r="H55" s="197"/>
      <c r="I55" s="197"/>
      <c r="J55" s="197"/>
      <c r="L55" s="386"/>
    </row>
    <row r="56" spans="1:12">
      <c r="A56" s="14" t="s">
        <v>3</v>
      </c>
      <c r="C56" s="23" t="s">
        <v>492</v>
      </c>
      <c r="D56" s="23">
        <f t="shared" ref="D56:D63" si="17">F56</f>
        <v>-64354.864451419104</v>
      </c>
      <c r="E56" t="s">
        <v>3</v>
      </c>
      <c r="F56" s="25">
        <f>SUMIFS('Authorized Rev Req'!$O$9:$O$145,'Authorized Rev Req'!$P$9:$P$145,$E56,'Authorized Rev Req'!$Q$9:$Q$145,"Y")</f>
        <v>-64354.864451419104</v>
      </c>
      <c r="G56" s="25">
        <f t="shared" ref="G56:G63" si="18">F56</f>
        <v>-64354.864451419104</v>
      </c>
      <c r="H56" s="25">
        <f t="shared" ref="H56:J57" si="19">G56</f>
        <v>-64354.864451419104</v>
      </c>
      <c r="I56" s="25">
        <f t="shared" si="19"/>
        <v>-64354.864451419104</v>
      </c>
      <c r="J56" s="25">
        <f t="shared" si="19"/>
        <v>-64354.864451419104</v>
      </c>
      <c r="K56" s="12" t="s">
        <v>95</v>
      </c>
      <c r="L56" s="385"/>
    </row>
    <row r="57" spans="1:12">
      <c r="A57" s="14" t="s">
        <v>268</v>
      </c>
      <c r="C57" t="s">
        <v>493</v>
      </c>
      <c r="D57" s="23">
        <f t="shared" si="17"/>
        <v>53048.656297202651</v>
      </c>
      <c r="E57" t="s">
        <v>267</v>
      </c>
      <c r="F57" s="25">
        <f>SUMIFS('Authorized Rev Req'!$O$9:$O$145,'Authorized Rev Req'!$P$9:$P$145,$E57,'Authorized Rev Req'!$Q$9:$Q$145,"Y")</f>
        <v>53048.656297202651</v>
      </c>
      <c r="G57" s="25">
        <f t="shared" si="18"/>
        <v>53048.656297202651</v>
      </c>
      <c r="H57" s="25">
        <f t="shared" si="19"/>
        <v>53048.656297202651</v>
      </c>
      <c r="I57" s="25">
        <f t="shared" si="19"/>
        <v>53048.656297202651</v>
      </c>
      <c r="J57" s="25">
        <f t="shared" si="19"/>
        <v>53048.656297202651</v>
      </c>
      <c r="K57" s="12" t="s">
        <v>95</v>
      </c>
      <c r="L57" s="385"/>
    </row>
    <row r="58" spans="1:12">
      <c r="A58" s="14" t="s">
        <v>5</v>
      </c>
      <c r="C58" t="s">
        <v>495</v>
      </c>
      <c r="D58" s="23">
        <f t="shared" si="17"/>
        <v>303785.10149438638</v>
      </c>
      <c r="E58" s="14" t="s">
        <v>5</v>
      </c>
      <c r="F58" s="25">
        <f>SUMIFS('Authorized Rev Req'!$O$9:$O$145,'Authorized Rev Req'!$P$9:$P$145,$E58,'Authorized Rev Req'!$Q$9:$Q$145,"Y")</f>
        <v>303785.10149438638</v>
      </c>
      <c r="G58" s="25">
        <f t="shared" si="18"/>
        <v>303785.10149438638</v>
      </c>
      <c r="H58" s="25">
        <f t="shared" ref="H58:I62" si="20">G58</f>
        <v>303785.10149438638</v>
      </c>
      <c r="I58" s="25">
        <f t="shared" si="20"/>
        <v>303785.10149438638</v>
      </c>
      <c r="J58" s="25">
        <f t="shared" ref="J58:J63" si="21">I58</f>
        <v>303785.10149438638</v>
      </c>
      <c r="K58" s="12" t="s">
        <v>95</v>
      </c>
      <c r="L58" s="385"/>
    </row>
    <row r="59" spans="1:12">
      <c r="A59" s="14" t="s">
        <v>60</v>
      </c>
      <c r="C59" t="s">
        <v>496</v>
      </c>
      <c r="D59" s="23">
        <f t="shared" si="17"/>
        <v>161229.56037695956</v>
      </c>
      <c r="E59" s="14" t="s">
        <v>60</v>
      </c>
      <c r="F59" s="25">
        <f>SUMIFS('Authorized Rev Req'!$O$9:$O$145,'Authorized Rev Req'!$P$9:$P$145,$E59,'Authorized Rev Req'!$Q$9:$Q$145,"Y")</f>
        <v>161229.56037695956</v>
      </c>
      <c r="G59" s="25">
        <f t="shared" si="18"/>
        <v>161229.56037695956</v>
      </c>
      <c r="H59" s="25">
        <f t="shared" si="20"/>
        <v>161229.56037695956</v>
      </c>
      <c r="I59" s="25">
        <f t="shared" si="20"/>
        <v>161229.56037695956</v>
      </c>
      <c r="J59" s="25">
        <f t="shared" si="21"/>
        <v>161229.56037695956</v>
      </c>
      <c r="K59" s="12" t="s">
        <v>95</v>
      </c>
      <c r="L59" s="385"/>
    </row>
    <row r="60" spans="1:12">
      <c r="A60" s="14" t="s">
        <v>102</v>
      </c>
      <c r="C60" t="s">
        <v>497</v>
      </c>
      <c r="D60" s="23">
        <f t="shared" si="17"/>
        <v>-36143.497556299997</v>
      </c>
      <c r="E60" s="14" t="s">
        <v>102</v>
      </c>
      <c r="F60" s="25">
        <f>SUMIFS('Authorized Rev Req'!$O$9:$O$145,'Authorized Rev Req'!$P$9:$P$145,$E60,'Authorized Rev Req'!$Q$9:$Q$145,"Y")</f>
        <v>-36143.497556299997</v>
      </c>
      <c r="G60" s="25">
        <f t="shared" si="18"/>
        <v>-36143.497556299997</v>
      </c>
      <c r="H60" s="25">
        <f t="shared" si="20"/>
        <v>-36143.497556299997</v>
      </c>
      <c r="I60" s="25">
        <f t="shared" si="20"/>
        <v>-36143.497556299997</v>
      </c>
      <c r="J60" s="25">
        <f t="shared" si="21"/>
        <v>-36143.497556299997</v>
      </c>
      <c r="K60" s="12" t="s">
        <v>95</v>
      </c>
      <c r="L60" s="385"/>
    </row>
    <row r="61" spans="1:12">
      <c r="A61" s="14" t="s">
        <v>81</v>
      </c>
      <c r="C61" t="s">
        <v>446</v>
      </c>
      <c r="D61" s="23">
        <f t="shared" si="17"/>
        <v>141.698564</v>
      </c>
      <c r="E61" s="14" t="s">
        <v>81</v>
      </c>
      <c r="F61" s="25">
        <f>SUMIFS('Authorized Rev Req'!$O$9:$O$145,'Authorized Rev Req'!$P$9:$P$145,$E61,'Authorized Rev Req'!$Q$9:$Q$145,"Y")</f>
        <v>141.698564</v>
      </c>
      <c r="G61" s="25">
        <f t="shared" si="18"/>
        <v>141.698564</v>
      </c>
      <c r="H61" s="25">
        <f t="shared" si="20"/>
        <v>141.698564</v>
      </c>
      <c r="I61" s="25">
        <f t="shared" si="20"/>
        <v>141.698564</v>
      </c>
      <c r="J61" s="25">
        <f t="shared" si="21"/>
        <v>141.698564</v>
      </c>
      <c r="K61" s="12" t="s">
        <v>95</v>
      </c>
      <c r="L61" s="385"/>
    </row>
    <row r="62" spans="1:12">
      <c r="A62" s="14" t="s">
        <v>14</v>
      </c>
      <c r="C62" t="s">
        <v>494</v>
      </c>
      <c r="D62" s="23">
        <f t="shared" si="17"/>
        <v>4920.9887011999999</v>
      </c>
      <c r="E62" s="14" t="s">
        <v>14</v>
      </c>
      <c r="F62" s="25">
        <f>SUMIFS('Authorized Rev Req'!$O$9:$O$145,'Authorized Rev Req'!$P$9:$P$145,$E62,'Authorized Rev Req'!$Q$9:$Q$145,"Y")</f>
        <v>4920.9887011999999</v>
      </c>
      <c r="G62" s="25">
        <f t="shared" si="18"/>
        <v>4920.9887011999999</v>
      </c>
      <c r="H62" s="25">
        <f t="shared" si="20"/>
        <v>4920.9887011999999</v>
      </c>
      <c r="I62" s="25">
        <f t="shared" si="20"/>
        <v>4920.9887011999999</v>
      </c>
      <c r="J62" s="25">
        <f t="shared" si="21"/>
        <v>4920.9887011999999</v>
      </c>
      <c r="K62" s="12" t="s">
        <v>95</v>
      </c>
      <c r="L62" s="385"/>
    </row>
    <row r="63" spans="1:12">
      <c r="A63" s="14" t="s">
        <v>79</v>
      </c>
      <c r="C63" t="s">
        <v>498</v>
      </c>
      <c r="D63" s="23">
        <f t="shared" si="17"/>
        <v>9000</v>
      </c>
      <c r="E63" t="s">
        <v>79</v>
      </c>
      <c r="F63" s="25">
        <f>'Authorized Rev Req'!O136</f>
        <v>9000</v>
      </c>
      <c r="G63" s="23">
        <f t="shared" si="18"/>
        <v>9000</v>
      </c>
      <c r="H63" s="23">
        <f>G63</f>
        <v>9000</v>
      </c>
      <c r="I63" s="23">
        <f>H63</f>
        <v>9000</v>
      </c>
      <c r="J63" s="23">
        <f t="shared" si="21"/>
        <v>9000</v>
      </c>
      <c r="K63" s="12" t="s">
        <v>95</v>
      </c>
      <c r="L63" s="385"/>
    </row>
    <row r="64" spans="1:12">
      <c r="A64" s="14"/>
      <c r="C64" s="25"/>
      <c r="D64" s="23"/>
      <c r="E64" s="14"/>
      <c r="F64" s="25"/>
      <c r="G64" s="25"/>
      <c r="H64" s="25"/>
      <c r="I64" s="25"/>
      <c r="J64" s="25"/>
      <c r="L64" s="385"/>
    </row>
    <row r="65" spans="1:16">
      <c r="A65" s="198" t="s">
        <v>106</v>
      </c>
      <c r="D65" s="23"/>
      <c r="G65" s="25"/>
      <c r="H65" s="25"/>
      <c r="I65" s="25"/>
      <c r="J65" s="25"/>
      <c r="L65"/>
    </row>
    <row r="66" spans="1:16">
      <c r="A66" t="s">
        <v>43</v>
      </c>
      <c r="C66" s="25" t="str">
        <f>'Authorized Rev Req'!B91</f>
        <v>D.08-02-034, AL 2069-E, AL 4319-E</v>
      </c>
      <c r="D66" s="23">
        <f t="shared" ref="D66:D73" si="22">F66</f>
        <v>-1423.5695200000023</v>
      </c>
      <c r="E66" t="s">
        <v>3</v>
      </c>
      <c r="F66" s="25">
        <f>'Authorized Rev Req'!O91</f>
        <v>-1423.5695200000023</v>
      </c>
      <c r="G66" s="25">
        <f t="shared" ref="G66:G73" si="23">F66</f>
        <v>-1423.5695200000023</v>
      </c>
      <c r="H66" s="25">
        <f t="shared" ref="H66:I71" si="24">G66</f>
        <v>-1423.5695200000023</v>
      </c>
      <c r="I66" s="25">
        <f t="shared" si="24"/>
        <v>-1423.5695200000023</v>
      </c>
      <c r="J66" s="25">
        <f t="shared" ref="J66:J78" si="25">I66</f>
        <v>-1423.5695200000023</v>
      </c>
      <c r="K66" s="12" t="s">
        <v>95</v>
      </c>
      <c r="L66" s="385"/>
    </row>
    <row r="67" spans="1:16">
      <c r="A67" t="s">
        <v>45</v>
      </c>
      <c r="C67" s="25" t="str">
        <f>'Authorized Rev Req'!B92</f>
        <v>D.08-02-034, AL 2069-E, AL 4319-E</v>
      </c>
      <c r="D67" s="23">
        <f t="shared" si="22"/>
        <v>7929.8560599999728</v>
      </c>
      <c r="E67" t="s">
        <v>3</v>
      </c>
      <c r="F67" s="25">
        <f>'Authorized Rev Req'!O92</f>
        <v>7929.8560599999728</v>
      </c>
      <c r="G67" s="25">
        <f t="shared" si="23"/>
        <v>7929.8560599999728</v>
      </c>
      <c r="H67" s="25">
        <f t="shared" si="24"/>
        <v>7929.8560599999728</v>
      </c>
      <c r="I67" s="25">
        <f t="shared" si="24"/>
        <v>7929.8560599999728</v>
      </c>
      <c r="J67" s="25">
        <f t="shared" si="25"/>
        <v>7929.8560599999728</v>
      </c>
      <c r="K67" s="12" t="s">
        <v>95</v>
      </c>
      <c r="L67" s="385"/>
    </row>
    <row r="68" spans="1:16">
      <c r="A68" t="s">
        <v>46</v>
      </c>
      <c r="C68" s="25" t="str">
        <f>'Authorized Rev Req'!B93</f>
        <v>D.14-01-002, AL 4319-E</v>
      </c>
      <c r="D68" s="23">
        <f t="shared" si="22"/>
        <v>329.55970000000065</v>
      </c>
      <c r="E68" t="s">
        <v>3</v>
      </c>
      <c r="F68" s="25">
        <f>'Authorized Rev Req'!O93</f>
        <v>329.55970000000065</v>
      </c>
      <c r="G68" s="25">
        <f t="shared" si="23"/>
        <v>329.55970000000065</v>
      </c>
      <c r="H68" s="25">
        <f t="shared" si="24"/>
        <v>329.55970000000065</v>
      </c>
      <c r="I68" s="25">
        <f t="shared" si="24"/>
        <v>329.55970000000065</v>
      </c>
      <c r="J68" s="25">
        <f t="shared" si="25"/>
        <v>329.55970000000065</v>
      </c>
      <c r="K68" s="12" t="s">
        <v>95</v>
      </c>
      <c r="L68" s="385"/>
    </row>
    <row r="69" spans="1:16">
      <c r="A69" t="s">
        <v>47</v>
      </c>
      <c r="C69" s="25" t="str">
        <f>'Authorized Rev Req'!B94</f>
        <v>D.08-02-034, AL 2209-E, AL 4319-E</v>
      </c>
      <c r="D69" s="23">
        <f t="shared" si="22"/>
        <v>1346.6115899999961</v>
      </c>
      <c r="E69" t="s">
        <v>3</v>
      </c>
      <c r="F69" s="25">
        <f>'Authorized Rev Req'!O94</f>
        <v>1346.6115899999961</v>
      </c>
      <c r="G69" s="25">
        <f t="shared" si="23"/>
        <v>1346.6115899999961</v>
      </c>
      <c r="H69" s="25">
        <f t="shared" si="24"/>
        <v>1346.6115899999961</v>
      </c>
      <c r="I69" s="25">
        <f t="shared" si="24"/>
        <v>1346.6115899999961</v>
      </c>
      <c r="J69" s="25">
        <f t="shared" si="25"/>
        <v>1346.6115899999961</v>
      </c>
      <c r="K69" s="12" t="s">
        <v>95</v>
      </c>
      <c r="L69" s="385"/>
    </row>
    <row r="70" spans="1:16">
      <c r="A70" t="s">
        <v>48</v>
      </c>
      <c r="C70" s="25" t="str">
        <f>'Authorized Rev Req'!B95</f>
        <v>D.12-12-004, AL 2816-E, AL 4319-E</v>
      </c>
      <c r="D70" s="23">
        <f t="shared" si="22"/>
        <v>477.35870999999997</v>
      </c>
      <c r="E70" t="s">
        <v>3</v>
      </c>
      <c r="F70" s="25">
        <f>'Authorized Rev Req'!O95</f>
        <v>477.35870999999997</v>
      </c>
      <c r="G70" s="25">
        <f t="shared" si="23"/>
        <v>477.35870999999997</v>
      </c>
      <c r="H70" s="25">
        <f t="shared" si="24"/>
        <v>477.35870999999997</v>
      </c>
      <c r="I70" s="25">
        <f t="shared" si="24"/>
        <v>477.35870999999997</v>
      </c>
      <c r="J70" s="25">
        <f t="shared" si="25"/>
        <v>477.35870999999997</v>
      </c>
      <c r="K70" s="12" t="s">
        <v>95</v>
      </c>
      <c r="L70" s="385"/>
    </row>
    <row r="71" spans="1:16">
      <c r="A71" s="14" t="s">
        <v>49</v>
      </c>
      <c r="C71" s="25" t="str">
        <f>'Authorized Rev Req'!B96</f>
        <v>D.12-12-004, AL 2816-E, AL 4319-E</v>
      </c>
      <c r="D71" s="23">
        <f t="shared" si="22"/>
        <v>1773.2363299999981</v>
      </c>
      <c r="E71" t="s">
        <v>3</v>
      </c>
      <c r="F71" s="25">
        <f>'Authorized Rev Req'!O96</f>
        <v>1773.2363299999981</v>
      </c>
      <c r="G71" s="25">
        <f t="shared" si="23"/>
        <v>1773.2363299999981</v>
      </c>
      <c r="H71" s="25">
        <f t="shared" si="24"/>
        <v>1773.2363299999981</v>
      </c>
      <c r="I71" s="25">
        <f t="shared" si="24"/>
        <v>1773.2363299999981</v>
      </c>
      <c r="J71" s="25">
        <f t="shared" si="25"/>
        <v>1773.2363299999981</v>
      </c>
      <c r="K71" s="12" t="s">
        <v>95</v>
      </c>
      <c r="L71" s="385"/>
    </row>
    <row r="72" spans="1:16" ht="13.9" customHeight="1">
      <c r="A72" t="s">
        <v>50</v>
      </c>
      <c r="C72" s="25" t="str">
        <f>'Authorized Rev Req'!B97</f>
        <v>D.12-12-004, AL 2816-E, AL 4319-E</v>
      </c>
      <c r="D72" s="23">
        <f>F72</f>
        <v>9.902400000000009</v>
      </c>
      <c r="E72" t="s">
        <v>3</v>
      </c>
      <c r="F72" s="25">
        <f>'Authorized Rev Req'!O97</f>
        <v>9.902400000000009</v>
      </c>
      <c r="G72" s="25">
        <f t="shared" si="23"/>
        <v>9.902400000000009</v>
      </c>
      <c r="H72" s="25">
        <f t="shared" ref="H72:I78" si="26">G72</f>
        <v>9.902400000000009</v>
      </c>
      <c r="I72" s="25">
        <f t="shared" si="26"/>
        <v>9.902400000000009</v>
      </c>
      <c r="J72" s="25">
        <f t="shared" si="25"/>
        <v>9.902400000000009</v>
      </c>
      <c r="K72" s="12" t="s">
        <v>95</v>
      </c>
      <c r="L72" s="385"/>
    </row>
    <row r="73" spans="1:16">
      <c r="A73" t="s">
        <v>107</v>
      </c>
      <c r="C73" s="25" t="str">
        <f>'Authorized Rev Req'!B90</f>
        <v>D.08-02-034, AL 2209-E, AL 4319-E</v>
      </c>
      <c r="D73" s="23">
        <f t="shared" si="22"/>
        <v>21772.850630000012</v>
      </c>
      <c r="E73" s="14" t="s">
        <v>5</v>
      </c>
      <c r="F73" s="25">
        <f>'Authorized Rev Req'!O90</f>
        <v>21772.850630000012</v>
      </c>
      <c r="G73" s="25">
        <f t="shared" si="23"/>
        <v>21772.850630000012</v>
      </c>
      <c r="H73" s="25">
        <f t="shared" si="26"/>
        <v>21772.850630000012</v>
      </c>
      <c r="I73" s="25">
        <f t="shared" si="26"/>
        <v>21772.850630000012</v>
      </c>
      <c r="J73" s="25">
        <f t="shared" si="25"/>
        <v>21772.850630000012</v>
      </c>
      <c r="K73" s="12" t="s">
        <v>95</v>
      </c>
      <c r="L73" s="385"/>
    </row>
    <row r="74" spans="1:16">
      <c r="A74" s="18" t="s">
        <v>9</v>
      </c>
      <c r="C74" s="197"/>
      <c r="D74" s="23"/>
      <c r="F74" s="197"/>
      <c r="G74" s="25"/>
      <c r="H74" s="25"/>
      <c r="I74" s="25"/>
      <c r="J74" s="25"/>
      <c r="L74" s="386"/>
    </row>
    <row r="75" spans="1:16">
      <c r="A75" t="s">
        <v>84</v>
      </c>
      <c r="C75" s="25" t="str">
        <f>'Authorized Rev Req'!B152</f>
        <v>ER24-524-000</v>
      </c>
      <c r="D75" s="23">
        <f>F75</f>
        <v>1015801.8622927812</v>
      </c>
      <c r="E75" t="s">
        <v>10</v>
      </c>
      <c r="F75" s="25">
        <f>'Authorized Rev Req'!O152</f>
        <v>1015801.8622927812</v>
      </c>
      <c r="G75" s="25">
        <f>F75</f>
        <v>1015801.8622927812</v>
      </c>
      <c r="H75" s="25">
        <f t="shared" si="26"/>
        <v>1015801.8622927812</v>
      </c>
      <c r="I75" s="25">
        <f t="shared" si="26"/>
        <v>1015801.8622927812</v>
      </c>
      <c r="J75" s="25">
        <f t="shared" si="25"/>
        <v>1015801.8622927812</v>
      </c>
      <c r="K75" s="12" t="s">
        <v>95</v>
      </c>
      <c r="L75" s="385"/>
    </row>
    <row r="76" spans="1:16">
      <c r="A76" s="14" t="s">
        <v>85</v>
      </c>
      <c r="C76" s="25" t="str">
        <f>'Authorized Rev Req'!B153</f>
        <v>ER24-370-000</v>
      </c>
      <c r="D76" s="23">
        <f>F76</f>
        <v>-281192.87689030415</v>
      </c>
      <c r="E76" t="s">
        <v>10</v>
      </c>
      <c r="F76" s="25">
        <f>'Authorized Rev Req'!O153</f>
        <v>-281192.87689030415</v>
      </c>
      <c r="G76" s="25">
        <f>F76</f>
        <v>-281192.87689030415</v>
      </c>
      <c r="H76" s="25">
        <f t="shared" si="26"/>
        <v>-281192.87689030415</v>
      </c>
      <c r="I76" s="25">
        <f t="shared" si="26"/>
        <v>-281192.87689030415</v>
      </c>
      <c r="J76" s="25">
        <f t="shared" si="25"/>
        <v>-281192.87689030415</v>
      </c>
      <c r="K76" s="12" t="s">
        <v>95</v>
      </c>
      <c r="L76" s="385"/>
      <c r="P76" s="13"/>
    </row>
    <row r="77" spans="1:16">
      <c r="A77" t="s">
        <v>86</v>
      </c>
      <c r="C77" s="25" t="str">
        <f>'Authorized Rev Req'!B154</f>
        <v>ER24-212-000</v>
      </c>
      <c r="D77" s="23">
        <f>F77</f>
        <v>-49504.512347211225</v>
      </c>
      <c r="E77" t="s">
        <v>10</v>
      </c>
      <c r="F77" s="25">
        <f>'Authorized Rev Req'!O154</f>
        <v>-49504.512347211225</v>
      </c>
      <c r="G77" s="25">
        <f>F77</f>
        <v>-49504.512347211225</v>
      </c>
      <c r="H77" s="25">
        <f t="shared" si="26"/>
        <v>-49504.512347211225</v>
      </c>
      <c r="I77" s="25">
        <f t="shared" si="26"/>
        <v>-49504.512347211225</v>
      </c>
      <c r="J77" s="25">
        <f t="shared" si="25"/>
        <v>-49504.512347211225</v>
      </c>
      <c r="K77" s="12" t="s">
        <v>95</v>
      </c>
      <c r="L77" s="385"/>
    </row>
    <row r="78" spans="1:16">
      <c r="A78" t="s">
        <v>259</v>
      </c>
      <c r="C78" s="25" t="str">
        <f>'Authorized Rev Req'!B155</f>
        <v>ER24-593-000</v>
      </c>
      <c r="D78" s="23">
        <f>F78</f>
        <v>141.01499621368913</v>
      </c>
      <c r="E78" t="s">
        <v>88</v>
      </c>
      <c r="F78" s="25">
        <f>'Authorized Rev Req'!O155</f>
        <v>141.01499621368913</v>
      </c>
      <c r="G78" s="25">
        <f>F78</f>
        <v>141.01499621368913</v>
      </c>
      <c r="H78" s="25">
        <f t="shared" si="26"/>
        <v>141.01499621368913</v>
      </c>
      <c r="I78" s="25">
        <f t="shared" si="26"/>
        <v>141.01499621368913</v>
      </c>
      <c r="J78" s="25">
        <f t="shared" si="25"/>
        <v>141.01499621368913</v>
      </c>
      <c r="K78" s="12" t="s">
        <v>95</v>
      </c>
      <c r="L78" s="385"/>
    </row>
    <row r="79" spans="1:16" ht="15.75" thickBot="1">
      <c r="A79" s="18" t="s">
        <v>108</v>
      </c>
      <c r="D79" s="196">
        <f>SUM(D10:D78)</f>
        <v>4192794.6521918178</v>
      </c>
      <c r="E79" s="196"/>
      <c r="F79" s="196">
        <f>SUM(F10:F78)</f>
        <v>4232711.5695818178</v>
      </c>
      <c r="G79" s="196">
        <f>SUM(G10:G78)</f>
        <v>4176574.3699629251</v>
      </c>
      <c r="H79" s="196">
        <f>SUM(H10:H78)</f>
        <v>4036393.7721263212</v>
      </c>
      <c r="I79" s="196">
        <f>SUM(I10:I78)</f>
        <v>3966048.6900400757</v>
      </c>
      <c r="J79" s="196">
        <f>SUM(J10:J78)</f>
        <v>3941819.0527541996</v>
      </c>
      <c r="K79"/>
      <c r="L79" s="21"/>
    </row>
    <row r="80" spans="1:16" ht="15.75" thickTop="1">
      <c r="D80" s="345"/>
      <c r="E80" s="329"/>
      <c r="K80"/>
    </row>
    <row r="81" spans="1:19">
      <c r="A81" s="18" t="s">
        <v>261</v>
      </c>
      <c r="E81" s="15" t="s">
        <v>261</v>
      </c>
      <c r="F81" s="261">
        <f>'Sales Allocations'!R3</f>
        <v>1E-3</v>
      </c>
      <c r="K81"/>
    </row>
    <row r="82" spans="1:19">
      <c r="A82" s="18" t="s">
        <v>262</v>
      </c>
      <c r="E82" s="15"/>
      <c r="F82" s="15"/>
      <c r="K82"/>
      <c r="L82"/>
    </row>
    <row r="83" spans="1:19">
      <c r="E83" s="15"/>
      <c r="K83"/>
      <c r="L83"/>
    </row>
    <row r="84" spans="1:19" ht="27.75" customHeight="1">
      <c r="A84" s="519" t="s">
        <v>220</v>
      </c>
      <c r="B84" s="519"/>
      <c r="C84" s="519"/>
      <c r="D84" s="519"/>
      <c r="E84" s="519"/>
      <c r="F84" s="519"/>
      <c r="G84" s="519"/>
      <c r="H84" s="519"/>
      <c r="I84" s="519"/>
      <c r="J84" s="519"/>
      <c r="K84" s="519"/>
      <c r="L84" s="350"/>
      <c r="N84" s="515" t="s">
        <v>168</v>
      </c>
      <c r="O84" s="515"/>
      <c r="P84" s="515"/>
      <c r="Q84" s="515"/>
      <c r="R84" s="515"/>
      <c r="S84" s="515"/>
    </row>
    <row r="85" spans="1:19" ht="81.75" customHeight="1">
      <c r="A85" s="30" t="s">
        <v>0</v>
      </c>
      <c r="B85" s="30" t="s">
        <v>92</v>
      </c>
      <c r="C85" s="31" t="s">
        <v>165</v>
      </c>
      <c r="D85" s="31" t="s">
        <v>126</v>
      </c>
      <c r="E85" s="31" t="s">
        <v>110</v>
      </c>
      <c r="F85" s="521" t="s">
        <v>422</v>
      </c>
      <c r="G85" s="521"/>
      <c r="H85" s="521"/>
      <c r="I85" s="521"/>
      <c r="J85" s="521"/>
      <c r="K85" s="31" t="s">
        <v>93</v>
      </c>
      <c r="L85" s="350" t="s">
        <v>166</v>
      </c>
      <c r="N85" s="19"/>
      <c r="O85" s="19">
        <v>2024</v>
      </c>
      <c r="P85" s="19">
        <v>2025</v>
      </c>
      <c r="Q85" s="19">
        <v>2026</v>
      </c>
      <c r="R85" s="19">
        <v>2027</v>
      </c>
      <c r="S85" s="19">
        <v>2028</v>
      </c>
    </row>
    <row r="86" spans="1:19" ht="28.5" customHeight="1">
      <c r="A86" s="18" t="s">
        <v>2</v>
      </c>
      <c r="C86" s="32"/>
      <c r="D86" s="32"/>
      <c r="E86" s="32"/>
      <c r="F86">
        <v>2024</v>
      </c>
      <c r="G86">
        <v>2025</v>
      </c>
      <c r="H86">
        <v>2026</v>
      </c>
      <c r="I86">
        <v>2027</v>
      </c>
      <c r="J86">
        <v>2028</v>
      </c>
      <c r="K86"/>
      <c r="M86" s="13"/>
      <c r="N86" s="80" t="s">
        <v>3</v>
      </c>
      <c r="O86" s="79">
        <f t="shared" ref="O86:O94" si="27">SUM(O9,SUMIFS(F$87:F$115,$E$87:$E$115,$N86,$L$87:$L$115,"y"))</f>
        <v>568677.46638791985</v>
      </c>
      <c r="P86" s="79">
        <f t="shared" ref="P86:P94" si="28">SUM(P9,SUMIFS(G$87:G$115,$E$87:$E$115,$N86,$L$87:$L$115,"y"))</f>
        <v>553504.05995619053</v>
      </c>
      <c r="Q86" s="79">
        <f t="shared" ref="Q86:Q94" si="29">SUM(Q9,SUMIFS(H$87:H$115,$E$87:$E$115,$N86,$L$87:$L$115,"y"))</f>
        <v>557533.38172836741</v>
      </c>
      <c r="R86" s="79">
        <f t="shared" ref="R86:R94" si="30">SUM(R9,SUMIFS(I$87:I$115,$E$87:$E$115,$N86,$L$87:$L$115,"y"))</f>
        <v>561294.9822280904</v>
      </c>
      <c r="S86" s="79">
        <f t="shared" ref="S86:S94" si="31">SUM(S9,SUMIFS(J$87:J$115,$E$87:$E$115,$N86,$L$87:$L$115,"y"))</f>
        <v>561294.98561063758</v>
      </c>
    </row>
    <row r="87" spans="1:19">
      <c r="A87" t="s">
        <v>357</v>
      </c>
      <c r="B87" t="s">
        <v>358</v>
      </c>
      <c r="C87" s="520" t="s">
        <v>501</v>
      </c>
      <c r="D87" s="23">
        <f>SUM(F87:I87)</f>
        <v>2975720.9456733232</v>
      </c>
      <c r="E87" s="32" t="s">
        <v>5</v>
      </c>
      <c r="F87" s="25">
        <v>357588.54553335719</v>
      </c>
      <c r="G87" s="25">
        <v>637960.78009503242</v>
      </c>
      <c r="H87" s="25">
        <v>871940.12941058446</v>
      </c>
      <c r="I87" s="25">
        <v>1108231.4906343492</v>
      </c>
      <c r="J87" s="25">
        <v>1108231.4906343492</v>
      </c>
      <c r="K87" s="12" t="s">
        <v>95</v>
      </c>
      <c r="L87" s="199" t="str">
        <f>VLOOKUP(A87,Summary!$B$7:$E$14,3,FALSE)</f>
        <v>Y</v>
      </c>
      <c r="N87" s="80" t="s">
        <v>433</v>
      </c>
      <c r="O87" s="79">
        <f t="shared" si="27"/>
        <v>646.63774141190402</v>
      </c>
      <c r="P87" s="79">
        <f t="shared" si="28"/>
        <v>316.25998112014071</v>
      </c>
      <c r="Q87" s="79">
        <f t="shared" si="29"/>
        <v>316.25998112014071</v>
      </c>
      <c r="R87" s="79">
        <f t="shared" si="30"/>
        <v>316.25998112014071</v>
      </c>
      <c r="S87" s="79">
        <f t="shared" si="31"/>
        <v>316.25998112014071</v>
      </c>
    </row>
    <row r="88" spans="1:19">
      <c r="A88" t="s">
        <v>357</v>
      </c>
      <c r="B88" t="s">
        <v>358</v>
      </c>
      <c r="C88" s="520"/>
      <c r="D88" s="23">
        <f>SUM(F88:I88)</f>
        <v>123495.27435804726</v>
      </c>
      <c r="E88" t="s">
        <v>3</v>
      </c>
      <c r="F88" s="25">
        <v>24331.576874729821</v>
      </c>
      <c r="G88" s="25">
        <v>29114.381035409308</v>
      </c>
      <c r="H88" s="25">
        <v>33143.689332457485</v>
      </c>
      <c r="I88" s="25">
        <v>36905.627115450647</v>
      </c>
      <c r="J88" s="25">
        <v>36905.627115450647</v>
      </c>
      <c r="K88" s="12" t="s">
        <v>95</v>
      </c>
      <c r="L88" s="199" t="str">
        <f>VLOOKUP(A88,Summary!$B$7:$E$14,3,FALSE)</f>
        <v>Y</v>
      </c>
      <c r="M88" s="14"/>
      <c r="N88" s="80" t="s">
        <v>60</v>
      </c>
      <c r="O88" s="79">
        <f t="shared" si="27"/>
        <v>368769.24400659313</v>
      </c>
      <c r="P88" s="79">
        <f t="shared" si="28"/>
        <v>164700.95595209135</v>
      </c>
      <c r="Q88" s="79">
        <f t="shared" si="29"/>
        <v>164700.95595209135</v>
      </c>
      <c r="R88" s="79">
        <f t="shared" si="30"/>
        <v>164700.95595209135</v>
      </c>
      <c r="S88" s="79">
        <f t="shared" si="31"/>
        <v>164700.95595209135</v>
      </c>
    </row>
    <row r="89" spans="1:19">
      <c r="A89" t="s">
        <v>419</v>
      </c>
      <c r="B89" s="12" t="s">
        <v>420</v>
      </c>
      <c r="C89" t="s">
        <v>240</v>
      </c>
      <c r="D89" s="23">
        <f t="shared" ref="D89" si="32">SUM(G89:J89)</f>
        <v>363807.04593678832</v>
      </c>
      <c r="E89" t="s">
        <v>5</v>
      </c>
      <c r="F89" s="12"/>
      <c r="H89" s="25">
        <v>121269.01531226278</v>
      </c>
      <c r="I89" s="25">
        <v>121269.01531226278</v>
      </c>
      <c r="J89" s="25">
        <v>121269.01531226278</v>
      </c>
      <c r="K89" s="12" t="s">
        <v>95</v>
      </c>
      <c r="L89" s="199" t="str">
        <f>VLOOKUP(A89,Summary!$B$7:$E$14,3,FALSE)</f>
        <v>Y</v>
      </c>
      <c r="M89" s="14"/>
      <c r="N89" s="80" t="s">
        <v>5</v>
      </c>
      <c r="O89" s="79">
        <f t="shared" si="27"/>
        <v>2705897.3758437061</v>
      </c>
      <c r="P89" s="79">
        <f t="shared" si="28"/>
        <v>2934673.3773423666</v>
      </c>
      <c r="Q89" s="79">
        <f t="shared" si="29"/>
        <v>3157287.4176584492</v>
      </c>
      <c r="R89" s="79">
        <f t="shared" si="30"/>
        <v>3321072.1550792372</v>
      </c>
      <c r="S89" s="79">
        <f t="shared" si="31"/>
        <v>3320018.455959212</v>
      </c>
    </row>
    <row r="90" spans="1:19">
      <c r="A90" t="s">
        <v>512</v>
      </c>
      <c r="B90" t="s">
        <v>511</v>
      </c>
      <c r="C90" t="s">
        <v>240</v>
      </c>
      <c r="D90" s="23">
        <f>G90</f>
        <v>34295</v>
      </c>
      <c r="E90" t="s">
        <v>102</v>
      </c>
      <c r="G90" s="26">
        <v>34295</v>
      </c>
      <c r="H90" s="26">
        <f>G90</f>
        <v>34295</v>
      </c>
      <c r="I90" s="26">
        <f t="shared" ref="I90:J90" si="33">H90</f>
        <v>34295</v>
      </c>
      <c r="J90" s="26">
        <f t="shared" si="33"/>
        <v>34295</v>
      </c>
      <c r="K90" t="s">
        <v>112</v>
      </c>
      <c r="L90" s="199" t="str">
        <f>VLOOKUP(A90,Summary!$B$7:$E$14,3,FALSE)</f>
        <v>Y</v>
      </c>
      <c r="M90" s="14"/>
      <c r="N90" t="s">
        <v>100</v>
      </c>
      <c r="O90" s="12">
        <f t="shared" si="27"/>
        <v>-232593.89170328664</v>
      </c>
      <c r="P90" s="79">
        <f t="shared" si="28"/>
        <v>-305546.22775508644</v>
      </c>
      <c r="Q90" s="79">
        <f t="shared" si="29"/>
        <v>-305546.22775508644</v>
      </c>
      <c r="R90" s="79">
        <f t="shared" si="30"/>
        <v>-305546.22775508644</v>
      </c>
      <c r="S90" s="79">
        <f t="shared" si="31"/>
        <v>-305546.22775508644</v>
      </c>
    </row>
    <row r="91" spans="1:19">
      <c r="C91" s="294"/>
      <c r="D91" s="23"/>
      <c r="L91" s="199"/>
      <c r="M91" s="14"/>
      <c r="N91" s="80" t="s">
        <v>14</v>
      </c>
      <c r="O91" s="79">
        <f t="shared" si="27"/>
        <v>9899.0440657074287</v>
      </c>
      <c r="P91" s="79">
        <f t="shared" si="28"/>
        <v>7060.0259316810334</v>
      </c>
      <c r="Q91" s="79">
        <f t="shared" si="29"/>
        <v>7060.0259316810334</v>
      </c>
      <c r="R91" s="79">
        <f t="shared" si="30"/>
        <v>7060.0259316810334</v>
      </c>
      <c r="S91" s="79">
        <f t="shared" si="31"/>
        <v>7060.0259316810334</v>
      </c>
    </row>
    <row r="92" spans="1:19">
      <c r="A92" s="18" t="s">
        <v>7</v>
      </c>
      <c r="D92" s="23"/>
      <c r="E92" s="32"/>
      <c r="F92" s="25"/>
      <c r="G92" s="25"/>
      <c r="H92" s="25"/>
      <c r="I92" s="25"/>
      <c r="J92" s="25"/>
      <c r="K92" s="15"/>
      <c r="L92" s="199"/>
      <c r="M92" s="14"/>
      <c r="N92" s="80" t="s">
        <v>81</v>
      </c>
      <c r="O92" s="79">
        <f t="shared" si="27"/>
        <v>1442.708990029</v>
      </c>
      <c r="P92" s="79">
        <f t="shared" si="28"/>
        <v>1442.708990029</v>
      </c>
      <c r="Q92" s="79">
        <f t="shared" si="29"/>
        <v>1442.708990029</v>
      </c>
      <c r="R92" s="79">
        <f t="shared" si="30"/>
        <v>1442.708990029</v>
      </c>
      <c r="S92" s="79">
        <f t="shared" si="31"/>
        <v>1442.708990029</v>
      </c>
    </row>
    <row r="93" spans="1:19">
      <c r="A93" t="s">
        <v>437</v>
      </c>
      <c r="B93" t="s">
        <v>514</v>
      </c>
      <c r="C93" t="s">
        <v>240</v>
      </c>
      <c r="D93" s="23">
        <f>G93</f>
        <v>-31698.594859607081</v>
      </c>
      <c r="E93" s="32" t="s">
        <v>3</v>
      </c>
      <c r="F93" s="25"/>
      <c r="G93" s="25">
        <v>-31698.594859607081</v>
      </c>
      <c r="H93" s="25">
        <f>G93</f>
        <v>-31698.594859607081</v>
      </c>
      <c r="I93" s="25">
        <f t="shared" ref="I93:J93" si="34">H93</f>
        <v>-31698.594859607081</v>
      </c>
      <c r="J93" s="25">
        <f t="shared" si="34"/>
        <v>-31698.594859607081</v>
      </c>
      <c r="K93" s="12" t="s">
        <v>95</v>
      </c>
      <c r="L93" s="199" t="str">
        <f>VLOOKUP(A93,Summary!$B$7:$E$14,3,FALSE)</f>
        <v>Y</v>
      </c>
      <c r="N93" s="81" t="s">
        <v>102</v>
      </c>
      <c r="O93" s="79">
        <f t="shared" si="27"/>
        <v>311027.02644370002</v>
      </c>
      <c r="P93" s="79">
        <f t="shared" si="28"/>
        <v>341063.06738549378</v>
      </c>
      <c r="Q93" s="79">
        <f t="shared" si="29"/>
        <v>333516.78038549382</v>
      </c>
      <c r="R93" s="79">
        <f t="shared" si="30"/>
        <v>335678.65938549378</v>
      </c>
      <c r="S93" s="79">
        <f t="shared" si="31"/>
        <v>312502.71783709689</v>
      </c>
    </row>
    <row r="94" spans="1:19">
      <c r="A94" t="s">
        <v>437</v>
      </c>
      <c r="B94" t="s">
        <v>514</v>
      </c>
      <c r="C94" t="s">
        <v>240</v>
      </c>
      <c r="D94" s="23">
        <f t="shared" ref="D94:D108" si="35">G94</f>
        <v>-49487.611360084906</v>
      </c>
      <c r="E94" s="32" t="s">
        <v>3</v>
      </c>
      <c r="F94" s="25"/>
      <c r="G94" s="25">
        <v>-49487.611360084906</v>
      </c>
      <c r="H94" s="25">
        <f t="shared" ref="H94:J108" si="36">G94</f>
        <v>-49487.611360084906</v>
      </c>
      <c r="I94" s="25">
        <f t="shared" si="36"/>
        <v>-49487.611360084906</v>
      </c>
      <c r="J94" s="25">
        <f t="shared" si="36"/>
        <v>-49487.611360084906</v>
      </c>
      <c r="K94" s="12" t="s">
        <v>95</v>
      </c>
      <c r="L94" s="199" t="str">
        <f>VLOOKUP(A94,Summary!$B$7:$E$14,3,FALSE)</f>
        <v>Y</v>
      </c>
      <c r="M94" s="473"/>
      <c r="N94" s="80" t="s">
        <v>98</v>
      </c>
      <c r="O94" s="79">
        <f t="shared" si="27"/>
        <v>0</v>
      </c>
      <c r="P94" s="79">
        <f t="shared" si="28"/>
        <v>0</v>
      </c>
      <c r="Q94" s="79">
        <f t="shared" si="29"/>
        <v>0</v>
      </c>
      <c r="R94" s="79">
        <f t="shared" si="30"/>
        <v>0</v>
      </c>
      <c r="S94" s="79">
        <f t="shared" si="31"/>
        <v>0</v>
      </c>
    </row>
    <row r="95" spans="1:19">
      <c r="A95" t="s">
        <v>437</v>
      </c>
      <c r="B95" t="s">
        <v>514</v>
      </c>
      <c r="C95" t="s">
        <v>240</v>
      </c>
      <c r="D95" s="23">
        <f t="shared" si="35"/>
        <v>-49070.057340222433</v>
      </c>
      <c r="E95" s="32" t="s">
        <v>3</v>
      </c>
      <c r="F95" s="25"/>
      <c r="G95" s="25">
        <v>-49070.057340222433</v>
      </c>
      <c r="H95" s="25">
        <f t="shared" si="36"/>
        <v>-49070.057340222433</v>
      </c>
      <c r="I95" s="25">
        <f t="shared" si="36"/>
        <v>-49070.057340222433</v>
      </c>
      <c r="J95" s="25">
        <f t="shared" si="36"/>
        <v>-49070.057340222433</v>
      </c>
      <c r="K95" s="12" t="s">
        <v>95</v>
      </c>
      <c r="L95" s="199" t="str">
        <f>VLOOKUP(A95,Summary!$B$7:$E$14,3,FALSE)</f>
        <v>Y</v>
      </c>
      <c r="M95" s="474"/>
      <c r="N95" s="80" t="s">
        <v>235</v>
      </c>
      <c r="O95" s="79">
        <f>SUM(O22,SUMIFS(F$87:F$115,$E$87:$E$115,$N95,$L$87:$L$115,"y"))</f>
        <v>84674.29105918284</v>
      </c>
      <c r="P95" s="79">
        <f>SUM(P22,SUMIFS(G$87:G$115,$E$87:$E$115,$N95,$L$87:$L$115,"y"))</f>
        <v>84674.29105918284</v>
      </c>
      <c r="Q95" s="79">
        <f>SUM(Q22,SUMIFS(H$87:H$115,$E$87:$E$115,$N95,$L$87:$L$115,"y"))</f>
        <v>84674.29105918284</v>
      </c>
      <c r="R95" s="79">
        <f>SUM(R22,SUMIFS(I$87:I$115,$E$87:$E$115,$N95,$L$87:$L$115,"y"))</f>
        <v>84674.29105918284</v>
      </c>
      <c r="S95" s="79">
        <f>SUM(S22,SUMIFS(J$87:J$115,$E$87:$E$115,$N95,$L$87:$L$115,"y"))</f>
        <v>84674.29105918284</v>
      </c>
    </row>
    <row r="96" spans="1:19">
      <c r="A96" t="s">
        <v>437</v>
      </c>
      <c r="B96" t="s">
        <v>514</v>
      </c>
      <c r="C96" t="s">
        <v>240</v>
      </c>
      <c r="D96" s="23">
        <f t="shared" si="35"/>
        <v>110582.06046517828</v>
      </c>
      <c r="E96" s="32" t="s">
        <v>3</v>
      </c>
      <c r="F96" s="25"/>
      <c r="G96" s="25">
        <v>110582.06046517828</v>
      </c>
      <c r="H96" s="25">
        <f t="shared" si="36"/>
        <v>110582.06046517828</v>
      </c>
      <c r="I96" s="25">
        <f t="shared" si="36"/>
        <v>110582.06046517828</v>
      </c>
      <c r="J96" s="25">
        <f t="shared" si="36"/>
        <v>110582.06046517828</v>
      </c>
      <c r="K96" s="12" t="s">
        <v>95</v>
      </c>
      <c r="L96" s="199" t="str">
        <f>VLOOKUP(A96,Summary!$B$7:$E$14,3,FALSE)</f>
        <v>Y</v>
      </c>
      <c r="M96" s="474"/>
      <c r="N96" s="80" t="s">
        <v>267</v>
      </c>
      <c r="O96" s="79">
        <f t="shared" ref="O96:S99" si="37">SUM(O18,SUMIFS(F$87:F$115,$E$87:$E$115,$N96,$L$87:$L$115,"y"))</f>
        <v>101946.30110346289</v>
      </c>
      <c r="P96" s="79">
        <f t="shared" si="37"/>
        <v>148544.86173085781</v>
      </c>
      <c r="Q96" s="79">
        <f t="shared" si="37"/>
        <v>148544.86173085781</v>
      </c>
      <c r="R96" s="79">
        <f t="shared" si="37"/>
        <v>148544.86173085781</v>
      </c>
      <c r="S96" s="79">
        <f t="shared" si="37"/>
        <v>148544.86173085781</v>
      </c>
    </row>
    <row r="97" spans="1:19">
      <c r="A97" t="s">
        <v>437</v>
      </c>
      <c r="B97" t="s">
        <v>514</v>
      </c>
      <c r="C97" t="s">
        <v>240</v>
      </c>
      <c r="D97" s="23">
        <f t="shared" si="35"/>
        <v>-72952.336051799793</v>
      </c>
      <c r="E97" s="32" t="s">
        <v>100</v>
      </c>
      <c r="F97" s="25"/>
      <c r="G97" s="25">
        <v>-72952.336051799793</v>
      </c>
      <c r="H97" s="25">
        <f t="shared" si="36"/>
        <v>-72952.336051799793</v>
      </c>
      <c r="I97" s="25">
        <f t="shared" si="36"/>
        <v>-72952.336051799793</v>
      </c>
      <c r="J97" s="25">
        <f t="shared" si="36"/>
        <v>-72952.336051799793</v>
      </c>
      <c r="K97" s="12" t="s">
        <v>95</v>
      </c>
      <c r="L97" s="199" t="str">
        <f>VLOOKUP(A97,Summary!$B$7:$E$14,3,FALSE)</f>
        <v>Y</v>
      </c>
      <c r="M97" s="474"/>
      <c r="N97" s="80" t="s">
        <v>10</v>
      </c>
      <c r="O97" s="79">
        <f t="shared" si="37"/>
        <v>685104.47305526584</v>
      </c>
      <c r="P97" s="79">
        <f t="shared" si="37"/>
        <v>685104.47305526584</v>
      </c>
      <c r="Q97" s="79">
        <f t="shared" si="37"/>
        <v>685104.47305526584</v>
      </c>
      <c r="R97" s="79">
        <f t="shared" si="37"/>
        <v>685104.47305526584</v>
      </c>
      <c r="S97" s="79">
        <f t="shared" si="37"/>
        <v>685104.47305526584</v>
      </c>
    </row>
    <row r="98" spans="1:19">
      <c r="A98" t="s">
        <v>437</v>
      </c>
      <c r="B98" t="s">
        <v>514</v>
      </c>
      <c r="C98" t="s">
        <v>240</v>
      </c>
      <c r="D98" s="23">
        <f t="shared" si="35"/>
        <v>-2839.0181340263948</v>
      </c>
      <c r="E98" s="32" t="s">
        <v>14</v>
      </c>
      <c r="F98" s="25"/>
      <c r="G98" s="25">
        <v>-2839.0181340263948</v>
      </c>
      <c r="H98" s="25">
        <f t="shared" si="36"/>
        <v>-2839.0181340263948</v>
      </c>
      <c r="I98" s="25">
        <f t="shared" si="36"/>
        <v>-2839.0181340263948</v>
      </c>
      <c r="J98" s="25">
        <f t="shared" si="36"/>
        <v>-2839.0181340263948</v>
      </c>
      <c r="K98" s="12" t="s">
        <v>95</v>
      </c>
      <c r="L98" s="199" t="str">
        <f>VLOOKUP(A98,Summary!$B$7:$E$14,3,FALSE)</f>
        <v>Y</v>
      </c>
      <c r="N98" s="80" t="s">
        <v>88</v>
      </c>
      <c r="O98" s="79">
        <f t="shared" si="37"/>
        <v>141.01499621368913</v>
      </c>
      <c r="P98" s="79">
        <f t="shared" si="37"/>
        <v>141.01499621368913</v>
      </c>
      <c r="Q98" s="79">
        <f t="shared" si="37"/>
        <v>141.01499621368913</v>
      </c>
      <c r="R98" s="79">
        <f t="shared" si="37"/>
        <v>141.01499621368913</v>
      </c>
      <c r="S98" s="79">
        <f t="shared" si="37"/>
        <v>141.01499621368913</v>
      </c>
    </row>
    <row r="99" spans="1:19">
      <c r="A99" t="s">
        <v>566</v>
      </c>
      <c r="B99" t="s">
        <v>514</v>
      </c>
      <c r="C99" t="s">
        <v>240</v>
      </c>
      <c r="D99" s="485"/>
      <c r="E99" t="s">
        <v>102</v>
      </c>
      <c r="F99" s="486"/>
      <c r="G99" s="485"/>
      <c r="H99" s="485"/>
      <c r="I99" s="485"/>
      <c r="J99" s="485"/>
      <c r="K99" s="12" t="s">
        <v>95</v>
      </c>
      <c r="L99" s="199" t="s">
        <v>26</v>
      </c>
      <c r="N99" s="80" t="s">
        <v>79</v>
      </c>
      <c r="O99" s="79">
        <f t="shared" si="37"/>
        <v>9000</v>
      </c>
      <c r="P99" s="79">
        <f t="shared" si="37"/>
        <v>9000</v>
      </c>
      <c r="Q99" s="79">
        <f t="shared" si="37"/>
        <v>9000</v>
      </c>
      <c r="R99" s="79">
        <f t="shared" si="37"/>
        <v>9000</v>
      </c>
      <c r="S99" s="79">
        <f t="shared" si="37"/>
        <v>9000</v>
      </c>
    </row>
    <row r="100" spans="1:19" ht="13.15" customHeight="1">
      <c r="A100" t="s">
        <v>437</v>
      </c>
      <c r="B100" t="s">
        <v>514</v>
      </c>
      <c r="C100" t="s">
        <v>240</v>
      </c>
      <c r="D100" s="23">
        <f t="shared" si="35"/>
        <v>0</v>
      </c>
      <c r="E100" s="32" t="s">
        <v>102</v>
      </c>
      <c r="F100" s="25"/>
      <c r="G100" s="25">
        <v>0</v>
      </c>
      <c r="H100" s="25">
        <f t="shared" si="36"/>
        <v>0</v>
      </c>
      <c r="I100" s="25">
        <f t="shared" si="36"/>
        <v>0</v>
      </c>
      <c r="J100" s="25">
        <f t="shared" si="36"/>
        <v>0</v>
      </c>
      <c r="K100" s="12" t="s">
        <v>95</v>
      </c>
      <c r="L100" s="199" t="str">
        <f>VLOOKUP(A100,Summary!$B$7:$E$14,3,FALSE)</f>
        <v>Y</v>
      </c>
      <c r="M100" s="13"/>
      <c r="N100" s="12" t="s">
        <v>116</v>
      </c>
      <c r="O100" s="12">
        <f>SUM(O86:O99)</f>
        <v>4614631.6919899061</v>
      </c>
      <c r="P100" s="12">
        <f>SUM(P86:P99)</f>
        <v>4624678.8686254062</v>
      </c>
      <c r="Q100" s="12">
        <f>SUM(Q86:Q99)</f>
        <v>4843775.9437136659</v>
      </c>
      <c r="R100" s="12">
        <f>SUM(R86:R99)</f>
        <v>5013484.1606341777</v>
      </c>
      <c r="S100" s="12">
        <f>SUM(S86:S99)</f>
        <v>4989254.5233483016</v>
      </c>
    </row>
    <row r="101" spans="1:19">
      <c r="A101" t="s">
        <v>437</v>
      </c>
      <c r="B101" t="s">
        <v>514</v>
      </c>
      <c r="C101" t="s">
        <v>240</v>
      </c>
      <c r="D101" s="23">
        <f t="shared" si="35"/>
        <v>0</v>
      </c>
      <c r="E101" s="32" t="s">
        <v>102</v>
      </c>
      <c r="F101" s="25"/>
      <c r="G101" s="25">
        <v>0</v>
      </c>
      <c r="H101" s="25">
        <f t="shared" si="36"/>
        <v>0</v>
      </c>
      <c r="I101" s="25">
        <f t="shared" si="36"/>
        <v>0</v>
      </c>
      <c r="J101" s="25">
        <f t="shared" si="36"/>
        <v>0</v>
      </c>
      <c r="K101" s="12" t="s">
        <v>95</v>
      </c>
      <c r="L101" s="199" t="str">
        <f>VLOOKUP(A101,Summary!$B$7:$E$14,3,FALSE)</f>
        <v>Y</v>
      </c>
      <c r="N101" s="83" t="s">
        <v>169</v>
      </c>
      <c r="O101" s="12">
        <f>O100-O23</f>
        <v>381920.12240808737</v>
      </c>
      <c r="P101" s="12">
        <f>P100-P23</f>
        <v>448104.49866248062</v>
      </c>
      <c r="Q101" s="12">
        <f>Q100-Q23</f>
        <v>807382.17158734379</v>
      </c>
      <c r="R101" s="12">
        <f>R100-R23</f>
        <v>1047435.4705941021</v>
      </c>
      <c r="S101" s="12">
        <f>S100-S23</f>
        <v>1047435.4705941011</v>
      </c>
    </row>
    <row r="102" spans="1:19">
      <c r="A102" t="s">
        <v>437</v>
      </c>
      <c r="B102" t="s">
        <v>514</v>
      </c>
      <c r="C102" t="s">
        <v>240</v>
      </c>
      <c r="D102" s="23">
        <f t="shared" si="35"/>
        <v>0</v>
      </c>
      <c r="E102" s="32" t="s">
        <v>81</v>
      </c>
      <c r="F102" s="25"/>
      <c r="G102" s="25">
        <v>0</v>
      </c>
      <c r="H102" s="25">
        <f t="shared" si="36"/>
        <v>0</v>
      </c>
      <c r="I102" s="25">
        <f t="shared" si="36"/>
        <v>0</v>
      </c>
      <c r="J102" s="25">
        <f t="shared" si="36"/>
        <v>0</v>
      </c>
      <c r="K102" s="12" t="s">
        <v>95</v>
      </c>
      <c r="L102" s="199" t="str">
        <f>VLOOKUP(A102,Summary!$B$7:$E$14,3,FALSE)</f>
        <v>Y</v>
      </c>
      <c r="M102" s="82"/>
      <c r="N102" s="12" t="s">
        <v>261</v>
      </c>
      <c r="O102" s="263">
        <f>'Sales Allocations'!R3</f>
        <v>1E-3</v>
      </c>
      <c r="P102" s="12"/>
      <c r="Q102" s="12"/>
      <c r="R102" s="12"/>
      <c r="S102" s="12"/>
    </row>
    <row r="103" spans="1:19">
      <c r="A103" t="s">
        <v>437</v>
      </c>
      <c r="B103" t="s">
        <v>514</v>
      </c>
      <c r="C103" t="s">
        <v>240</v>
      </c>
      <c r="D103" s="23">
        <f t="shared" si="35"/>
        <v>9430.4286187023972</v>
      </c>
      <c r="E103" s="32" t="s">
        <v>60</v>
      </c>
      <c r="F103" s="25"/>
      <c r="G103" s="25">
        <v>9430.4286187023972</v>
      </c>
      <c r="H103" s="25">
        <f t="shared" si="36"/>
        <v>9430.4286187023972</v>
      </c>
      <c r="I103" s="25">
        <f t="shared" si="36"/>
        <v>9430.4286187023972</v>
      </c>
      <c r="J103" s="25">
        <f t="shared" si="36"/>
        <v>9430.4286187023972</v>
      </c>
      <c r="K103" s="12" t="s">
        <v>95</v>
      </c>
      <c r="L103" s="199" t="str">
        <f>VLOOKUP(A103,Summary!$B$7:$E$14,3,FALSE)</f>
        <v>Y</v>
      </c>
      <c r="O103" s="12"/>
      <c r="P103" s="263"/>
      <c r="Q103" s="12"/>
      <c r="R103" s="12"/>
      <c r="S103" s="12"/>
    </row>
    <row r="104" spans="1:19" ht="15.75">
      <c r="A104" t="s">
        <v>437</v>
      </c>
      <c r="B104" t="s">
        <v>514</v>
      </c>
      <c r="C104" t="s">
        <v>240</v>
      </c>
      <c r="D104" s="23">
        <f t="shared" si="35"/>
        <v>-213498.71667320418</v>
      </c>
      <c r="E104" s="32" t="s">
        <v>60</v>
      </c>
      <c r="F104" s="25"/>
      <c r="G104" s="25">
        <v>-213498.71667320418</v>
      </c>
      <c r="H104" s="25">
        <f t="shared" si="36"/>
        <v>-213498.71667320418</v>
      </c>
      <c r="I104" s="25">
        <f t="shared" si="36"/>
        <v>-213498.71667320418</v>
      </c>
      <c r="J104" s="25">
        <f t="shared" si="36"/>
        <v>-213498.71667320418</v>
      </c>
      <c r="K104" s="12" t="s">
        <v>95</v>
      </c>
      <c r="L104" s="199" t="str">
        <f>VLOOKUP(A104,Summary!$B$7:$E$14,3,FALSE)</f>
        <v>Y</v>
      </c>
      <c r="O104" s="330"/>
      <c r="P104" s="331"/>
      <c r="Q104" s="331"/>
      <c r="R104" s="331"/>
      <c r="S104" s="331"/>
    </row>
    <row r="105" spans="1:19">
      <c r="A105" t="s">
        <v>437</v>
      </c>
      <c r="B105" t="s">
        <v>514</v>
      </c>
      <c r="C105" t="s">
        <v>240</v>
      </c>
      <c r="D105" s="23">
        <f t="shared" si="35"/>
        <v>192598.33573985231</v>
      </c>
      <c r="E105" s="32" t="s">
        <v>267</v>
      </c>
      <c r="F105" s="25"/>
      <c r="G105" s="25">
        <v>192598.33573985231</v>
      </c>
      <c r="H105" s="25">
        <f t="shared" si="36"/>
        <v>192598.33573985231</v>
      </c>
      <c r="I105" s="25">
        <f t="shared" si="36"/>
        <v>192598.33573985231</v>
      </c>
      <c r="J105" s="25">
        <f t="shared" si="36"/>
        <v>192598.33573985231</v>
      </c>
      <c r="K105" s="12" t="s">
        <v>95</v>
      </c>
      <c r="L105" s="199" t="str">
        <f>VLOOKUP(A105,Summary!$B$7:$E$14,3,FALSE)</f>
        <v>Y</v>
      </c>
    </row>
    <row r="106" spans="1:19">
      <c r="A106" t="s">
        <v>437</v>
      </c>
      <c r="B106" t="s">
        <v>514</v>
      </c>
      <c r="C106" t="s">
        <v>240</v>
      </c>
      <c r="D106" s="23">
        <f t="shared" si="35"/>
        <v>-162089.65853368427</v>
      </c>
      <c r="E106" s="32" t="s">
        <v>267</v>
      </c>
      <c r="F106" s="25"/>
      <c r="G106" s="25">
        <v>-162089.65853368427</v>
      </c>
      <c r="H106" s="25">
        <f t="shared" si="36"/>
        <v>-162089.65853368427</v>
      </c>
      <c r="I106" s="25">
        <f t="shared" si="36"/>
        <v>-162089.65853368427</v>
      </c>
      <c r="J106" s="25">
        <f t="shared" si="36"/>
        <v>-162089.65853368427</v>
      </c>
      <c r="K106" s="12" t="s">
        <v>95</v>
      </c>
      <c r="L106" s="199" t="str">
        <f>VLOOKUP(A106,Summary!$B$7:$E$14,3,FALSE)</f>
        <v>Y</v>
      </c>
    </row>
    <row r="107" spans="1:19">
      <c r="A107" t="s">
        <v>437</v>
      </c>
      <c r="B107" t="s">
        <v>514</v>
      </c>
      <c r="C107" t="s">
        <v>240</v>
      </c>
      <c r="D107" s="23">
        <f t="shared" si="35"/>
        <v>-330.37776029176331</v>
      </c>
      <c r="E107" s="32" t="s">
        <v>433</v>
      </c>
      <c r="F107" s="25"/>
      <c r="G107" s="25">
        <v>-330.37776029176331</v>
      </c>
      <c r="H107" s="25">
        <f t="shared" si="36"/>
        <v>-330.37776029176331</v>
      </c>
      <c r="I107" s="25">
        <f t="shared" si="36"/>
        <v>-330.37776029176331</v>
      </c>
      <c r="J107" s="25">
        <f t="shared" si="36"/>
        <v>-330.37776029176331</v>
      </c>
      <c r="K107" s="12" t="s">
        <v>95</v>
      </c>
      <c r="L107" s="199" t="str">
        <f>VLOOKUP(A107,Summary!$B$7:$E$14,3,FALSE)</f>
        <v>Y</v>
      </c>
    </row>
    <row r="108" spans="1:19">
      <c r="A108" t="s">
        <v>437</v>
      </c>
      <c r="B108" t="s">
        <v>514</v>
      </c>
      <c r="C108" t="s">
        <v>240</v>
      </c>
      <c r="D108" s="23">
        <f t="shared" si="35"/>
        <v>16089.883421226881</v>
      </c>
      <c r="E108" s="32" t="s">
        <v>267</v>
      </c>
      <c r="F108" s="25"/>
      <c r="G108" s="25">
        <v>16089.883421226881</v>
      </c>
      <c r="H108" s="25">
        <f t="shared" si="36"/>
        <v>16089.883421226881</v>
      </c>
      <c r="I108" s="25">
        <f t="shared" si="36"/>
        <v>16089.883421226881</v>
      </c>
      <c r="J108" s="25">
        <f t="shared" si="36"/>
        <v>16089.883421226881</v>
      </c>
      <c r="K108" s="12" t="s">
        <v>95</v>
      </c>
      <c r="L108" s="199" t="str">
        <f>VLOOKUP(A108,Summary!$B$7:$E$14,3,FALSE)</f>
        <v>Y</v>
      </c>
    </row>
    <row r="109" spans="1:19">
      <c r="D109" s="23"/>
      <c r="G109" s="23"/>
      <c r="L109" s="199"/>
    </row>
    <row r="110" spans="1:19">
      <c r="D110" s="23"/>
      <c r="E110" s="32"/>
      <c r="F110" s="200"/>
      <c r="G110" s="200"/>
      <c r="H110" s="200"/>
      <c r="I110" s="200"/>
      <c r="J110" s="200"/>
      <c r="L110" s="199"/>
    </row>
    <row r="111" spans="1:19">
      <c r="A111" s="18" t="s">
        <v>9</v>
      </c>
      <c r="D111" s="23"/>
      <c r="F111" s="197"/>
      <c r="G111" s="200"/>
      <c r="H111" s="25"/>
      <c r="I111" s="25"/>
      <c r="J111" s="25"/>
      <c r="L111" s="199"/>
    </row>
    <row r="112" spans="1:19">
      <c r="D112" s="23">
        <f>SUM(F112:J112)</f>
        <v>0</v>
      </c>
      <c r="F112" s="197"/>
      <c r="G112" s="23"/>
      <c r="H112" s="23"/>
      <c r="I112" s="23"/>
      <c r="J112" s="23"/>
      <c r="L112" s="199"/>
    </row>
    <row r="113" spans="1:19">
      <c r="D113" s="23">
        <f>SUM(F113:J113)</f>
        <v>0</v>
      </c>
      <c r="F113" s="197"/>
      <c r="G113" s="23"/>
      <c r="H113" s="23"/>
      <c r="I113" s="23"/>
      <c r="J113" s="23"/>
      <c r="L113" s="199"/>
    </row>
    <row r="114" spans="1:19">
      <c r="D114" s="23">
        <f>SUM(F114:J114)</f>
        <v>0</v>
      </c>
      <c r="F114" s="197"/>
      <c r="G114" s="23"/>
      <c r="H114" s="23"/>
      <c r="I114" s="23"/>
      <c r="J114" s="23"/>
      <c r="L114" s="199"/>
    </row>
    <row r="115" spans="1:19">
      <c r="D115" s="23">
        <f>SUM(F115:J115)</f>
        <v>0</v>
      </c>
      <c r="F115" s="197"/>
      <c r="G115" s="23"/>
      <c r="H115" s="23"/>
      <c r="I115" s="23"/>
      <c r="J115" s="23"/>
    </row>
    <row r="116" spans="1:19">
      <c r="L116" s="199"/>
    </row>
    <row r="117" spans="1:19">
      <c r="D117" s="23"/>
      <c r="F117" s="200"/>
      <c r="G117" s="200"/>
      <c r="H117" s="25"/>
      <c r="I117" s="25"/>
      <c r="J117" s="25"/>
      <c r="L117" s="199"/>
    </row>
    <row r="118" spans="1:19">
      <c r="A118" s="18"/>
      <c r="D118" s="25"/>
      <c r="F118" s="197"/>
      <c r="G118" s="197"/>
      <c r="H118" s="197"/>
      <c r="I118" s="197"/>
      <c r="J118" s="197"/>
      <c r="L118" s="199"/>
    </row>
    <row r="119" spans="1:19" ht="15.75" thickBot="1">
      <c r="A119" s="77" t="s">
        <v>118</v>
      </c>
      <c r="B119" s="76"/>
      <c r="C119" s="76"/>
      <c r="D119" s="260">
        <f>SUM(D87:D115)</f>
        <v>3244052.6035001986</v>
      </c>
      <c r="E119" s="78"/>
      <c r="F119" s="162">
        <f>SUM(F87:F115)</f>
        <v>381920.12240808702</v>
      </c>
      <c r="G119" s="162">
        <f>SUM(G87:G115)</f>
        <v>448104.49866248074</v>
      </c>
      <c r="H119" s="162">
        <f>SUM(H87:H115)</f>
        <v>807382.17158734356</v>
      </c>
      <c r="I119" s="162">
        <f>SUM(I87:I115)</f>
        <v>1047435.4705941016</v>
      </c>
      <c r="J119" s="162">
        <f>SUM(J87:J115)</f>
        <v>1047435.4705941016</v>
      </c>
      <c r="K119" s="76"/>
      <c r="L119" s="199"/>
    </row>
    <row r="120" spans="1:19" ht="15.75" thickTop="1">
      <c r="D120" s="24"/>
      <c r="F120" s="28"/>
      <c r="G120" s="28"/>
      <c r="H120" s="28"/>
      <c r="I120" s="28"/>
      <c r="J120" s="28"/>
    </row>
    <row r="121" spans="1:19" ht="15.75">
      <c r="A121" s="516" t="s">
        <v>119</v>
      </c>
      <c r="B121" s="516"/>
      <c r="C121" s="516"/>
      <c r="D121" s="516"/>
      <c r="E121" s="516"/>
      <c r="F121" s="516"/>
      <c r="G121" s="516"/>
      <c r="H121" s="516"/>
      <c r="I121" s="516"/>
      <c r="J121" s="516"/>
      <c r="K121" s="516"/>
      <c r="L121"/>
    </row>
    <row r="122" spans="1:19" ht="60">
      <c r="A122" s="30" t="s">
        <v>0</v>
      </c>
      <c r="B122" s="31" t="s">
        <v>120</v>
      </c>
      <c r="C122" s="31" t="s">
        <v>121</v>
      </c>
      <c r="D122" s="31" t="s">
        <v>109</v>
      </c>
      <c r="E122" s="31" t="s">
        <v>110</v>
      </c>
      <c r="F122" s="517" t="s">
        <v>122</v>
      </c>
      <c r="G122" s="517"/>
      <c r="H122" s="517"/>
      <c r="I122" s="517"/>
      <c r="J122" s="328"/>
      <c r="K122" s="31" t="s">
        <v>93</v>
      </c>
    </row>
    <row r="123" spans="1:19">
      <c r="A123" s="18" t="s">
        <v>2</v>
      </c>
      <c r="C123" s="32"/>
      <c r="D123" s="32"/>
      <c r="E123" s="32"/>
      <c r="F123">
        <v>2024</v>
      </c>
      <c r="G123">
        <v>2025</v>
      </c>
      <c r="H123">
        <v>2026</v>
      </c>
      <c r="I123">
        <v>2027</v>
      </c>
      <c r="J123">
        <v>2028</v>
      </c>
      <c r="K123"/>
      <c r="L123"/>
    </row>
    <row r="124" spans="1:19">
      <c r="B124" s="351"/>
      <c r="D124" s="23">
        <f>SUM(F124:I124)</f>
        <v>0</v>
      </c>
      <c r="F124" s="25">
        <v>0</v>
      </c>
      <c r="G124" s="25"/>
      <c r="H124" s="25"/>
      <c r="I124" s="25"/>
      <c r="J124" s="25"/>
      <c r="L124" s="23"/>
      <c r="Q124" s="12"/>
      <c r="R124" s="12"/>
      <c r="S124" s="12"/>
    </row>
    <row r="125" spans="1:19">
      <c r="D125" s="23">
        <f>SUM(F125:I125)</f>
        <v>0</v>
      </c>
      <c r="F125" s="25">
        <v>0</v>
      </c>
      <c r="G125" s="25"/>
      <c r="H125" s="25"/>
      <c r="I125" s="25"/>
      <c r="J125" s="25"/>
      <c r="L125" s="23"/>
      <c r="P125" s="371"/>
      <c r="Q125" s="12"/>
      <c r="R125" s="12"/>
      <c r="S125" s="12"/>
    </row>
    <row r="126" spans="1:19">
      <c r="D126" s="23">
        <f>SUM(F126:I126)</f>
        <v>0</v>
      </c>
      <c r="F126" s="25">
        <v>0</v>
      </c>
      <c r="G126" s="25"/>
      <c r="H126" s="25"/>
      <c r="I126" s="25"/>
      <c r="J126" s="25"/>
      <c r="L126" s="23"/>
    </row>
    <row r="127" spans="1:19">
      <c r="A127" s="18" t="s">
        <v>7</v>
      </c>
      <c r="L127" s="32"/>
      <c r="Q127" s="12"/>
      <c r="R127" s="12"/>
      <c r="S127" s="12"/>
    </row>
    <row r="128" spans="1:19">
      <c r="A128" t="s">
        <v>438</v>
      </c>
      <c r="B128" s="248">
        <v>45566</v>
      </c>
      <c r="C128" t="s">
        <v>440</v>
      </c>
      <c r="D128" s="23"/>
      <c r="F128" s="23"/>
      <c r="G128" s="23"/>
      <c r="H128" s="23"/>
      <c r="I128" s="23"/>
      <c r="J128" s="23"/>
    </row>
    <row r="129" spans="1:13" ht="15.75">
      <c r="A129" t="s">
        <v>439</v>
      </c>
      <c r="B129" s="248">
        <v>45597</v>
      </c>
      <c r="C129" t="s">
        <v>440</v>
      </c>
      <c r="D129" s="23"/>
      <c r="F129" s="25"/>
      <c r="G129" s="200"/>
      <c r="H129" s="25"/>
      <c r="I129" s="25"/>
      <c r="J129" s="25"/>
      <c r="L129"/>
      <c r="M129" s="33"/>
    </row>
    <row r="130" spans="1:13">
      <c r="D130" s="23"/>
      <c r="F130" s="25"/>
      <c r="G130" s="200"/>
      <c r="H130" s="25"/>
      <c r="I130" s="25"/>
      <c r="J130" s="25"/>
      <c r="M130" s="32"/>
    </row>
    <row r="131" spans="1:13">
      <c r="B131" s="35"/>
      <c r="K131"/>
      <c r="M131" s="32"/>
    </row>
    <row r="132" spans="1:13">
      <c r="A132" s="18" t="s">
        <v>9</v>
      </c>
      <c r="M132" s="32"/>
    </row>
    <row r="133" spans="1:13">
      <c r="A133" t="s">
        <v>441</v>
      </c>
      <c r="B133" s="248">
        <v>45627</v>
      </c>
      <c r="K133"/>
      <c r="L133"/>
      <c r="M133" s="32"/>
    </row>
    <row r="134" spans="1:13">
      <c r="A134" t="s">
        <v>442</v>
      </c>
      <c r="B134" s="248">
        <v>45627</v>
      </c>
      <c r="D134" s="23"/>
      <c r="F134" s="23"/>
      <c r="G134" s="23"/>
      <c r="H134" s="23"/>
      <c r="I134" s="23"/>
      <c r="J134" s="23"/>
      <c r="K134"/>
      <c r="L134"/>
      <c r="M134" s="32"/>
    </row>
    <row r="135" spans="1:13">
      <c r="A135" t="s">
        <v>443</v>
      </c>
      <c r="B135" s="248"/>
      <c r="D135" s="23"/>
      <c r="F135" s="23"/>
      <c r="G135" s="23"/>
      <c r="H135" s="23"/>
      <c r="I135" s="23"/>
      <c r="J135" s="23"/>
      <c r="K135"/>
      <c r="L135"/>
      <c r="M135" s="32"/>
    </row>
    <row r="136" spans="1:13">
      <c r="A136" t="s">
        <v>444</v>
      </c>
      <c r="B136" s="248"/>
      <c r="D136" s="23"/>
      <c r="F136" s="23"/>
      <c r="G136" s="23"/>
      <c r="H136" s="23"/>
      <c r="I136" s="23"/>
      <c r="J136" s="23"/>
      <c r="K136"/>
      <c r="L136"/>
      <c r="M136" s="32"/>
    </row>
    <row r="137" spans="1:13">
      <c r="B137" s="248"/>
      <c r="D137" s="23"/>
      <c r="F137" s="23"/>
      <c r="G137" s="23"/>
      <c r="H137" s="23"/>
      <c r="I137" s="23"/>
      <c r="J137" s="23"/>
      <c r="K137"/>
      <c r="L137"/>
      <c r="M137" s="32"/>
    </row>
    <row r="138" spans="1:13">
      <c r="L138"/>
      <c r="M138" s="32"/>
    </row>
    <row r="139" spans="1:13">
      <c r="M139" s="32"/>
    </row>
    <row r="140" spans="1:13">
      <c r="L140"/>
      <c r="M140" s="32"/>
    </row>
    <row r="141" spans="1:13">
      <c r="A141" t="s">
        <v>13</v>
      </c>
      <c r="L141"/>
      <c r="M141" s="32"/>
    </row>
    <row r="142" spans="1:13">
      <c r="A142" t="s">
        <v>563</v>
      </c>
      <c r="M142" s="32"/>
    </row>
    <row r="143" spans="1:13">
      <c r="K143"/>
      <c r="M143" s="32"/>
    </row>
    <row r="144" spans="1:13">
      <c r="K144"/>
      <c r="M144" s="32"/>
    </row>
    <row r="145" spans="6:19">
      <c r="K145"/>
      <c r="M145" s="32"/>
    </row>
    <row r="146" spans="6:19" ht="15.75">
      <c r="K146"/>
      <c r="M146" s="33"/>
      <c r="O146" s="33"/>
      <c r="P146" s="33"/>
      <c r="Q146" s="33"/>
      <c r="R146" s="34"/>
    </row>
    <row r="147" spans="6:19" ht="15.75">
      <c r="K147"/>
      <c r="M147" s="33"/>
      <c r="O147" s="33"/>
      <c r="P147" s="33"/>
      <c r="Q147" s="33"/>
      <c r="R147" s="34"/>
    </row>
    <row r="148" spans="6:19" ht="15.75">
      <c r="K148"/>
      <c r="L148"/>
      <c r="M148" s="33"/>
      <c r="N148" s="33"/>
      <c r="O148" s="33"/>
      <c r="P148" s="33"/>
      <c r="Q148" s="33"/>
      <c r="R148" s="34"/>
    </row>
    <row r="149" spans="6:19" ht="15.75">
      <c r="K149"/>
      <c r="L149"/>
      <c r="M149" s="33"/>
      <c r="N149" s="33"/>
      <c r="O149" s="33"/>
      <c r="P149" s="33"/>
      <c r="Q149" s="33"/>
      <c r="R149" s="34"/>
    </row>
    <row r="150" spans="6:19" ht="15.75">
      <c r="K150"/>
      <c r="L150"/>
      <c r="M150" s="13"/>
      <c r="N150" s="33"/>
      <c r="O150" s="32"/>
      <c r="P150" s="32"/>
      <c r="Q150" s="32"/>
      <c r="R150" s="32"/>
      <c r="S150" s="32"/>
    </row>
    <row r="151" spans="6:19" ht="15.75">
      <c r="K151"/>
      <c r="L151"/>
      <c r="M151" s="13"/>
      <c r="N151" s="33"/>
      <c r="O151" s="32"/>
      <c r="P151" s="32"/>
      <c r="Q151" s="32"/>
      <c r="R151" s="32"/>
      <c r="S151" s="32"/>
    </row>
    <row r="152" spans="6:19">
      <c r="K152"/>
      <c r="L152"/>
      <c r="M152" s="13"/>
      <c r="N152" s="32"/>
      <c r="O152" s="32"/>
      <c r="P152" s="32"/>
      <c r="Q152" s="32"/>
      <c r="R152" s="32"/>
      <c r="S152" s="32"/>
    </row>
    <row r="153" spans="6:19">
      <c r="K153"/>
      <c r="L153"/>
      <c r="M153" s="13"/>
      <c r="N153" s="32"/>
      <c r="O153" s="32"/>
      <c r="P153" s="32"/>
      <c r="Q153" s="32"/>
      <c r="R153" s="32"/>
      <c r="S153" s="32"/>
    </row>
    <row r="154" spans="6:19">
      <c r="K154"/>
      <c r="L154"/>
      <c r="M154" s="13"/>
      <c r="N154" s="32"/>
      <c r="O154" s="32"/>
      <c r="P154" s="32"/>
      <c r="Q154" s="32"/>
      <c r="R154" s="32"/>
      <c r="S154" s="32"/>
    </row>
    <row r="155" spans="6:19">
      <c r="F155" s="28"/>
      <c r="L155"/>
      <c r="M155" s="13"/>
      <c r="N155" s="32"/>
      <c r="O155" s="32"/>
      <c r="P155" s="32"/>
      <c r="Q155" s="32"/>
      <c r="R155" s="32"/>
      <c r="S155" s="32"/>
    </row>
    <row r="156" spans="6:19">
      <c r="F156" s="15"/>
      <c r="L156"/>
      <c r="M156" s="13"/>
      <c r="N156" s="32"/>
      <c r="O156" s="32"/>
      <c r="P156" s="32"/>
      <c r="Q156" s="32"/>
      <c r="R156" s="32"/>
      <c r="S156" s="32"/>
    </row>
    <row r="157" spans="6:19">
      <c r="L157"/>
      <c r="M157" s="32"/>
      <c r="N157" s="32"/>
      <c r="O157" s="32"/>
      <c r="P157" s="32"/>
      <c r="Q157" s="32"/>
      <c r="R157" s="32"/>
      <c r="S157" s="32"/>
    </row>
    <row r="158" spans="6:19">
      <c r="K158"/>
      <c r="L158"/>
      <c r="N158" s="32"/>
      <c r="O158" s="32"/>
      <c r="P158" s="32"/>
      <c r="Q158" s="32"/>
      <c r="R158" s="32"/>
      <c r="S158" s="32"/>
    </row>
    <row r="159" spans="6:19" ht="15" customHeight="1">
      <c r="K159"/>
      <c r="L159"/>
      <c r="N159" s="32"/>
      <c r="O159" s="32"/>
      <c r="P159" s="32"/>
      <c r="Q159" s="32"/>
      <c r="R159" s="32"/>
      <c r="S159" s="32"/>
    </row>
    <row r="160" spans="6:19" ht="15" customHeight="1">
      <c r="K160"/>
      <c r="N160" s="32"/>
    </row>
    <row r="161" spans="11:18" ht="15" customHeight="1">
      <c r="K161"/>
      <c r="N161" s="32"/>
    </row>
    <row r="162" spans="11:18" ht="15" customHeight="1">
      <c r="K162"/>
    </row>
    <row r="163" spans="11:18" ht="15" customHeight="1">
      <c r="K163"/>
      <c r="L163"/>
    </row>
    <row r="164" spans="11:18" ht="15" customHeight="1">
      <c r="K164"/>
      <c r="L164"/>
    </row>
    <row r="165" spans="11:18">
      <c r="K165"/>
      <c r="L165"/>
    </row>
    <row r="166" spans="11:18">
      <c r="K166"/>
      <c r="L166"/>
    </row>
    <row r="167" spans="11:18" ht="15" customHeight="1">
      <c r="K167"/>
      <c r="L167"/>
    </row>
    <row r="168" spans="11:18" ht="15" customHeight="1">
      <c r="K168"/>
      <c r="L168"/>
    </row>
    <row r="169" spans="11:18">
      <c r="K169"/>
      <c r="L169"/>
    </row>
    <row r="170" spans="11:18">
      <c r="K170"/>
      <c r="L170"/>
    </row>
    <row r="171" spans="11:18">
      <c r="K171"/>
      <c r="L171"/>
    </row>
    <row r="172" spans="11:18">
      <c r="K172"/>
      <c r="L172"/>
    </row>
    <row r="173" spans="11:18">
      <c r="K173"/>
      <c r="L173"/>
    </row>
    <row r="174" spans="11:18">
      <c r="K174"/>
      <c r="L174"/>
      <c r="M174" s="29"/>
    </row>
    <row r="175" spans="11:18">
      <c r="K175"/>
      <c r="L175"/>
      <c r="M175" s="29"/>
    </row>
    <row r="176" spans="11:18">
      <c r="K176"/>
      <c r="L176"/>
      <c r="M176" s="29"/>
      <c r="O176" s="29"/>
      <c r="P176" s="29"/>
      <c r="Q176" s="29"/>
      <c r="R176" s="36"/>
    </row>
    <row r="177" spans="12:18">
      <c r="L177"/>
      <c r="M177" s="29"/>
      <c r="O177" s="29"/>
      <c r="P177" s="29"/>
      <c r="Q177" s="29"/>
      <c r="R177" s="36"/>
    </row>
    <row r="178" spans="12:18">
      <c r="L178"/>
      <c r="M178" s="29"/>
      <c r="N178" s="29"/>
      <c r="O178" s="29"/>
      <c r="P178" s="29"/>
      <c r="Q178" s="29"/>
      <c r="R178" s="36"/>
    </row>
    <row r="179" spans="12:18">
      <c r="L179"/>
      <c r="M179" s="29"/>
      <c r="N179" s="29"/>
      <c r="O179" s="29"/>
      <c r="P179" s="29"/>
      <c r="Q179" s="29"/>
      <c r="R179" s="36"/>
    </row>
    <row r="180" spans="12:18">
      <c r="L180"/>
      <c r="M180" s="29"/>
      <c r="N180" s="29"/>
      <c r="O180" s="29"/>
      <c r="P180" s="29"/>
      <c r="Q180" s="29"/>
      <c r="R180" s="36"/>
    </row>
    <row r="181" spans="12:18">
      <c r="L181"/>
      <c r="M181" s="37"/>
      <c r="N181" s="29"/>
      <c r="O181" s="29"/>
      <c r="P181" s="29"/>
      <c r="Q181" s="29"/>
      <c r="R181" s="36"/>
    </row>
    <row r="182" spans="12:18">
      <c r="M182" s="37"/>
      <c r="N182" s="29"/>
      <c r="O182" s="29"/>
      <c r="P182" s="29"/>
      <c r="Q182" s="29"/>
      <c r="R182" s="36"/>
    </row>
    <row r="183" spans="12:18">
      <c r="M183" s="37"/>
      <c r="N183" s="29"/>
      <c r="O183" s="37"/>
      <c r="P183" s="37"/>
      <c r="Q183" s="37"/>
      <c r="R183" s="28"/>
    </row>
    <row r="184" spans="12:18">
      <c r="M184" s="37"/>
      <c r="N184" s="29"/>
      <c r="O184" s="37"/>
      <c r="P184" s="37"/>
      <c r="Q184" s="37"/>
      <c r="R184" s="28"/>
    </row>
    <row r="185" spans="12:18">
      <c r="N185" s="37"/>
      <c r="O185" s="37"/>
      <c r="P185" s="37"/>
      <c r="Q185" s="37"/>
      <c r="R185" s="28"/>
    </row>
    <row r="186" spans="12:18">
      <c r="N186" s="37"/>
      <c r="O186" s="37"/>
      <c r="P186" s="37"/>
      <c r="Q186" s="37"/>
      <c r="R186" s="28"/>
    </row>
    <row r="187" spans="12:18">
      <c r="N187" s="37"/>
      <c r="O187" s="21"/>
      <c r="P187" s="21"/>
      <c r="Q187" s="21"/>
      <c r="R187" s="21"/>
    </row>
    <row r="188" spans="12:18">
      <c r="N188" s="37"/>
    </row>
    <row r="189" spans="12:18">
      <c r="N189" s="38"/>
    </row>
  </sheetData>
  <mergeCells count="9">
    <mergeCell ref="N84:S84"/>
    <mergeCell ref="A121:K121"/>
    <mergeCell ref="F122:I122"/>
    <mergeCell ref="N7:S7"/>
    <mergeCell ref="F8:J8"/>
    <mergeCell ref="A84:K84"/>
    <mergeCell ref="C87:C88"/>
    <mergeCell ref="F85:J85"/>
    <mergeCell ref="A7:L7"/>
  </mergeCells>
  <phoneticPr fontId="43" type="noConversion"/>
  <conditionalFormatting sqref="A28">
    <cfRule type="duplicateValues" dxfId="8" priority="10"/>
  </conditionalFormatting>
  <conditionalFormatting sqref="A29">
    <cfRule type="duplicateValues" dxfId="7" priority="12"/>
  </conditionalFormatting>
  <conditionalFormatting sqref="A30">
    <cfRule type="duplicateValues" dxfId="6" priority="30"/>
  </conditionalFormatting>
  <conditionalFormatting sqref="M85:M93 P75:P81 M77:M81 M100:M101 M95:M97 M103">
    <cfRule type="duplicateValues" dxfId="5" priority="35"/>
  </conditionalFormatting>
  <conditionalFormatting sqref="M150:M156">
    <cfRule type="duplicateValues" dxfId="4" priority="8"/>
  </conditionalFormatting>
  <dataValidations count="4">
    <dataValidation type="list" allowBlank="1" showInputMessage="1" showErrorMessage="1" sqref="M158 K86 K123 F123:G123 F86:G86" xr:uid="{F607B283-23EA-41F1-982F-630BAE586EF6}">
      <formula1>"2019,2020,2021,2022,2023,2024,2025"</formula1>
    </dataValidation>
    <dataValidation type="list" allowBlank="1" showInputMessage="1" showErrorMessage="1" sqref="F9:H9 H123 H86 L9" xr:uid="{15C4B3F3-BFFB-4E7F-89A3-71DB0F39ACBD}">
      <formula1>"2022,2023,2024,2025,2026"</formula1>
    </dataValidation>
    <dataValidation type="list" allowBlank="1" showInputMessage="1" showErrorMessage="1" sqref="I9 I123 I86" xr:uid="{F2215657-CD46-4314-873E-0D6ACCFA763E}">
      <formula1>"2022,2023,2024,2025,2026,2027"</formula1>
    </dataValidation>
    <dataValidation type="list" allowBlank="1" showInputMessage="1" showErrorMessage="1" sqref="J9 J123 J86" xr:uid="{B18AC4CE-2262-4725-B729-7180F7C36B1B}">
      <formula1>"2022,2023,2024,2025,2026,2027,2028"</formula1>
    </dataValidation>
  </dataValidations>
  <pageMargins left="0.7" right="0.7" top="0.75" bottom="0.75" header="0.3" footer="0.3"/>
  <pageSetup paperSize="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524B9-277D-4BA8-96CB-4C4B5722B56A}">
  <sheetPr codeName="Sheet3"/>
  <dimension ref="A1:AF84"/>
  <sheetViews>
    <sheetView workbookViewId="0"/>
  </sheetViews>
  <sheetFormatPr defaultColWidth="8.85546875" defaultRowHeight="15"/>
  <cols>
    <col min="1" max="1" width="3.5703125" style="6" customWidth="1"/>
    <col min="2" max="2" width="23.85546875" style="6" customWidth="1"/>
    <col min="3" max="3" width="19.42578125" style="6" customWidth="1"/>
    <col min="4" max="4" width="17.5703125" style="6" customWidth="1"/>
    <col min="5" max="6" width="16.28515625" style="6" customWidth="1"/>
    <col min="7" max="7" width="20.85546875" style="6" customWidth="1"/>
    <col min="8" max="8" width="16.5703125" style="6" customWidth="1"/>
    <col min="9" max="9" width="14.140625" style="6" customWidth="1"/>
    <col min="10" max="10" width="13.5703125" style="6" customWidth="1"/>
    <col min="11" max="11" width="15.140625" style="6" customWidth="1"/>
    <col min="12" max="12" width="14.85546875" style="6" customWidth="1"/>
    <col min="13" max="15" width="15.42578125" style="6" customWidth="1"/>
    <col min="16" max="16" width="13" style="6" customWidth="1"/>
    <col min="17" max="17" width="15.5703125" style="6" customWidth="1"/>
    <col min="18" max="18" width="17.5703125" style="6" customWidth="1"/>
    <col min="19" max="19" width="14.140625" style="6" customWidth="1"/>
    <col min="20" max="21" width="14" style="6" customWidth="1"/>
    <col min="22" max="22" width="15" style="6" customWidth="1"/>
    <col min="23" max="23" width="14.140625" style="6" customWidth="1"/>
    <col min="24" max="24" width="14.85546875" style="6" bestFit="1" customWidth="1"/>
    <col min="25" max="26" width="14.85546875" style="6" customWidth="1"/>
    <col min="27" max="27" width="13.5703125" style="6" customWidth="1"/>
    <col min="28" max="28" width="16.85546875" style="6" customWidth="1"/>
    <col min="29" max="30" width="20.140625" style="6" bestFit="1" customWidth="1"/>
    <col min="31" max="31" width="17.140625" style="6" bestFit="1" customWidth="1"/>
    <col min="32" max="16384" width="8.85546875" style="6"/>
  </cols>
  <sheetData>
    <row r="1" spans="1:32" s="184" customFormat="1" ht="25.5" customHeight="1">
      <c r="A1" s="468"/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</row>
    <row r="2" spans="1:32" ht="15.75">
      <c r="B2" s="84"/>
      <c r="C2" s="534" t="s">
        <v>170</v>
      </c>
      <c r="D2" s="53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</row>
    <row r="3" spans="1:32">
      <c r="B3" s="85"/>
      <c r="C3" s="86" t="s">
        <v>167</v>
      </c>
      <c r="D3" s="86" t="s">
        <v>171</v>
      </c>
      <c r="S3" s="87"/>
      <c r="T3" s="87"/>
      <c r="U3" s="87"/>
      <c r="V3" s="87"/>
      <c r="W3" s="87"/>
      <c r="X3" s="87"/>
      <c r="Y3" s="87"/>
      <c r="Z3" s="87"/>
      <c r="AA3" s="87"/>
    </row>
    <row r="4" spans="1:32" ht="15.75">
      <c r="B4" s="273" t="s">
        <v>3</v>
      </c>
      <c r="C4" s="167">
        <f>INDEX('Incremental Rev Req'!$N$8:$S$23,MATCH(B4,'Incremental Rev Req'!$N$8:$N$23,0),MATCH(Summary!$D$2,'Incremental Rev Req'!$N$8:$S$8,0))</f>
        <v>544345.88951319002</v>
      </c>
      <c r="D4" s="167">
        <f>INDEX('Incremental Rev Req'!$N$85:$S$99,MATCH(B4,'Incremental Rev Req'!$N$85:$N$99,0),MATCH(Summary!$D$2,'Incremental Rev Req'!$N$85:$S$85,0))</f>
        <v>568677.46638791985</v>
      </c>
      <c r="H4" s="540" t="s">
        <v>172</v>
      </c>
      <c r="I4" s="540"/>
      <c r="J4" s="540"/>
      <c r="K4" s="540"/>
      <c r="L4" s="540"/>
      <c r="M4" s="540"/>
      <c r="N4" s="540"/>
      <c r="O4" s="540"/>
      <c r="P4" s="540"/>
      <c r="Q4" s="540"/>
      <c r="R4" s="540"/>
      <c r="S4" s="540"/>
      <c r="T4" s="540"/>
      <c r="U4" s="540"/>
      <c r="V4" s="41"/>
      <c r="W4" s="41"/>
      <c r="X4" s="41"/>
      <c r="Y4" s="41"/>
      <c r="Z4" s="41"/>
      <c r="AA4" s="41"/>
      <c r="AB4" s="41"/>
      <c r="AC4" s="41"/>
      <c r="AD4" s="41"/>
    </row>
    <row r="5" spans="1:32" ht="31.5">
      <c r="B5" s="452" t="s">
        <v>433</v>
      </c>
      <c r="C5" s="167">
        <f>INDEX('Incremental Rev Req'!$N$8:$S$23,MATCH(B5,'Incremental Rev Req'!$N$8:$N$23,0),MATCH(Summary!$D$2,'Incremental Rev Req'!$N$8:$S$8,0))</f>
        <v>646.63774141190402</v>
      </c>
      <c r="D5" s="167">
        <f>INDEX('Incremental Rev Req'!$N$85:$S$99,MATCH(B5,'Incremental Rev Req'!$N$85:$N$99,0),MATCH(Summary!$D$2,'Incremental Rev Req'!$N$85:$S$85,0))</f>
        <v>646.63774141190402</v>
      </c>
      <c r="G5" s="1"/>
      <c r="H5" s="90" t="s">
        <v>3</v>
      </c>
      <c r="I5" s="90" t="s">
        <v>433</v>
      </c>
      <c r="J5" s="90" t="s">
        <v>60</v>
      </c>
      <c r="K5" s="90" t="s">
        <v>5</v>
      </c>
      <c r="L5" s="90" t="s">
        <v>100</v>
      </c>
      <c r="M5" s="90" t="s">
        <v>14</v>
      </c>
      <c r="N5" s="90" t="s">
        <v>81</v>
      </c>
      <c r="O5" s="90" t="s">
        <v>102</v>
      </c>
      <c r="P5" s="90" t="s">
        <v>98</v>
      </c>
      <c r="Q5" s="90" t="s">
        <v>79</v>
      </c>
      <c r="R5" s="90" t="s">
        <v>10</v>
      </c>
      <c r="S5" s="90" t="s">
        <v>235</v>
      </c>
      <c r="T5" s="90" t="s">
        <v>88</v>
      </c>
      <c r="U5" s="90" t="s">
        <v>267</v>
      </c>
      <c r="V5" s="6" t="s">
        <v>261</v>
      </c>
      <c r="AC5" s="292"/>
      <c r="AD5" s="51"/>
    </row>
    <row r="6" spans="1:32" ht="15.75">
      <c r="B6" s="453" t="s">
        <v>60</v>
      </c>
      <c r="C6" s="167">
        <f>INDEX('Incremental Rev Req'!$N$8:$S$23,MATCH(B6,'Incremental Rev Req'!$N$8:$N$23,0),MATCH(Summary!$D$2,'Incremental Rev Req'!$N$8:$S$8,0))</f>
        <v>368769.24400659313</v>
      </c>
      <c r="D6" s="167">
        <f>INDEX('Incremental Rev Req'!$N$85:$S$99,MATCH(B6,'Incremental Rev Req'!$N$85:$N$99,0),MATCH(Summary!$D$2,'Incremental Rev Req'!$N$85:$S$85,0))</f>
        <v>368769.24400659313</v>
      </c>
      <c r="G6" s="1" t="s">
        <v>158</v>
      </c>
      <c r="H6" s="91">
        <f>IF(Summary!$D$2=2024,'Sales Allocations'!C3,'Sales Allocations'!C4)</f>
        <v>0.40362536917531777</v>
      </c>
      <c r="I6" s="91">
        <f>IF(Summary!$D$2=2024,'Sales Allocations'!D3,'Sales Allocations'!D4)</f>
        <v>0.19327545344183236</v>
      </c>
      <c r="J6" s="91">
        <f>IF(Summary!$D$2=2024,'Sales Allocations'!E3,'Sales Allocations'!E4)</f>
        <v>0.4133970432199946</v>
      </c>
      <c r="K6" s="91">
        <f>IF(Summary!$D$2=2024,'Sales Allocations'!F3,'Sales Allocations'!F4)</f>
        <v>0.43179640740459241</v>
      </c>
      <c r="L6" s="91">
        <f>IF(Summary!$D$2=2024,'Sales Allocations'!G3,'Sales Allocations'!G4)</f>
        <v>0.93663504687661814</v>
      </c>
      <c r="M6" s="91">
        <f>IF(Summary!$D$2=2024,'Sales Allocations'!H3,'Sales Allocations'!H4)</f>
        <v>0.39738888344868006</v>
      </c>
      <c r="N6" s="91">
        <f>IF(Summary!$D$2=2024,'Sales Allocations'!I3,'Sales Allocations'!I4)</f>
        <v>0.36941866348746455</v>
      </c>
      <c r="O6" s="91">
        <f>IF(Summary!$D$2=2024,'Sales Allocations'!J3,'Sales Allocations'!J4)</f>
        <v>0.35768576566123123</v>
      </c>
      <c r="P6" s="91">
        <f>IF(Summary!$D$2=2024,'Sales Allocations'!K3,'Sales Allocations'!K4)</f>
        <v>0</v>
      </c>
      <c r="Q6" s="91">
        <f>IF(Summary!$D$2=2024,'Sales Allocations'!L3,'Sales Allocations'!L4)</f>
        <v>1</v>
      </c>
      <c r="R6" s="91">
        <f>IF(Summary!$D$2=2024,'Sales Allocations'!M3,'Sales Allocations'!M4)</f>
        <v>0.47982095287890458</v>
      </c>
      <c r="S6" s="91">
        <f>IF(Summary!$D$2=2024,'Sales Allocations'!N3,'Sales Allocations'!N4)</f>
        <v>0.346686882798936</v>
      </c>
      <c r="T6" s="91">
        <f>IF(Summary!$D$2=2024,'Sales Allocations'!O3,'Sales Allocations'!O4)</f>
        <v>0.33127398773140304</v>
      </c>
      <c r="U6" s="91">
        <f>IF(Summary!$D$2=2024,'Sales Allocations'!P3,'Sales Allocations'!P4)</f>
        <v>0.41062604799989344</v>
      </c>
      <c r="V6" s="265">
        <f>'Sales Allocations'!R3</f>
        <v>1E-3</v>
      </c>
      <c r="AD6" s="293"/>
    </row>
    <row r="7" spans="1:32" ht="15.75">
      <c r="B7" s="274" t="s">
        <v>5</v>
      </c>
      <c r="C7" s="167">
        <f>INDEX('Incremental Rev Req'!$N$8:$S$23,MATCH(B7,'Incremental Rev Req'!$N$8:$N$23,0),MATCH(Summary!$D$2,'Incremental Rev Req'!$N$8:$S$8,0))</f>
        <v>2348308.8303103489</v>
      </c>
      <c r="D7" s="167">
        <f>INDEX('Incremental Rev Req'!$N$85:$S$99,MATCH(B7,'Incremental Rev Req'!$N$85:$N$99,0),MATCH(Summary!$D$2,'Incremental Rev Req'!$N$85:$S$85,0))</f>
        <v>2705897.3758437061</v>
      </c>
      <c r="G7" s="1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AD7" s="259"/>
    </row>
    <row r="8" spans="1:32" ht="15.6" customHeight="1">
      <c r="B8" s="274" t="s">
        <v>100</v>
      </c>
      <c r="C8" s="167">
        <f>INDEX('Incremental Rev Req'!$N$8:$S$23,MATCH(B8,'Incremental Rev Req'!$N$8:$N$23,0),MATCH(Summary!$D$2,'Incremental Rev Req'!$N$8:$S$8,0))</f>
        <v>-232593.89170328664</v>
      </c>
      <c r="D8" s="167">
        <f>INDEX('Incremental Rev Req'!$N$85:$S$99,MATCH(B8,'Incremental Rev Req'!$N$85:$N$99,0),MATCH(Summary!$D$2,'Incremental Rev Req'!$N$85:$S$85,0))</f>
        <v>-232593.89170328664</v>
      </c>
      <c r="G8" s="93"/>
      <c r="H8" s="540" t="s">
        <v>173</v>
      </c>
      <c r="I8" s="540"/>
      <c r="J8" s="540"/>
      <c r="K8" s="540"/>
      <c r="L8" s="540"/>
      <c r="M8" s="540"/>
      <c r="N8" s="540"/>
      <c r="O8" s="540"/>
      <c r="P8" s="540"/>
      <c r="Q8" s="540"/>
      <c r="R8" s="540"/>
      <c r="S8" s="540"/>
      <c r="T8" s="540"/>
      <c r="U8" s="540"/>
      <c r="AD8" s="259"/>
    </row>
    <row r="9" spans="1:32" ht="15.75" customHeight="1">
      <c r="B9" s="274" t="s">
        <v>14</v>
      </c>
      <c r="C9" s="167">
        <f>INDEX('Incremental Rev Req'!$N$8:$S$23,MATCH(B9,'Incremental Rev Req'!$N$8:$N$23,0),MATCH(Summary!$D$2,'Incremental Rev Req'!$N$8:$S$8,0))</f>
        <v>9899.0440657074287</v>
      </c>
      <c r="D9" s="167">
        <f>INDEX('Incremental Rev Req'!$N$85:$S$99,MATCH(B9,'Incremental Rev Req'!$N$85:$N$99,0),MATCH(Summary!$D$2,'Incremental Rev Req'!$N$85:$S$85,0))</f>
        <v>9899.0440657074287</v>
      </c>
      <c r="G9" s="94" t="s">
        <v>167</v>
      </c>
      <c r="H9" s="90" t="s">
        <v>3</v>
      </c>
      <c r="I9" s="90" t="s">
        <v>433</v>
      </c>
      <c r="J9" s="90" t="s">
        <v>60</v>
      </c>
      <c r="K9" s="90" t="s">
        <v>5</v>
      </c>
      <c r="L9" s="90" t="s">
        <v>100</v>
      </c>
      <c r="M9" s="90" t="s">
        <v>14</v>
      </c>
      <c r="N9" s="90" t="s">
        <v>81</v>
      </c>
      <c r="O9" s="90" t="s">
        <v>102</v>
      </c>
      <c r="P9" s="90" t="s">
        <v>98</v>
      </c>
      <c r="Q9" s="90" t="s">
        <v>79</v>
      </c>
      <c r="R9" s="90" t="s">
        <v>10</v>
      </c>
      <c r="S9" s="90" t="s">
        <v>235</v>
      </c>
      <c r="T9" s="90" t="s">
        <v>88</v>
      </c>
      <c r="U9" s="90" t="s">
        <v>267</v>
      </c>
      <c r="X9" s="6" t="s">
        <v>329</v>
      </c>
      <c r="AD9" s="259"/>
    </row>
    <row r="10" spans="1:32" ht="15.75">
      <c r="B10" s="274" t="s">
        <v>81</v>
      </c>
      <c r="C10" s="167">
        <f>INDEX('Incremental Rev Req'!$N$8:$S$23,MATCH(B10,'Incremental Rev Req'!$N$8:$N$23,0),MATCH(Summary!$D$2,'Incremental Rev Req'!$N$8:$S$8,0))</f>
        <v>1442.708990029</v>
      </c>
      <c r="D10" s="167">
        <f>INDEX('Incremental Rev Req'!$N$85:$S$99,MATCH(B10,'Incremental Rev Req'!$N$85:$N$99,0),MATCH(Summary!$D$2,'Incremental Rev Req'!$N$85:$S$85,0))</f>
        <v>1442.708990029</v>
      </c>
      <c r="G10" s="1" t="s">
        <v>158</v>
      </c>
      <c r="H10" s="95">
        <f>H6*H11</f>
        <v>219711.81061382807</v>
      </c>
      <c r="I10" s="95">
        <f>I6*I11</f>
        <v>124.97920268398809</v>
      </c>
      <c r="J10" s="95">
        <f>J6*J11</f>
        <v>152448.1151027983</v>
      </c>
      <c r="K10" s="95">
        <f>K6*K11</f>
        <v>1013991.3164044892</v>
      </c>
      <c r="L10" s="95">
        <f t="shared" ref="L10:T10" si="0">L6*L11</f>
        <v>-217855.59065872294</v>
      </c>
      <c r="M10" s="95">
        <f t="shared" si="0"/>
        <v>3933.7700684807573</v>
      </c>
      <c r="N10" s="95">
        <f t="shared" si="0"/>
        <v>532.96362689786304</v>
      </c>
      <c r="O10" s="95">
        <f t="shared" si="0"/>
        <v>111249.94009485086</v>
      </c>
      <c r="P10" s="95">
        <f t="shared" si="0"/>
        <v>0</v>
      </c>
      <c r="Q10" s="95">
        <f t="shared" si="0"/>
        <v>9000</v>
      </c>
      <c r="R10" s="95">
        <f t="shared" si="0"/>
        <v>328727.48108297749</v>
      </c>
      <c r="S10" s="95">
        <f>S6*S11</f>
        <v>29355.466020517917</v>
      </c>
      <c r="T10" s="95">
        <f t="shared" si="0"/>
        <v>46.714600125637496</v>
      </c>
      <c r="U10" s="95">
        <f>U6*U11</f>
        <v>41861.80673032214</v>
      </c>
      <c r="V10" s="95">
        <f>SUM(H10:U10)</f>
        <v>1693128.7728892495</v>
      </c>
      <c r="W10" s="190"/>
      <c r="X10" s="194">
        <f>V10-AD18</f>
        <v>1514579.2971896722</v>
      </c>
      <c r="AB10" s="106"/>
      <c r="AD10" s="259"/>
    </row>
    <row r="11" spans="1:32" ht="15.75">
      <c r="B11" s="275" t="s">
        <v>102</v>
      </c>
      <c r="C11" s="167">
        <f>INDEX('Incremental Rev Req'!$N$8:$S$23,MATCH(B11,'Incremental Rev Req'!$N$8:$N$23,0),MATCH(Summary!$D$2,'Incremental Rev Req'!$N$8:$S$8,0))</f>
        <v>311027.02644370002</v>
      </c>
      <c r="D11" s="167">
        <f>INDEX('Incremental Rev Req'!$N$85:$S$99,MATCH(B11,'Incremental Rev Req'!$N$85:$N$99,0),MATCH(Summary!$D$2,'Incremental Rev Req'!$N$85:$S$85,0))</f>
        <v>311027.02644370002</v>
      </c>
      <c r="G11" s="1" t="s">
        <v>174</v>
      </c>
      <c r="H11" s="96">
        <f>C4</f>
        <v>544345.88951319002</v>
      </c>
      <c r="I11" s="96">
        <f>C5</f>
        <v>646.63774141190402</v>
      </c>
      <c r="J11" s="96">
        <f>C6</f>
        <v>368769.24400659313</v>
      </c>
      <c r="K11" s="96">
        <f>C7</f>
        <v>2348308.8303103489</v>
      </c>
      <c r="L11" s="96">
        <f>C8</f>
        <v>-232593.89170328664</v>
      </c>
      <c r="M11" s="96">
        <f>C9</f>
        <v>9899.0440657074287</v>
      </c>
      <c r="N11" s="96">
        <f>C10</f>
        <v>1442.708990029</v>
      </c>
      <c r="O11" s="96">
        <f>C11</f>
        <v>311027.02644370002</v>
      </c>
      <c r="P11" s="96">
        <f>C12</f>
        <v>0</v>
      </c>
      <c r="Q11" s="96">
        <f>C16</f>
        <v>9000</v>
      </c>
      <c r="R11" s="96">
        <f>C14</f>
        <v>685104.47305526584</v>
      </c>
      <c r="S11" s="96">
        <f>C17</f>
        <v>84674.29105918284</v>
      </c>
      <c r="T11" s="96">
        <f>C15</f>
        <v>141.01499621368913</v>
      </c>
      <c r="U11" s="96">
        <f>C13</f>
        <v>101946.30110346289</v>
      </c>
      <c r="V11" s="95">
        <f>SUM(H11:U11)</f>
        <v>4232711.5695818188</v>
      </c>
      <c r="W11" s="189"/>
      <c r="X11" s="194">
        <f>V11-AD18</f>
        <v>4054162.0938822418</v>
      </c>
      <c r="AB11" s="106"/>
      <c r="AC11" s="106"/>
    </row>
    <row r="12" spans="1:32" ht="15.75">
      <c r="B12" s="274" t="s">
        <v>98</v>
      </c>
      <c r="C12" s="167">
        <f>INDEX('Incremental Rev Req'!$N$8:$S$23,MATCH(B12,'Incremental Rev Req'!$N$8:$N$23,0),MATCH(Summary!$D$2,'Incremental Rev Req'!$N$8:$S$8,0))</f>
        <v>0</v>
      </c>
      <c r="D12" s="167">
        <f>INDEX('Incremental Rev Req'!$N$85:$S$99,MATCH(B12,'Incremental Rev Req'!$N$85:$N$99,0),MATCH(Summary!$D$2,'Incremental Rev Req'!$N$85:$S$85,0))</f>
        <v>0</v>
      </c>
      <c r="G12" s="94" t="s">
        <v>175</v>
      </c>
      <c r="V12" s="95"/>
      <c r="X12" s="194"/>
      <c r="AC12" s="194"/>
      <c r="AD12" s="180"/>
    </row>
    <row r="13" spans="1:32" ht="15.75" customHeight="1">
      <c r="B13" s="274" t="s">
        <v>267</v>
      </c>
      <c r="C13" s="167">
        <f>INDEX('Incremental Rev Req'!$N$8:$S$23,MATCH(B13,'Incremental Rev Req'!$N$8:$N$23,0),MATCH(Summary!$D$2,'Incremental Rev Req'!$N$8:$S$8,0))</f>
        <v>101946.30110346289</v>
      </c>
      <c r="D13" s="167">
        <f>INDEX('Incremental Rev Req'!$N$85:$S$99,MATCH(B13,'Incremental Rev Req'!$N$85:$N$99,0),MATCH(Summary!$D$2,'Incremental Rev Req'!$N$85:$S$85,0))</f>
        <v>101946.30110346289</v>
      </c>
      <c r="G13" s="1" t="s">
        <v>158</v>
      </c>
      <c r="H13" s="95">
        <f>H6*H14</f>
        <v>229532.65231250852</v>
      </c>
      <c r="I13" s="95">
        <f>I6*I14</f>
        <v>124.97920268398809</v>
      </c>
      <c r="J13" s="95">
        <f t="shared" ref="J13:T13" si="1">J6*J14</f>
        <v>152448.1151027983</v>
      </c>
      <c r="K13" s="95">
        <f t="shared" si="1"/>
        <v>1168396.7656948264</v>
      </c>
      <c r="L13" s="95">
        <f t="shared" si="1"/>
        <v>-217855.59065872294</v>
      </c>
      <c r="M13" s="95">
        <f t="shared" si="1"/>
        <v>3933.7700684807573</v>
      </c>
      <c r="N13" s="95">
        <f t="shared" si="1"/>
        <v>532.96362689786304</v>
      </c>
      <c r="O13" s="95">
        <f t="shared" si="1"/>
        <v>111249.94009485086</v>
      </c>
      <c r="P13" s="95">
        <f t="shared" si="1"/>
        <v>0</v>
      </c>
      <c r="Q13" s="95">
        <f t="shared" si="1"/>
        <v>9000</v>
      </c>
      <c r="R13" s="95">
        <f t="shared" si="1"/>
        <v>328727.48108297749</v>
      </c>
      <c r="S13" s="95">
        <f>S6*S14</f>
        <v>29355.466020517917</v>
      </c>
      <c r="T13" s="95">
        <f t="shared" si="1"/>
        <v>46.714600125637496</v>
      </c>
      <c r="U13" s="95">
        <f>U6*U14</f>
        <v>41861.80673032214</v>
      </c>
      <c r="V13" s="95">
        <f>SUM(H13:U13)</f>
        <v>1857355.0638782671</v>
      </c>
      <c r="W13" s="190"/>
      <c r="X13" s="194">
        <f>V13-AE18</f>
        <v>1678805.5881786898</v>
      </c>
      <c r="AC13" s="106"/>
      <c r="AD13" s="106"/>
    </row>
    <row r="14" spans="1:32" ht="15.75" customHeight="1">
      <c r="B14" s="274" t="s">
        <v>10</v>
      </c>
      <c r="C14" s="167">
        <f>INDEX('Incremental Rev Req'!$N$8:$S$23,MATCH(B14,'Incremental Rev Req'!$N$8:$N$23,0),MATCH(Summary!$D$2,'Incremental Rev Req'!$N$8:$S$8,0))</f>
        <v>685104.47305526584</v>
      </c>
      <c r="D14" s="167">
        <f>INDEX('Incremental Rev Req'!$N$85:$S$99,MATCH(B14,'Incremental Rev Req'!$N$85:$N$99,0),MATCH(Summary!$D$2,'Incremental Rev Req'!$N$85:$S$85,0))</f>
        <v>685104.47305526584</v>
      </c>
      <c r="G14" s="1" t="s">
        <v>174</v>
      </c>
      <c r="H14" s="96">
        <f>D4</f>
        <v>568677.46638791985</v>
      </c>
      <c r="I14" s="96">
        <f>D5</f>
        <v>646.63774141190402</v>
      </c>
      <c r="J14" s="96">
        <f>D6</f>
        <v>368769.24400659313</v>
      </c>
      <c r="K14" s="96">
        <f>D7</f>
        <v>2705897.3758437061</v>
      </c>
      <c r="L14" s="96">
        <f>D8</f>
        <v>-232593.89170328664</v>
      </c>
      <c r="M14" s="96">
        <f>D9</f>
        <v>9899.0440657074287</v>
      </c>
      <c r="N14" s="96">
        <f>D10</f>
        <v>1442.708990029</v>
      </c>
      <c r="O14" s="96">
        <f>D11</f>
        <v>311027.02644370002</v>
      </c>
      <c r="P14" s="96">
        <f>D12</f>
        <v>0</v>
      </c>
      <c r="Q14" s="96">
        <f>D16</f>
        <v>9000</v>
      </c>
      <c r="R14" s="96">
        <f>D14</f>
        <v>685104.47305526584</v>
      </c>
      <c r="S14" s="96">
        <f>D17</f>
        <v>84674.29105918284</v>
      </c>
      <c r="T14" s="96">
        <f>D15</f>
        <v>141.01499621368913</v>
      </c>
      <c r="U14" s="96">
        <f>D13</f>
        <v>101946.30110346289</v>
      </c>
      <c r="V14" s="95">
        <f>SUM(H14:U14)</f>
        <v>4614631.6919899052</v>
      </c>
      <c r="W14" s="189"/>
      <c r="X14" s="194">
        <f>V14-AE18</f>
        <v>4436082.2162903277</v>
      </c>
      <c r="AC14" s="106"/>
    </row>
    <row r="15" spans="1:32" ht="15.75">
      <c r="B15" s="274" t="s">
        <v>88</v>
      </c>
      <c r="C15" s="167">
        <f>INDEX('Incremental Rev Req'!$N$8:$S$23,MATCH(B15,'Incremental Rev Req'!$N$8:$N$23,0),MATCH(Summary!$D$2,'Incremental Rev Req'!$N$8:$S$8,0))</f>
        <v>141.01499621368913</v>
      </c>
      <c r="D15" s="167">
        <f>INDEX('Incremental Rev Req'!$N$85:$S$99,MATCH(B15,'Incremental Rev Req'!$N$85:$N$99,0),MATCH(Summary!$D$2,'Incremental Rev Req'!$N$85:$S$85,0))</f>
        <v>141.01499621368913</v>
      </c>
      <c r="G15" s="97"/>
      <c r="H15" s="39"/>
      <c r="I15" s="39"/>
      <c r="J15" s="39"/>
      <c r="K15" s="39"/>
      <c r="L15" s="93"/>
      <c r="AC15" s="1"/>
      <c r="AD15" s="98" t="s">
        <v>167</v>
      </c>
      <c r="AE15" s="98" t="s">
        <v>175</v>
      </c>
    </row>
    <row r="16" spans="1:32" ht="15.75">
      <c r="B16" s="274" t="s">
        <v>79</v>
      </c>
      <c r="C16" s="167">
        <f>INDEX('Incremental Rev Req'!$N$8:$S$23,MATCH(B16,'Incremental Rev Req'!$N$8:$N$23,0),MATCH(Summary!$D$2,'Incremental Rev Req'!$N$8:$S$8,0))</f>
        <v>9000</v>
      </c>
      <c r="D16" s="167">
        <f>INDEX('Incremental Rev Req'!$N$85:$S$99,MATCH(B16,'Incremental Rev Req'!$N$85:$N$99,0),MATCH(Summary!$D$2,'Incremental Rev Req'!$N$85:$S$85,0))</f>
        <v>9000</v>
      </c>
      <c r="V16" s="526" t="s">
        <v>277</v>
      </c>
      <c r="W16" s="527"/>
      <c r="X16" s="526" t="s">
        <v>269</v>
      </c>
      <c r="Y16" s="527"/>
      <c r="Z16" s="535" t="s">
        <v>270</v>
      </c>
      <c r="AA16" s="535" t="s">
        <v>271</v>
      </c>
      <c r="AC16" s="99" t="s">
        <v>176</v>
      </c>
      <c r="AD16" s="179">
        <v>0.21057305754076552</v>
      </c>
      <c r="AE16" s="91">
        <f>AD16</f>
        <v>0.21057305754076552</v>
      </c>
      <c r="AF16" s="180"/>
    </row>
    <row r="17" spans="2:32" ht="15.75">
      <c r="B17" s="1" t="s">
        <v>235</v>
      </c>
      <c r="C17" s="167">
        <f>INDEX('Incremental Rev Req'!$N$8:$S$23,MATCH(B17,'Incremental Rev Req'!$N$8:$N$23,0),MATCH(Summary!$D$2,'Incremental Rev Req'!$N$8:$S$8,0))</f>
        <v>84674.29105918284</v>
      </c>
      <c r="D17" s="167">
        <f>INDEX('Incremental Rev Req'!$N$85:$S$99,MATCH(B17,'Incremental Rev Req'!$N$85:$N$99,0),MATCH(Summary!$D$2,'Incremental Rev Req'!$N$85:$S$85,0))</f>
        <v>84674.29105918284</v>
      </c>
      <c r="G17" s="93"/>
      <c r="H17" s="533" t="s">
        <v>265</v>
      </c>
      <c r="I17" s="533"/>
      <c r="J17" s="533"/>
      <c r="K17" s="533"/>
      <c r="L17" s="533"/>
      <c r="M17" s="533"/>
      <c r="N17" s="533"/>
      <c r="O17" s="533"/>
      <c r="P17" s="533"/>
      <c r="Q17" s="533"/>
      <c r="R17" s="533"/>
      <c r="S17" s="533"/>
      <c r="T17" s="533"/>
      <c r="U17" s="529"/>
      <c r="V17" s="528" t="s">
        <v>178</v>
      </c>
      <c r="W17" s="529"/>
      <c r="X17" s="528" t="s">
        <v>178</v>
      </c>
      <c r="Y17" s="529"/>
      <c r="Z17" s="536"/>
      <c r="AA17" s="536"/>
      <c r="AC17" s="99" t="s">
        <v>179</v>
      </c>
      <c r="AD17" s="91">
        <v>0.31728440037264999</v>
      </c>
      <c r="AE17" s="91">
        <f>AD17</f>
        <v>0.31728440037264999</v>
      </c>
    </row>
    <row r="18" spans="2:32" ht="31.5">
      <c r="B18" s="2" t="s">
        <v>272</v>
      </c>
      <c r="C18" s="88">
        <f>SUM(C4:C17)</f>
        <v>4232711.5695818188</v>
      </c>
      <c r="D18" s="88">
        <f>SUM(D4:D17)</f>
        <v>4614631.6919899061</v>
      </c>
      <c r="F18" s="313"/>
      <c r="H18" s="90" t="s">
        <v>3</v>
      </c>
      <c r="I18" s="90" t="s">
        <v>433</v>
      </c>
      <c r="J18" s="90" t="s">
        <v>60</v>
      </c>
      <c r="K18" s="90" t="s">
        <v>5</v>
      </c>
      <c r="L18" s="90" t="s">
        <v>100</v>
      </c>
      <c r="M18" s="90" t="s">
        <v>14</v>
      </c>
      <c r="N18" s="90" t="s">
        <v>81</v>
      </c>
      <c r="O18" s="90" t="s">
        <v>102</v>
      </c>
      <c r="P18" s="90" t="s">
        <v>98</v>
      </c>
      <c r="Q18" s="90" t="s">
        <v>79</v>
      </c>
      <c r="R18" s="90" t="s">
        <v>10</v>
      </c>
      <c r="S18" s="90" t="s">
        <v>235</v>
      </c>
      <c r="T18" s="90" t="s">
        <v>88</v>
      </c>
      <c r="U18" s="90" t="s">
        <v>267</v>
      </c>
      <c r="V18" s="100" t="s">
        <v>116</v>
      </c>
      <c r="W18" s="20" t="s">
        <v>180</v>
      </c>
      <c r="X18" s="101" t="s">
        <v>116</v>
      </c>
      <c r="Y18" s="102" t="s">
        <v>180</v>
      </c>
      <c r="Z18" s="100" t="s">
        <v>3</v>
      </c>
      <c r="AA18" s="270" t="s">
        <v>3</v>
      </c>
      <c r="AC18" s="99" t="s">
        <v>260</v>
      </c>
      <c r="AD18" s="96">
        <f>IF(Summary!D2=2024,C33,C34)</f>
        <v>178549.47569957716</v>
      </c>
      <c r="AE18" s="96">
        <f>AD18</f>
        <v>178549.47569957716</v>
      </c>
      <c r="AF18" s="106"/>
    </row>
    <row r="19" spans="2:32" ht="15.75">
      <c r="C19" s="194"/>
      <c r="D19" s="194"/>
      <c r="E19" s="313"/>
      <c r="G19" s="1" t="s">
        <v>158</v>
      </c>
      <c r="H19" s="91">
        <v>1</v>
      </c>
      <c r="I19" s="91">
        <v>0</v>
      </c>
      <c r="J19" s="91">
        <v>1</v>
      </c>
      <c r="K19" s="91">
        <v>1</v>
      </c>
      <c r="L19" s="91">
        <v>1</v>
      </c>
      <c r="M19" s="91">
        <v>1</v>
      </c>
      <c r="N19" s="91">
        <v>1</v>
      </c>
      <c r="O19" s="91">
        <v>1</v>
      </c>
      <c r="P19" s="91">
        <v>1</v>
      </c>
      <c r="Q19" s="91">
        <v>1</v>
      </c>
      <c r="R19" s="91">
        <v>1</v>
      </c>
      <c r="S19" s="91">
        <v>1</v>
      </c>
      <c r="T19" s="91">
        <v>1</v>
      </c>
      <c r="U19" s="91">
        <v>0</v>
      </c>
      <c r="V19" s="103">
        <f>SUMPRODUCT(J10:T10,J19:T19)</f>
        <v>1431430.1763424152</v>
      </c>
      <c r="W19" s="107">
        <f>V19-((AD18)*K19)</f>
        <v>1252880.7006428379</v>
      </c>
      <c r="X19" s="103">
        <f>SUMPRODUCT(J13:T13,J19:T19)</f>
        <v>1585835.6256327524</v>
      </c>
      <c r="Y19" s="104">
        <f>X19-((AE18)*K19)</f>
        <v>1407286.1499331752</v>
      </c>
      <c r="Z19" s="103">
        <f>SUMPRODUCT(H10,H19)</f>
        <v>219711.81061382807</v>
      </c>
      <c r="AA19" s="271">
        <f>SUMPRODUCT(H13,H19)</f>
        <v>229532.65231250852</v>
      </c>
      <c r="AC19" s="235"/>
      <c r="AD19" s="95"/>
      <c r="AE19" s="95"/>
    </row>
    <row r="20" spans="2:32" ht="15.75">
      <c r="B20" s="2" t="s">
        <v>261</v>
      </c>
      <c r="C20" s="264">
        <f>'Sales Allocations'!R3</f>
        <v>1E-3</v>
      </c>
      <c r="D20" s="264">
        <f>'Sales Allocations'!R3</f>
        <v>1E-3</v>
      </c>
      <c r="G20" s="1" t="s">
        <v>174</v>
      </c>
      <c r="H20" s="91">
        <v>1</v>
      </c>
      <c r="I20" s="91">
        <v>0</v>
      </c>
      <c r="J20" s="91">
        <v>1</v>
      </c>
      <c r="K20" s="91">
        <v>1</v>
      </c>
      <c r="L20" s="91">
        <v>1</v>
      </c>
      <c r="M20" s="91">
        <v>1</v>
      </c>
      <c r="N20" s="91">
        <v>1</v>
      </c>
      <c r="O20" s="91">
        <v>1</v>
      </c>
      <c r="P20" s="91">
        <v>1</v>
      </c>
      <c r="Q20" s="91">
        <v>1</v>
      </c>
      <c r="R20" s="91">
        <v>1</v>
      </c>
      <c r="S20" s="91">
        <v>1</v>
      </c>
      <c r="T20" s="91">
        <v>1</v>
      </c>
      <c r="U20" s="91">
        <v>0</v>
      </c>
      <c r="V20" s="103">
        <f>SUMPRODUCT(J11:T11,J20:T20)</f>
        <v>3585772.7412237544</v>
      </c>
      <c r="W20" s="107">
        <f>V20-AD18</f>
        <v>3407223.2655241773</v>
      </c>
      <c r="X20" s="103">
        <f>SUMPRODUCT(J14:T14,J20:T20)</f>
        <v>3943361.2867571115</v>
      </c>
      <c r="Y20" s="104">
        <f>X20-AE18</f>
        <v>3764811.8110575345</v>
      </c>
      <c r="Z20" s="103">
        <f>SUMPRODUCT(H11,H20)</f>
        <v>544345.88951319002</v>
      </c>
      <c r="AA20" s="271">
        <f>SUMPRODUCT(H14,H20)</f>
        <v>568677.46638791985</v>
      </c>
      <c r="AB20" s="267"/>
      <c r="AC20" s="268" t="s">
        <v>226</v>
      </c>
      <c r="AD20" s="254">
        <v>0.33370761844944563</v>
      </c>
      <c r="AE20" s="254">
        <f>AD20</f>
        <v>0.33370761844944563</v>
      </c>
      <c r="AF20" s="1"/>
    </row>
    <row r="21" spans="2:32" ht="15.75">
      <c r="B21" s="2"/>
      <c r="C21" s="264"/>
      <c r="D21" s="264"/>
      <c r="G21" s="1"/>
      <c r="H21" s="352"/>
      <c r="I21" s="352"/>
      <c r="J21" s="352"/>
      <c r="K21" s="352"/>
      <c r="L21" s="352"/>
      <c r="M21" s="352"/>
      <c r="N21" s="352"/>
      <c r="O21" s="352"/>
      <c r="P21" s="352"/>
      <c r="Q21" s="352"/>
      <c r="R21" s="352"/>
      <c r="S21" s="352"/>
      <c r="T21" s="352"/>
      <c r="U21" s="107"/>
      <c r="V21" s="107"/>
      <c r="W21" s="107"/>
      <c r="X21" s="107"/>
      <c r="Y21" s="107"/>
      <c r="Z21" s="107"/>
      <c r="AB21" s="235"/>
      <c r="AC21" s="353"/>
      <c r="AD21" s="353"/>
      <c r="AE21" s="1"/>
    </row>
    <row r="22" spans="2:32" ht="15.75">
      <c r="B22" s="2"/>
      <c r="C22" s="264"/>
      <c r="D22" s="264"/>
      <c r="G22" s="530" t="s">
        <v>181</v>
      </c>
      <c r="H22" s="531"/>
      <c r="I22" s="531"/>
      <c r="J22" s="531"/>
      <c r="K22" s="531"/>
      <c r="L22" s="532"/>
      <c r="P22" s="1"/>
      <c r="Q22" s="530" t="s">
        <v>182</v>
      </c>
      <c r="R22" s="531"/>
      <c r="S22" s="531"/>
      <c r="T22" s="531"/>
      <c r="U22" s="531"/>
      <c r="V22" s="531"/>
      <c r="W22" s="532"/>
      <c r="X22" s="113"/>
      <c r="AB22" s="99"/>
      <c r="AC22" s="96"/>
      <c r="AD22" s="96"/>
      <c r="AE22" s="181"/>
    </row>
    <row r="23" spans="2:32" ht="63">
      <c r="C23" s="537" t="s">
        <v>409</v>
      </c>
      <c r="D23" s="538"/>
      <c r="E23" s="539"/>
      <c r="F23" s="89"/>
      <c r="G23" s="89" t="str">
        <f>Summary!D2&amp;" SALES DETERMINANTS BUNDLED"</f>
        <v>2024 SALES DETERMINANTS BUNDLED</v>
      </c>
      <c r="H23" s="89" t="str">
        <f>Summary!I2&amp;" Avg Rates"&amp;"(sales adj.)"</f>
        <v>3/1/2024 Avg Rates(sales adj.)</v>
      </c>
      <c r="I23" s="89" t="s">
        <v>183</v>
      </c>
      <c r="J23" s="89" t="s">
        <v>184</v>
      </c>
      <c r="K23" s="89" t="s">
        <v>185</v>
      </c>
      <c r="L23" s="89" t="s">
        <v>186</v>
      </c>
      <c r="Q23" s="1"/>
      <c r="R23" s="89" t="str">
        <f>C24</f>
        <v>SYSTEM NET</v>
      </c>
      <c r="S23" s="89" t="str">
        <f>H23</f>
        <v>3/1/2024 Avg Rates(sales adj.)</v>
      </c>
      <c r="T23" s="89" t="s">
        <v>183</v>
      </c>
      <c r="U23" s="89" t="s">
        <v>184</v>
      </c>
      <c r="V23" s="89" t="s">
        <v>185</v>
      </c>
      <c r="W23" s="89" t="s">
        <v>186</v>
      </c>
      <c r="X23" s="113"/>
      <c r="AC23" s="108"/>
    </row>
    <row r="24" spans="2:32" ht="31.5">
      <c r="B24" s="1"/>
      <c r="C24" s="89" t="s">
        <v>364</v>
      </c>
      <c r="D24" s="89" t="s">
        <v>365</v>
      </c>
      <c r="E24" s="89" t="s">
        <v>366</v>
      </c>
      <c r="F24" s="114" t="s">
        <v>158</v>
      </c>
      <c r="G24" s="269">
        <f>IF(Summary!D2=2024,E25,E38)</f>
        <v>1448759.7289922014</v>
      </c>
      <c r="H24" s="165">
        <v>34.665999999999997</v>
      </c>
      <c r="I24" s="272">
        <f>((SUM($J10:$L10,$Q10:$R10,$T10)-$AD$18)/IF(Summary!D2=2024,$C25,$C38)*100)+(SUM($M10:$P10,$S10)/IF(Summary!D2=2024,$D25,$D38)*100)+($H10/IF(Summary!D2=2024,$E25,$E38)*100)</f>
        <v>35.429656361327098</v>
      </c>
      <c r="J24" s="272">
        <f>((SUM($J13:$L13,$Q13:$R13,$T13)-$AE$18)/IF(Summary!D2=2024,$C25,$C38)*100)+(SUM($M13:$P13,$S13)/IF(Summary!D2=2024,$D25,$D38)*100)+($H13/IF(Summary!D2=2024,$E25,$E38)*100)</f>
        <v>38.65583344030977</v>
      </c>
      <c r="K24" s="115">
        <f>I24/H24-1</f>
        <v>2.2028972518522538E-2</v>
      </c>
      <c r="L24" s="115">
        <f>J24/H24-1</f>
        <v>0.11509356257744696</v>
      </c>
      <c r="O24" s="318"/>
      <c r="Q24" s="114" t="s">
        <v>158</v>
      </c>
      <c r="R24" s="105">
        <f>IF(Summary!D2=2024,C25,C38)</f>
        <v>6059160.2758854944</v>
      </c>
      <c r="S24" s="166">
        <v>35.576697140214826</v>
      </c>
      <c r="T24" s="183">
        <f>I24+($U10/(IF(Summary!D2=2024,$C25,$C38)-IF(Summary!D2=2024,$E25,$E38))*100)+($I10/(IF(Summary!D2=2024,$C25,$C38)-IF(Summary!D2=2024,$E25,$E38))*100)</f>
        <v>36.340353501541927</v>
      </c>
      <c r="U24" s="183">
        <f>J24+($U13/(IF(Summary!D2=2024,$C25,$C38)-IF(Summary!D2=2024,$E25,$E38))*100)+($I13/(IF(Summary!D2=2024,$C25,$C38)-IF(Summary!D2=2024,$E25,$E38))*100)</f>
        <v>39.566530580524599</v>
      </c>
      <c r="V24" s="115">
        <f>T24/S24-1</f>
        <v>2.146507187885871E-2</v>
      </c>
      <c r="W24" s="115">
        <f>U24/S24-1</f>
        <v>0.11214738188272633</v>
      </c>
      <c r="X24" s="113"/>
      <c r="Y24" s="1"/>
      <c r="Z24" s="1"/>
      <c r="AB24" s="1"/>
      <c r="AC24" s="1"/>
    </row>
    <row r="25" spans="2:32" ht="15.75">
      <c r="B25" s="114" t="s">
        <v>158</v>
      </c>
      <c r="C25" s="269">
        <v>6059160.2758854944</v>
      </c>
      <c r="D25" s="269">
        <v>7323388.0995740909</v>
      </c>
      <c r="E25" s="4">
        <v>1448759.7289922014</v>
      </c>
      <c r="F25" s="114" t="s">
        <v>174</v>
      </c>
      <c r="G25" s="269">
        <f>IF(Summary!D2=2024,E26,E39)</f>
        <v>3624964.0447133603</v>
      </c>
      <c r="H25" s="165">
        <v>33.097999999999999</v>
      </c>
      <c r="I25" s="272">
        <f>((SUM($J11:$L11,$Q11:$R11,$T11)-$AD$18)/IF(Summary!D2=2024,$C26,$C39)*100)+(SUM($M11:$P11,$S11)/IF(Summary!D2=2024,$D26,$D39)*100)+($H11/IF(Summary!D2=2024,$E26,$E39)*100)</f>
        <v>33.472857695229415</v>
      </c>
      <c r="J25" s="272">
        <f>((SUM($J14:$L14,$Q14:$R14,$T14)-$AE$18)/IF(Summary!D2=2024,$C26,$C39)*100)+(SUM($M14:$P14,$S14)/IF(Summary!D2=2024,$D26,$D39)*100)+($H14/IF(Summary!D2=2024,$E26,$E39)*100)</f>
        <v>36.099136967667853</v>
      </c>
      <c r="K25" s="115">
        <f>I25/H25-1</f>
        <v>1.1325690229905705E-2</v>
      </c>
      <c r="L25" s="115">
        <f>J25/H25-1</f>
        <v>9.0674269371800564E-2</v>
      </c>
      <c r="Q25" s="114" t="s">
        <v>174</v>
      </c>
      <c r="R25" s="105">
        <f>IF(Summary!D2=2024,C26,C39)</f>
        <v>18290443.717099715</v>
      </c>
      <c r="S25" s="166">
        <v>33.797553926204316</v>
      </c>
      <c r="T25" s="183">
        <f>I25+($U11/(IF(Summary!D2=2024,$C26,$C39)-IF(Summary!D2=2024,$E26,$E39))*100)+($I11/(IF(Summary!D2=2024,$C26,$C39)-IF(Summary!D2=2024,$E26,$E39))*100)</f>
        <v>34.172411621433731</v>
      </c>
      <c r="U25" s="183">
        <f>J25+($U14/(IF(Summary!D2=2024,$C26,$C39)-IF(Summary!D2=2024,$E26,$E39))*100)+($I14/(IF(Summary!D2=2024,$C26,$C39)-IF(Summary!D2=2024,$E26,$E39))*100)</f>
        <v>36.79869089387217</v>
      </c>
      <c r="V25" s="115">
        <f>T25/S25-1</f>
        <v>1.1091267020326478E-2</v>
      </c>
      <c r="W25" s="115">
        <f>U25/S25-1</f>
        <v>8.8797460734014066E-2</v>
      </c>
      <c r="X25" s="117"/>
      <c r="Y25" s="110"/>
      <c r="Z25" s="110"/>
      <c r="AB25" s="1"/>
      <c r="AC25" s="1"/>
    </row>
    <row r="26" spans="2:32" ht="15.75">
      <c r="B26" s="114" t="s">
        <v>174</v>
      </c>
      <c r="C26" s="269">
        <v>18290443.717099715</v>
      </c>
      <c r="D26" s="269">
        <v>19824065.592477757</v>
      </c>
      <c r="E26" s="4">
        <v>3624964.0447133603</v>
      </c>
      <c r="F26" s="20"/>
      <c r="S26" s="377"/>
      <c r="T26" s="1"/>
      <c r="U26" s="111"/>
      <c r="V26" s="112"/>
      <c r="W26" s="111"/>
      <c r="X26" s="113"/>
      <c r="Y26" s="112"/>
      <c r="Z26" s="112"/>
      <c r="AB26" s="1"/>
      <c r="AC26" s="266"/>
    </row>
    <row r="27" spans="2:32" ht="15.75">
      <c r="B27" s="316"/>
      <c r="C27" s="269"/>
      <c r="D27" s="269"/>
      <c r="E27" s="4"/>
      <c r="F27" s="1"/>
      <c r="H27" s="4"/>
      <c r="I27" s="4"/>
      <c r="J27" s="4"/>
      <c r="Q27" s="1"/>
      <c r="R27" s="1"/>
      <c r="S27" s="1"/>
      <c r="T27" s="1"/>
      <c r="U27" s="1"/>
      <c r="V27" s="1"/>
      <c r="W27" s="1"/>
      <c r="X27" s="117"/>
      <c r="Y27" s="113"/>
      <c r="Z27" s="113"/>
      <c r="AC27" s="106"/>
      <c r="AD27" s="1"/>
      <c r="AE27" s="1"/>
    </row>
    <row r="28" spans="2:32" ht="15.75">
      <c r="D28" s="1"/>
      <c r="E28" s="1"/>
      <c r="F28" s="1"/>
      <c r="G28" s="320"/>
      <c r="H28" s="4"/>
      <c r="I28" s="4"/>
      <c r="J28" s="4"/>
      <c r="K28" s="20"/>
      <c r="L28" s="20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17"/>
      <c r="Y28" s="113"/>
      <c r="Z28" s="113"/>
      <c r="AD28" s="1"/>
      <c r="AE28" s="1"/>
    </row>
    <row r="29" spans="2:32" ht="15.75">
      <c r="B29" s="98" t="s">
        <v>260</v>
      </c>
      <c r="C29" s="3"/>
      <c r="D29" s="1"/>
      <c r="E29" s="1"/>
      <c r="G29" s="89"/>
      <c r="H29" s="356"/>
      <c r="I29" s="356"/>
      <c r="J29" s="356"/>
      <c r="K29" s="364"/>
      <c r="L29" s="364"/>
      <c r="M29" s="1"/>
      <c r="N29" s="1"/>
      <c r="O29" s="1"/>
      <c r="P29" s="1"/>
      <c r="Q29" s="114"/>
      <c r="R29" s="1"/>
      <c r="S29" s="1"/>
      <c r="T29" s="1"/>
      <c r="U29" s="1"/>
      <c r="V29" s="1"/>
      <c r="W29" s="1"/>
      <c r="X29" s="113"/>
      <c r="Y29" s="113"/>
      <c r="Z29" s="113"/>
      <c r="AB29" s="116"/>
    </row>
    <row r="30" spans="2:32" ht="15.75">
      <c r="B30" s="1">
        <v>2020</v>
      </c>
      <c r="C30" s="96">
        <f>107338668/1000</f>
        <v>107338.66800000001</v>
      </c>
      <c r="D30" s="20"/>
      <c r="G30" s="89"/>
      <c r="H30" s="356"/>
      <c r="I30" s="356"/>
      <c r="J30" s="356"/>
      <c r="K30" s="364"/>
      <c r="L30" s="364"/>
      <c r="M30" s="357"/>
      <c r="N30" s="357"/>
      <c r="O30" s="1"/>
      <c r="P30" s="1"/>
      <c r="Q30" s="114"/>
      <c r="R30" s="1"/>
      <c r="S30" s="1"/>
      <c r="T30" s="1"/>
      <c r="U30" s="1"/>
      <c r="V30" s="1"/>
      <c r="W30" s="1"/>
      <c r="X30" s="110"/>
      <c r="Y30" s="117"/>
      <c r="Z30" s="117"/>
    </row>
    <row r="31" spans="2:32" ht="15.75">
      <c r="B31" s="1">
        <v>2021</v>
      </c>
      <c r="C31" s="95">
        <v>121030.0901203955</v>
      </c>
      <c r="D31" s="51"/>
      <c r="G31" s="269"/>
      <c r="H31" s="356"/>
      <c r="I31" s="356"/>
      <c r="J31" s="356"/>
      <c r="K31" s="364"/>
      <c r="L31" s="364"/>
      <c r="M31" s="357"/>
      <c r="N31" s="357"/>
      <c r="O31" s="1"/>
      <c r="P31" s="1"/>
      <c r="Q31" s="1"/>
      <c r="R31" s="1"/>
      <c r="S31" s="1"/>
      <c r="T31" s="1"/>
      <c r="U31" s="1"/>
      <c r="V31" s="1"/>
      <c r="W31" s="1"/>
      <c r="X31" s="113"/>
      <c r="Y31" s="113"/>
      <c r="Z31" s="113"/>
    </row>
    <row r="32" spans="2:32" ht="15.75">
      <c r="B32" s="1">
        <v>2022</v>
      </c>
      <c r="C32" s="95">
        <v>139027.87909804762</v>
      </c>
      <c r="D32" s="51"/>
      <c r="G32" s="269"/>
      <c r="H32" s="4"/>
      <c r="I32" s="5"/>
      <c r="J32" s="20"/>
      <c r="K32" s="20"/>
      <c r="L32" s="20"/>
      <c r="M32" s="1"/>
      <c r="N32" s="1"/>
      <c r="O32" s="1"/>
      <c r="P32" s="1"/>
      <c r="Q32" s="1"/>
      <c r="R32" s="2"/>
      <c r="S32" s="2"/>
      <c r="T32" s="2"/>
      <c r="U32" s="2"/>
      <c r="V32" s="2"/>
      <c r="W32" s="2"/>
      <c r="X32" s="2"/>
      <c r="Y32" s="117"/>
      <c r="Z32" s="117"/>
      <c r="AA32" s="117"/>
    </row>
    <row r="33" spans="2:28" ht="15.75">
      <c r="B33" s="1">
        <v>2023</v>
      </c>
      <c r="C33" s="95">
        <v>178549.47569957716</v>
      </c>
      <c r="D33" s="51"/>
      <c r="F33" s="1"/>
      <c r="G33" s="3"/>
      <c r="H33" s="4"/>
      <c r="I33" s="5"/>
      <c r="J33" s="20"/>
      <c r="K33" s="20"/>
      <c r="L33" s="20"/>
      <c r="M33" s="1"/>
      <c r="N33" s="1"/>
      <c r="O33" s="1"/>
      <c r="P33" s="1"/>
      <c r="Q33" s="1"/>
      <c r="R33" s="2"/>
      <c r="S33" s="2"/>
      <c r="T33" s="2"/>
      <c r="U33" s="2"/>
      <c r="V33" s="2"/>
      <c r="W33" s="2"/>
      <c r="X33" s="2"/>
      <c r="Y33" s="117"/>
      <c r="Z33" s="117"/>
      <c r="AA33" s="117"/>
      <c r="AB33" s="113"/>
    </row>
    <row r="34" spans="2:28" ht="15.75">
      <c r="B34" s="1">
        <v>2024</v>
      </c>
      <c r="C34" s="95">
        <v>212554.30469994951</v>
      </c>
      <c r="D34" s="1"/>
      <c r="E34" s="1"/>
      <c r="F34" s="20"/>
      <c r="G34" s="3"/>
      <c r="H34" s="4"/>
      <c r="I34" s="5"/>
      <c r="J34" s="20"/>
      <c r="K34" s="20"/>
      <c r="L34" s="20"/>
      <c r="M34" s="1"/>
      <c r="N34" s="1"/>
      <c r="O34" s="1"/>
      <c r="P34" s="1"/>
      <c r="Q34" s="1"/>
      <c r="R34" s="2"/>
      <c r="S34" s="2"/>
      <c r="T34" s="2"/>
      <c r="U34" s="2"/>
      <c r="V34" s="2"/>
      <c r="W34" s="2"/>
      <c r="X34" s="2"/>
      <c r="Y34" s="113"/>
      <c r="Z34" s="113"/>
      <c r="AA34" s="117"/>
      <c r="AB34" s="113"/>
    </row>
    <row r="35" spans="2:28" ht="15.75">
      <c r="B35" s="2"/>
      <c r="C35" s="2"/>
      <c r="D35" s="1"/>
      <c r="E35" s="20"/>
      <c r="F35" s="1"/>
      <c r="G35" s="3"/>
      <c r="H35" s="4"/>
      <c r="I35" s="355"/>
      <c r="J35" s="20"/>
      <c r="K35" s="20"/>
      <c r="L35" s="20"/>
      <c r="M35" s="1"/>
      <c r="N35" s="1"/>
      <c r="O35" s="1"/>
      <c r="P35" s="1"/>
      <c r="Q35" s="1"/>
      <c r="R35" s="2"/>
      <c r="S35" s="2"/>
      <c r="T35" s="2"/>
      <c r="U35" s="2"/>
      <c r="V35" s="2"/>
      <c r="W35" s="2"/>
      <c r="X35" s="2"/>
      <c r="Y35" s="110"/>
      <c r="Z35" s="110"/>
      <c r="AA35" s="117"/>
      <c r="AB35" s="113"/>
    </row>
    <row r="36" spans="2:28" ht="15.75">
      <c r="C36" s="537" t="s">
        <v>516</v>
      </c>
      <c r="D36" s="538"/>
      <c r="E36" s="539"/>
      <c r="F36" s="114"/>
      <c r="G36" s="3"/>
      <c r="H36" s="4"/>
      <c r="I36" s="355"/>
      <c r="J36" s="20"/>
      <c r="K36" s="20"/>
      <c r="L36" s="20"/>
      <c r="M36" s="1"/>
      <c r="N36" s="1"/>
      <c r="O36" s="1"/>
      <c r="P36" s="1"/>
      <c r="Q36" s="1"/>
      <c r="R36" s="2"/>
      <c r="S36" s="2"/>
      <c r="T36" s="2"/>
      <c r="U36" s="2"/>
      <c r="V36" s="2"/>
      <c r="W36" s="2"/>
      <c r="X36" s="2"/>
      <c r="Y36" s="113"/>
      <c r="Z36" s="113"/>
      <c r="AA36" s="117"/>
      <c r="AB36" s="117"/>
    </row>
    <row r="37" spans="2:28" ht="31.5">
      <c r="B37" s="1"/>
      <c r="C37" s="89" t="s">
        <v>364</v>
      </c>
      <c r="D37" s="89" t="s">
        <v>365</v>
      </c>
      <c r="E37" s="89" t="s">
        <v>366</v>
      </c>
      <c r="F37" s="114"/>
      <c r="G37" s="20"/>
      <c r="H37" s="20"/>
      <c r="I37" s="20"/>
      <c r="J37" s="20"/>
      <c r="K37" s="20"/>
      <c r="L37" s="20"/>
      <c r="M37" s="1"/>
      <c r="N37" s="1"/>
      <c r="O37" s="1"/>
      <c r="P37" s="1"/>
      <c r="Q37" s="1"/>
      <c r="R37" s="2"/>
      <c r="S37" s="2"/>
      <c r="T37" s="2"/>
      <c r="U37" s="2"/>
      <c r="V37" s="2"/>
      <c r="W37" s="2"/>
      <c r="X37" s="2"/>
      <c r="Y37" s="2"/>
      <c r="Z37" s="112"/>
      <c r="AA37" s="112"/>
      <c r="AB37" s="113"/>
    </row>
    <row r="38" spans="2:28" ht="15.75">
      <c r="B38" s="114" t="s">
        <v>158</v>
      </c>
      <c r="C38" s="269">
        <v>6059160.2764376383</v>
      </c>
      <c r="D38" s="269">
        <v>7793802.9381372696</v>
      </c>
      <c r="E38" s="4">
        <v>1515275.3552196764</v>
      </c>
      <c r="F38" s="1"/>
      <c r="G38" s="20"/>
      <c r="H38" s="20"/>
      <c r="I38" s="20"/>
      <c r="J38" s="20"/>
      <c r="K38" s="20"/>
      <c r="L38" s="20"/>
      <c r="M38" s="1"/>
      <c r="N38" s="1"/>
      <c r="O38" s="1"/>
      <c r="P38" s="1"/>
      <c r="Q38" s="1"/>
      <c r="R38" s="2"/>
      <c r="S38" s="2"/>
      <c r="T38" s="2"/>
      <c r="U38" s="2"/>
      <c r="V38" s="2"/>
      <c r="W38" s="2"/>
      <c r="X38" s="2"/>
      <c r="Y38" s="2"/>
      <c r="Z38" s="112"/>
      <c r="AA38" s="117"/>
      <c r="AB38" s="112"/>
    </row>
    <row r="39" spans="2:28" ht="15.75">
      <c r="B39" s="114" t="s">
        <v>174</v>
      </c>
      <c r="C39" s="269">
        <v>18290445.652985182</v>
      </c>
      <c r="D39" s="269">
        <v>20272867.503732543</v>
      </c>
      <c r="E39" s="4">
        <v>3877834.6865865677</v>
      </c>
      <c r="F39" s="1"/>
      <c r="G39" s="20"/>
      <c r="H39" s="20"/>
      <c r="I39" s="20"/>
      <c r="J39" s="20"/>
      <c r="K39" s="20"/>
      <c r="L39" s="20"/>
      <c r="M39" s="1"/>
      <c r="N39" s="1"/>
      <c r="O39" s="1"/>
      <c r="P39" s="1"/>
      <c r="Q39" s="1"/>
      <c r="R39" s="2"/>
      <c r="S39" s="2"/>
      <c r="T39" s="2"/>
      <c r="U39" s="2"/>
      <c r="V39" s="2"/>
      <c r="W39" s="2"/>
      <c r="X39" s="2"/>
      <c r="Y39" s="2"/>
      <c r="Z39" s="117"/>
      <c r="AA39" s="113"/>
      <c r="AB39" s="113"/>
    </row>
    <row r="40" spans="2:28" ht="15.75">
      <c r="B40" s="2"/>
      <c r="C40" s="2"/>
      <c r="E40" s="1"/>
      <c r="F40" s="1"/>
      <c r="G40" s="20"/>
      <c r="H40" s="20"/>
      <c r="I40" s="20"/>
      <c r="J40" s="20"/>
      <c r="K40" s="20"/>
      <c r="L40" s="20"/>
      <c r="M40" s="1"/>
      <c r="N40" s="1"/>
      <c r="O40" s="1"/>
      <c r="P40" s="1"/>
      <c r="Q40" s="1"/>
      <c r="R40" s="2"/>
      <c r="S40" s="2"/>
      <c r="T40" s="2"/>
      <c r="U40" s="2"/>
      <c r="V40" s="2"/>
      <c r="W40" s="2"/>
      <c r="X40" s="2"/>
      <c r="Y40" s="2"/>
      <c r="Z40" s="117"/>
      <c r="AA40" s="117"/>
      <c r="AB40" s="113"/>
    </row>
    <row r="41" spans="2:28" ht="15.75">
      <c r="B41" s="2"/>
      <c r="C41" s="2"/>
      <c r="E41" s="1"/>
      <c r="F41" s="1"/>
      <c r="G41" s="20"/>
      <c r="H41" s="20"/>
      <c r="I41" s="20"/>
      <c r="J41" s="20"/>
      <c r="K41" s="20"/>
      <c r="L41" s="20"/>
      <c r="M41" s="1"/>
      <c r="N41" s="1"/>
      <c r="O41" s="1"/>
      <c r="P41" s="1"/>
      <c r="Q41" s="1"/>
      <c r="R41" s="2"/>
      <c r="S41" s="2"/>
      <c r="T41" s="2"/>
      <c r="U41" s="2"/>
      <c r="V41" s="2"/>
      <c r="W41" s="2"/>
      <c r="X41" s="2"/>
      <c r="Y41" s="2"/>
      <c r="Z41" s="117"/>
      <c r="AA41" s="117"/>
      <c r="AB41" s="117"/>
    </row>
    <row r="42" spans="2:28" ht="15.75">
      <c r="B42" s="2"/>
      <c r="C42" s="2"/>
      <c r="E42" s="1"/>
      <c r="F42" s="1"/>
      <c r="G42" s="20"/>
      <c r="H42" s="20"/>
      <c r="I42" s="20"/>
      <c r="J42" s="20"/>
      <c r="K42" s="20"/>
      <c r="L42" s="20"/>
      <c r="M42" s="1"/>
      <c r="N42" s="1"/>
      <c r="O42" s="1"/>
      <c r="P42" s="1"/>
      <c r="Q42" s="1"/>
      <c r="R42" s="1"/>
      <c r="S42" s="1"/>
      <c r="T42" s="1"/>
      <c r="U42" s="111"/>
      <c r="V42" s="112"/>
      <c r="W42" s="112"/>
      <c r="X42" s="112"/>
      <c r="Y42" s="2"/>
      <c r="Z42" s="117"/>
      <c r="AA42" s="113"/>
      <c r="AB42" s="113"/>
    </row>
    <row r="43" spans="2:28" ht="15.75">
      <c r="B43" s="2"/>
      <c r="C43" s="2"/>
      <c r="D43" s="1"/>
      <c r="E43" s="1"/>
      <c r="F43" s="1"/>
      <c r="G43" s="20"/>
      <c r="H43" s="20"/>
      <c r="I43" s="20"/>
      <c r="J43" s="20"/>
      <c r="K43" s="20"/>
      <c r="L43" s="20"/>
      <c r="M43" s="1"/>
      <c r="N43" s="1"/>
      <c r="O43" s="1"/>
      <c r="P43" s="1"/>
      <c r="Q43" s="1"/>
      <c r="R43" s="1"/>
      <c r="S43" s="1"/>
      <c r="T43" s="1"/>
      <c r="U43" s="111"/>
      <c r="V43" s="525"/>
      <c r="W43" s="525"/>
      <c r="X43" s="112"/>
      <c r="Y43" s="2"/>
      <c r="Z43" s="117"/>
      <c r="AA43" s="110"/>
      <c r="AB43" s="113"/>
    </row>
    <row r="44" spans="2:28" ht="15.75">
      <c r="B44" s="2"/>
      <c r="C44" s="2"/>
      <c r="D44" s="1"/>
      <c r="E44" s="1"/>
      <c r="F44" s="1"/>
      <c r="G44" s="20"/>
      <c r="H44" s="20"/>
      <c r="I44" s="20"/>
      <c r="J44" s="20"/>
      <c r="K44" s="20"/>
      <c r="L44" s="20"/>
      <c r="M44" s="1"/>
      <c r="N44" s="1"/>
      <c r="O44" s="1"/>
      <c r="P44" s="1"/>
      <c r="Q44" s="1"/>
      <c r="R44" s="1"/>
      <c r="S44" s="1"/>
      <c r="T44" s="1"/>
      <c r="U44" s="111"/>
      <c r="V44" s="112"/>
      <c r="W44" s="111"/>
      <c r="X44" s="117"/>
      <c r="Y44" s="2"/>
      <c r="Z44" s="117"/>
      <c r="AA44" s="113"/>
      <c r="AB44" s="110"/>
    </row>
    <row r="45" spans="2:28" ht="15.75">
      <c r="B45" s="2"/>
      <c r="C45" s="2"/>
      <c r="D45" s="1"/>
      <c r="E45" s="1"/>
      <c r="F45" s="1"/>
      <c r="G45" s="20"/>
      <c r="H45" s="20"/>
      <c r="I45" s="20"/>
      <c r="J45" s="20"/>
      <c r="K45" s="20"/>
      <c r="L45" s="20"/>
      <c r="M45" s="1"/>
      <c r="N45" s="1"/>
      <c r="O45" s="1"/>
      <c r="P45" s="1"/>
      <c r="Q45" s="1"/>
      <c r="R45" s="1"/>
      <c r="S45" s="1"/>
      <c r="T45" s="1"/>
      <c r="U45" s="111"/>
      <c r="V45" s="112"/>
      <c r="W45" s="111"/>
      <c r="X45" s="117"/>
      <c r="Y45" s="2"/>
      <c r="Z45" s="110"/>
      <c r="AA45" s="112"/>
      <c r="AB45" s="113"/>
    </row>
    <row r="46" spans="2:28" ht="15.75">
      <c r="B46" s="2"/>
      <c r="C46" s="2"/>
      <c r="D46" s="1"/>
      <c r="E46" s="1"/>
      <c r="F46" s="1"/>
      <c r="G46" s="20"/>
      <c r="H46" s="20"/>
      <c r="I46" s="20"/>
      <c r="J46" s="20"/>
      <c r="K46" s="20"/>
      <c r="L46" s="20"/>
      <c r="M46" s="1"/>
      <c r="N46" s="1"/>
      <c r="O46" s="1"/>
      <c r="P46" s="1"/>
      <c r="Q46" s="1"/>
      <c r="R46" s="1"/>
      <c r="S46" s="1"/>
      <c r="T46" s="1"/>
      <c r="U46" s="111"/>
      <c r="V46" s="112"/>
      <c r="W46" s="112"/>
      <c r="X46" s="110"/>
      <c r="Y46" s="2"/>
      <c r="Z46" s="117"/>
      <c r="AA46" s="112"/>
      <c r="AB46" s="112"/>
    </row>
    <row r="47" spans="2:28" ht="15.75">
      <c r="B47" s="2"/>
      <c r="C47" s="2"/>
      <c r="D47" s="1"/>
      <c r="E47" s="1"/>
      <c r="F47" s="1"/>
      <c r="G47" s="20"/>
      <c r="H47" s="20"/>
      <c r="I47" s="20"/>
      <c r="J47" s="20"/>
      <c r="K47" s="20"/>
      <c r="L47" s="20"/>
      <c r="M47" s="1"/>
      <c r="N47" s="1"/>
      <c r="O47" s="1"/>
      <c r="P47" s="1"/>
      <c r="Q47" s="1"/>
      <c r="R47" s="1"/>
      <c r="S47" s="1"/>
      <c r="T47" s="1"/>
      <c r="U47" s="111"/>
      <c r="V47" s="112"/>
      <c r="W47" s="111"/>
      <c r="X47" s="117"/>
      <c r="Y47" s="112"/>
      <c r="Z47" s="112"/>
      <c r="AA47" s="113"/>
      <c r="AB47" s="112"/>
    </row>
    <row r="48" spans="2:28" ht="15.75">
      <c r="B48" s="2"/>
      <c r="C48" s="2"/>
      <c r="D48" s="1"/>
      <c r="E48" s="1"/>
      <c r="F48" s="1"/>
      <c r="G48" s="20"/>
      <c r="H48" s="20"/>
      <c r="I48" s="20"/>
      <c r="J48" s="20"/>
      <c r="K48" s="20"/>
      <c r="L48" s="20"/>
      <c r="M48" s="1"/>
      <c r="N48" s="1"/>
      <c r="O48" s="1"/>
      <c r="P48" s="1"/>
      <c r="Q48" s="1"/>
      <c r="R48" s="1"/>
      <c r="S48" s="1"/>
      <c r="T48" s="1"/>
      <c r="U48" s="111"/>
      <c r="V48" s="112"/>
      <c r="W48" s="112"/>
      <c r="X48" s="112"/>
      <c r="Y48" s="112"/>
      <c r="Z48" s="112"/>
      <c r="AA48" s="113"/>
      <c r="AB48" s="113"/>
    </row>
    <row r="49" spans="2:28" ht="15.75">
      <c r="B49" s="2"/>
      <c r="C49" s="2"/>
      <c r="D49" s="1"/>
      <c r="E49" s="1"/>
      <c r="F49" s="1"/>
      <c r="G49" s="20"/>
      <c r="H49" s="20"/>
      <c r="I49" s="20"/>
      <c r="J49" s="20"/>
      <c r="K49" s="20"/>
      <c r="L49" s="20"/>
      <c r="M49" s="1"/>
      <c r="N49" s="1"/>
      <c r="O49" s="1"/>
      <c r="P49" s="1"/>
      <c r="Q49" s="1"/>
      <c r="R49" s="1"/>
      <c r="S49" s="1"/>
      <c r="T49" s="1"/>
      <c r="U49" s="111"/>
      <c r="V49" s="525"/>
      <c r="W49" s="525"/>
      <c r="X49" s="112"/>
      <c r="Y49" s="117"/>
      <c r="Z49" s="117"/>
      <c r="AA49" s="113"/>
      <c r="AB49" s="113"/>
    </row>
    <row r="50" spans="2:28" ht="15.75">
      <c r="B50" s="2"/>
      <c r="C50" s="2"/>
      <c r="D50" s="1"/>
      <c r="E50" s="1"/>
      <c r="F50" s="1"/>
      <c r="G50" s="20"/>
      <c r="H50" s="20"/>
      <c r="I50" s="20"/>
      <c r="J50" s="20"/>
      <c r="K50" s="20"/>
      <c r="L50" s="20"/>
      <c r="M50" s="1"/>
      <c r="N50" s="1"/>
      <c r="O50" s="1"/>
      <c r="P50" s="1"/>
      <c r="Q50" s="1"/>
      <c r="R50" s="1"/>
      <c r="S50" s="1"/>
      <c r="T50" s="1"/>
      <c r="U50" s="111"/>
      <c r="V50" s="112"/>
      <c r="W50" s="111"/>
      <c r="X50" s="117"/>
      <c r="Y50" s="117"/>
      <c r="Z50" s="117"/>
      <c r="AA50" s="117"/>
      <c r="AB50" s="113"/>
    </row>
    <row r="51" spans="2:28" ht="15.75">
      <c r="B51" s="2"/>
      <c r="C51" s="2"/>
      <c r="D51" s="1"/>
      <c r="E51" s="1"/>
      <c r="F51" s="1"/>
      <c r="G51" s="20"/>
      <c r="H51" s="20"/>
      <c r="I51" s="20"/>
      <c r="J51" s="20"/>
      <c r="K51" s="20"/>
      <c r="L51" s="20"/>
      <c r="M51" s="1"/>
      <c r="N51" s="1"/>
      <c r="O51" s="1"/>
      <c r="P51" s="1"/>
      <c r="Q51" s="1"/>
      <c r="R51" s="1"/>
      <c r="S51" s="1"/>
      <c r="T51" s="1"/>
      <c r="U51" s="111"/>
      <c r="V51" s="112"/>
      <c r="W51" s="111"/>
      <c r="X51" s="117"/>
      <c r="Y51" s="110"/>
      <c r="Z51" s="110"/>
      <c r="AA51" s="117"/>
      <c r="AB51" s="113"/>
    </row>
    <row r="52" spans="2:28" ht="15.75">
      <c r="B52" s="2"/>
      <c r="C52" s="2"/>
      <c r="D52" s="1"/>
      <c r="E52" s="1"/>
      <c r="F52" s="1"/>
      <c r="G52" s="20"/>
      <c r="H52" s="20"/>
      <c r="I52" s="20"/>
      <c r="J52" s="20"/>
      <c r="K52" s="20"/>
      <c r="L52" s="20"/>
      <c r="M52" s="1"/>
      <c r="N52" s="1"/>
      <c r="O52" s="1"/>
      <c r="P52" s="1"/>
      <c r="Q52" s="1"/>
      <c r="R52" s="1"/>
      <c r="S52" s="1"/>
      <c r="T52" s="1"/>
      <c r="U52" s="111"/>
      <c r="V52" s="112"/>
      <c r="W52" s="111"/>
      <c r="X52" s="113"/>
      <c r="Y52" s="117"/>
      <c r="Z52" s="117"/>
      <c r="AA52" s="113"/>
      <c r="AB52" s="113"/>
    </row>
    <row r="53" spans="2:28" ht="15.75">
      <c r="B53" s="2"/>
      <c r="C53" s="2"/>
      <c r="D53" s="1"/>
      <c r="E53" s="1"/>
      <c r="F53" s="1"/>
      <c r="G53" s="20"/>
      <c r="H53" s="20"/>
      <c r="I53" s="20"/>
      <c r="J53" s="20"/>
      <c r="K53" s="20"/>
      <c r="L53" s="20"/>
      <c r="M53" s="1"/>
      <c r="N53" s="1"/>
      <c r="O53" s="1"/>
      <c r="P53" s="1"/>
      <c r="Q53" s="1"/>
      <c r="R53" s="1"/>
      <c r="S53" s="1"/>
      <c r="T53" s="1"/>
      <c r="U53" s="111"/>
      <c r="V53" s="112"/>
      <c r="W53" s="111"/>
      <c r="X53" s="117"/>
      <c r="Y53" s="112"/>
      <c r="Z53" s="112"/>
      <c r="AA53" s="110"/>
      <c r="AB53" s="113"/>
    </row>
    <row r="54" spans="2:28" ht="15.75">
      <c r="B54" s="2"/>
      <c r="C54" s="2"/>
      <c r="D54" s="1"/>
      <c r="E54" s="1"/>
      <c r="F54" s="1"/>
      <c r="G54" s="20"/>
      <c r="H54" s="20"/>
      <c r="I54" s="20"/>
      <c r="J54" s="20"/>
      <c r="K54" s="20"/>
      <c r="L54" s="20"/>
      <c r="M54" s="1"/>
      <c r="N54" s="1"/>
      <c r="O54" s="1"/>
      <c r="P54" s="1"/>
      <c r="Q54" s="1"/>
      <c r="R54" s="1"/>
      <c r="S54" s="1"/>
      <c r="T54" s="1"/>
      <c r="U54" s="111"/>
      <c r="V54" s="112"/>
      <c r="W54" s="111"/>
      <c r="X54" s="117"/>
      <c r="Y54" s="112"/>
      <c r="Z54" s="112"/>
      <c r="AA54" s="113"/>
      <c r="AB54" s="110"/>
    </row>
    <row r="55" spans="2:28" ht="15.75">
      <c r="B55" s="2"/>
      <c r="C55" s="2"/>
      <c r="D55" s="1"/>
      <c r="E55" s="1"/>
      <c r="F55" s="1"/>
      <c r="G55" s="20"/>
      <c r="H55" s="20"/>
      <c r="I55" s="20"/>
      <c r="J55" s="20"/>
      <c r="K55" s="20"/>
      <c r="L55" s="20"/>
      <c r="M55" s="1"/>
      <c r="N55" s="1"/>
      <c r="O55" s="1"/>
      <c r="P55" s="1"/>
      <c r="Q55" s="1"/>
      <c r="R55" s="1"/>
      <c r="S55" s="1"/>
      <c r="T55" s="1"/>
      <c r="U55" s="111"/>
      <c r="V55" s="112"/>
      <c r="W55" s="112"/>
      <c r="X55" s="110"/>
      <c r="Y55" s="117"/>
      <c r="Z55" s="117"/>
      <c r="AA55" s="112"/>
      <c r="AB55" s="113"/>
    </row>
    <row r="56" spans="2:28" ht="15.75">
      <c r="B56" s="1"/>
      <c r="C56" s="1"/>
      <c r="D56" s="1"/>
      <c r="E56" s="1"/>
      <c r="F56" s="1"/>
      <c r="G56" s="20"/>
      <c r="H56" s="20"/>
      <c r="I56" s="20"/>
      <c r="J56" s="20"/>
      <c r="K56" s="20"/>
      <c r="L56" s="20"/>
      <c r="M56" s="1"/>
      <c r="N56" s="1"/>
      <c r="O56" s="1"/>
      <c r="P56" s="1"/>
      <c r="Q56" s="1"/>
      <c r="R56" s="1"/>
      <c r="S56" s="1"/>
      <c r="T56" s="1"/>
      <c r="U56" s="111"/>
      <c r="V56" s="112"/>
      <c r="W56" s="111"/>
      <c r="X56" s="113"/>
      <c r="Y56" s="117"/>
      <c r="Z56" s="117"/>
      <c r="AA56" s="112"/>
      <c r="AB56" s="112"/>
    </row>
    <row r="57" spans="2:28" ht="15.75">
      <c r="B57" s="1"/>
      <c r="C57" s="1"/>
      <c r="D57" s="1"/>
      <c r="E57" s="1"/>
      <c r="F57" s="1"/>
      <c r="G57" s="20"/>
      <c r="H57" s="20"/>
      <c r="I57" s="20"/>
      <c r="J57" s="20"/>
      <c r="K57" s="20"/>
      <c r="L57" s="20"/>
      <c r="M57" s="1"/>
      <c r="N57" s="1"/>
      <c r="O57" s="1"/>
      <c r="P57" s="1"/>
      <c r="Q57" s="1"/>
      <c r="R57" s="1"/>
      <c r="S57" s="1"/>
      <c r="T57" s="1"/>
      <c r="U57" s="111"/>
      <c r="V57" s="112"/>
      <c r="W57" s="112"/>
      <c r="X57" s="112"/>
      <c r="Y57" s="113"/>
      <c r="Z57" s="113"/>
      <c r="AA57" s="117"/>
      <c r="AB57" s="112"/>
    </row>
    <row r="58" spans="2:28" ht="15.75">
      <c r="B58" s="1"/>
      <c r="C58" s="1"/>
      <c r="D58" s="1"/>
      <c r="E58" s="1"/>
      <c r="F58" s="1"/>
      <c r="G58" s="20"/>
      <c r="H58" s="20"/>
      <c r="I58" s="20"/>
      <c r="J58" s="20"/>
      <c r="K58" s="20"/>
      <c r="L58" s="20"/>
      <c r="M58" s="1"/>
      <c r="N58" s="1"/>
      <c r="O58" s="1"/>
      <c r="P58" s="1"/>
      <c r="Q58" s="1"/>
      <c r="R58" s="1"/>
      <c r="S58" s="1"/>
      <c r="T58" s="1"/>
      <c r="U58" s="111"/>
      <c r="V58" s="112"/>
      <c r="W58" s="112"/>
      <c r="X58" s="112"/>
      <c r="Y58" s="117"/>
      <c r="Z58" s="117"/>
      <c r="AA58" s="117"/>
      <c r="AB58" s="113"/>
    </row>
    <row r="59" spans="2:28" ht="15.75">
      <c r="B59" s="1"/>
      <c r="C59" s="1"/>
      <c r="D59" s="1"/>
      <c r="E59" s="1"/>
      <c r="F59" s="1"/>
      <c r="G59" s="20"/>
      <c r="H59" s="20"/>
      <c r="I59" s="20"/>
      <c r="J59" s="20"/>
      <c r="K59" s="20"/>
      <c r="L59" s="20"/>
      <c r="M59" s="1"/>
      <c r="N59" s="1"/>
      <c r="O59" s="1"/>
      <c r="P59" s="1"/>
      <c r="Q59" s="1"/>
      <c r="R59" s="1"/>
      <c r="S59" s="1"/>
      <c r="T59" s="1"/>
      <c r="U59" s="111"/>
      <c r="V59" s="112"/>
      <c r="W59" s="111"/>
      <c r="X59" s="113"/>
      <c r="Y59" s="117"/>
      <c r="Z59" s="117"/>
      <c r="AA59" s="110"/>
      <c r="AB59" s="113"/>
    </row>
    <row r="60" spans="2:28" ht="15.75">
      <c r="B60" s="1"/>
      <c r="C60" s="1"/>
      <c r="D60" s="1"/>
      <c r="E60" s="1"/>
      <c r="F60" s="1"/>
      <c r="G60" s="20"/>
      <c r="H60" s="20"/>
      <c r="I60" s="20"/>
      <c r="J60" s="20"/>
      <c r="K60" s="20"/>
      <c r="L60" s="20"/>
      <c r="M60" s="1"/>
      <c r="N60" s="1"/>
      <c r="O60" s="1"/>
      <c r="P60" s="1"/>
      <c r="Q60" s="1"/>
      <c r="R60" s="1"/>
      <c r="S60" s="1"/>
      <c r="T60" s="1"/>
      <c r="U60" s="111"/>
      <c r="V60" s="112"/>
      <c r="W60" s="112"/>
      <c r="X60" s="110"/>
      <c r="Y60" s="110"/>
      <c r="Z60" s="110"/>
      <c r="AA60" s="117"/>
      <c r="AB60" s="110"/>
    </row>
    <row r="61" spans="2:28" ht="15.75">
      <c r="B61" s="1"/>
      <c r="C61" s="1"/>
      <c r="D61" s="1"/>
      <c r="E61" s="1"/>
      <c r="F61" s="1"/>
      <c r="G61" s="20"/>
      <c r="H61" s="20"/>
      <c r="I61" s="20"/>
      <c r="J61" s="20"/>
      <c r="K61" s="20"/>
      <c r="L61" s="20"/>
      <c r="M61" s="1"/>
      <c r="N61" s="1"/>
      <c r="O61" s="1"/>
      <c r="P61" s="1"/>
      <c r="Q61" s="1"/>
      <c r="R61" s="1"/>
      <c r="S61" s="1"/>
      <c r="T61" s="1"/>
      <c r="U61" s="111"/>
      <c r="V61" s="525"/>
      <c r="W61" s="525"/>
      <c r="X61" s="112"/>
      <c r="Y61" s="113"/>
      <c r="Z61" s="113"/>
      <c r="AA61" s="112"/>
      <c r="AB61" s="113"/>
    </row>
    <row r="62" spans="2:28" ht="15.75">
      <c r="B62" s="1"/>
      <c r="C62" s="1"/>
      <c r="D62" s="1"/>
      <c r="E62" s="1"/>
      <c r="F62" s="1"/>
      <c r="G62" s="20"/>
      <c r="H62" s="20"/>
      <c r="I62" s="20"/>
      <c r="J62" s="20"/>
      <c r="K62" s="20"/>
      <c r="L62" s="20"/>
      <c r="M62" s="1"/>
      <c r="N62" s="1"/>
      <c r="O62" s="1"/>
      <c r="P62" s="1"/>
      <c r="Q62" s="1"/>
      <c r="R62" s="1"/>
      <c r="S62" s="1"/>
      <c r="T62" s="1"/>
      <c r="U62" s="111"/>
      <c r="V62" s="112"/>
      <c r="W62" s="112"/>
      <c r="X62" s="112"/>
      <c r="Y62" s="112"/>
      <c r="Z62" s="112"/>
      <c r="AA62" s="112"/>
      <c r="AB62" s="112"/>
    </row>
    <row r="63" spans="2:28" ht="15.75">
      <c r="B63" s="1"/>
      <c r="C63" s="1"/>
      <c r="D63" s="1"/>
      <c r="E63" s="1"/>
      <c r="F63" s="1"/>
      <c r="G63" s="20"/>
      <c r="H63" s="20"/>
      <c r="I63" s="20"/>
      <c r="J63" s="20"/>
      <c r="K63" s="20"/>
      <c r="L63" s="20"/>
      <c r="M63" s="1"/>
      <c r="N63" s="1"/>
      <c r="O63" s="1"/>
      <c r="P63" s="1"/>
      <c r="Q63" s="1"/>
      <c r="R63" s="1"/>
      <c r="S63" s="1"/>
      <c r="T63" s="1"/>
      <c r="U63" s="111"/>
      <c r="V63" s="112"/>
      <c r="W63" s="111"/>
      <c r="X63" s="112"/>
      <c r="Y63" s="112"/>
      <c r="Z63" s="112"/>
      <c r="AA63" s="117"/>
      <c r="AB63" s="112"/>
    </row>
    <row r="64" spans="2:28" ht="15.75">
      <c r="B64" s="1"/>
      <c r="C64" s="1"/>
      <c r="D64" s="1"/>
      <c r="E64" s="1"/>
      <c r="F64" s="1"/>
      <c r="G64" s="20"/>
      <c r="H64" s="20"/>
      <c r="I64" s="20"/>
      <c r="J64" s="20"/>
      <c r="K64" s="20"/>
      <c r="L64" s="20"/>
      <c r="M64" s="1"/>
      <c r="N64" s="1"/>
      <c r="O64" s="1"/>
      <c r="P64" s="1"/>
      <c r="Q64" s="1"/>
      <c r="R64" s="1"/>
      <c r="S64" s="1"/>
      <c r="T64" s="1"/>
      <c r="U64" s="111"/>
      <c r="V64" s="112"/>
      <c r="W64" s="112"/>
      <c r="X64" s="110"/>
      <c r="Y64" s="113"/>
      <c r="Z64" s="113"/>
      <c r="AA64" s="117"/>
      <c r="AB64" s="113"/>
    </row>
    <row r="65" spans="2:28" ht="15.75">
      <c r="B65" s="1"/>
      <c r="C65" s="1"/>
      <c r="D65" s="1"/>
      <c r="E65" s="1"/>
      <c r="F65" s="1"/>
      <c r="G65" s="20"/>
      <c r="H65" s="20"/>
      <c r="I65" s="20"/>
      <c r="J65" s="20"/>
      <c r="K65" s="20"/>
      <c r="L65" s="20"/>
      <c r="M65" s="1"/>
      <c r="N65" s="1"/>
      <c r="O65" s="1"/>
      <c r="P65" s="1"/>
      <c r="Q65" s="1"/>
      <c r="R65" s="1"/>
      <c r="S65" s="1"/>
      <c r="T65" s="1"/>
      <c r="U65" s="111"/>
      <c r="V65" s="112"/>
      <c r="W65" s="111"/>
      <c r="X65" s="112"/>
      <c r="Y65" s="110"/>
      <c r="Z65" s="110"/>
      <c r="AA65" s="117"/>
      <c r="AB65" s="113"/>
    </row>
    <row r="66" spans="2:28" ht="15.75">
      <c r="B66" s="1"/>
      <c r="C66" s="1"/>
      <c r="D66" s="1"/>
      <c r="E66" s="1"/>
      <c r="F66" s="1"/>
      <c r="G66" s="20"/>
      <c r="H66" s="20"/>
      <c r="I66" s="20"/>
      <c r="J66" s="20"/>
      <c r="K66" s="20"/>
      <c r="L66" s="20"/>
      <c r="M66" s="1"/>
      <c r="N66" s="1"/>
      <c r="O66" s="1"/>
      <c r="P66" s="1"/>
      <c r="Q66" s="1"/>
      <c r="R66" s="1"/>
      <c r="S66" s="1"/>
      <c r="T66" s="1"/>
      <c r="U66" s="111"/>
      <c r="V66" s="112"/>
      <c r="W66" s="112"/>
      <c r="X66" s="112"/>
      <c r="Y66" s="112"/>
      <c r="Z66" s="112"/>
      <c r="AA66" s="117"/>
      <c r="AB66" s="113"/>
    </row>
    <row r="67" spans="2:28" ht="15.75">
      <c r="B67" s="1"/>
      <c r="C67" s="1"/>
      <c r="D67" s="1"/>
      <c r="E67" s="1"/>
      <c r="F67" s="1"/>
      <c r="G67" s="20"/>
      <c r="H67" s="20"/>
      <c r="I67" s="20"/>
      <c r="J67" s="20"/>
      <c r="K67" s="20"/>
      <c r="L67" s="20"/>
      <c r="M67" s="1"/>
      <c r="N67" s="1"/>
      <c r="O67" s="1"/>
      <c r="P67" s="1"/>
      <c r="Q67" s="1"/>
      <c r="R67" s="1"/>
      <c r="S67" s="1"/>
      <c r="T67" s="1"/>
      <c r="U67" s="111"/>
      <c r="V67" s="112"/>
      <c r="W67" s="112"/>
      <c r="X67" s="110"/>
      <c r="Y67" s="112"/>
      <c r="Z67" s="112"/>
      <c r="AA67" s="117"/>
      <c r="AB67" s="117"/>
    </row>
    <row r="68" spans="2:28" ht="15.75">
      <c r="B68" s="1"/>
      <c r="C68" s="1"/>
      <c r="D68" s="1"/>
      <c r="E68" s="1"/>
      <c r="F68" s="1"/>
      <c r="G68" s="20"/>
      <c r="H68" s="20"/>
      <c r="I68" s="20"/>
      <c r="J68" s="20"/>
      <c r="K68" s="20"/>
      <c r="L68" s="20"/>
      <c r="M68" s="1"/>
      <c r="N68" s="1"/>
      <c r="O68" s="1"/>
      <c r="P68" s="1"/>
      <c r="Q68" s="1"/>
      <c r="R68" s="1"/>
      <c r="S68" s="1"/>
      <c r="T68" s="1"/>
      <c r="U68" s="111"/>
      <c r="V68" s="525"/>
      <c r="W68" s="525"/>
      <c r="X68" s="113"/>
      <c r="Y68" s="112"/>
      <c r="Z68" s="112"/>
      <c r="AA68" s="110"/>
      <c r="AB68" s="117"/>
    </row>
    <row r="69" spans="2:28" ht="15.75">
      <c r="B69" s="1"/>
      <c r="C69" s="1"/>
      <c r="D69" s="1"/>
      <c r="E69" s="1"/>
      <c r="F69" s="1"/>
      <c r="G69" s="20"/>
      <c r="H69" s="20"/>
      <c r="I69" s="20"/>
      <c r="J69" s="20"/>
      <c r="K69" s="20"/>
      <c r="L69" s="20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10"/>
      <c r="Z69" s="110"/>
      <c r="AA69" s="117"/>
      <c r="AB69" s="110"/>
    </row>
    <row r="70" spans="2:28" ht="15.75">
      <c r="B70" s="1"/>
      <c r="C70" s="1"/>
      <c r="D70" s="1"/>
      <c r="E70" s="1"/>
      <c r="F70" s="1"/>
      <c r="Y70" s="112"/>
      <c r="Z70" s="112"/>
      <c r="AA70" s="112"/>
      <c r="AB70" s="113"/>
    </row>
    <row r="71" spans="2:28" ht="15.75">
      <c r="B71" s="1"/>
      <c r="C71" s="1"/>
      <c r="D71" s="1"/>
      <c r="E71" s="1"/>
      <c r="F71" s="1"/>
      <c r="Y71" s="112"/>
      <c r="Z71" s="112"/>
      <c r="AA71" s="112"/>
      <c r="AB71" s="112"/>
    </row>
    <row r="72" spans="2:28" ht="15.75">
      <c r="B72" s="1"/>
      <c r="C72" s="1"/>
      <c r="D72" s="1"/>
      <c r="E72" s="1"/>
      <c r="F72" s="1"/>
      <c r="Y72" s="110"/>
      <c r="Z72" s="110"/>
      <c r="AA72" s="113"/>
      <c r="AB72" s="112"/>
    </row>
    <row r="73" spans="2:28" ht="15.75">
      <c r="B73" s="1"/>
      <c r="C73" s="1"/>
      <c r="D73" s="1"/>
      <c r="E73" s="1"/>
      <c r="F73" s="1"/>
      <c r="Y73" s="113"/>
      <c r="Z73" s="113"/>
      <c r="AA73" s="110"/>
      <c r="AB73" s="113"/>
    </row>
    <row r="74" spans="2:28" ht="15.75">
      <c r="B74" s="1"/>
      <c r="C74" s="1"/>
      <c r="D74" s="1"/>
      <c r="E74" s="1"/>
      <c r="F74" s="1"/>
      <c r="Y74" s="1"/>
      <c r="Z74" s="1"/>
      <c r="AA74" s="112"/>
      <c r="AB74" s="110"/>
    </row>
    <row r="75" spans="2:28" ht="15.75">
      <c r="B75" s="1"/>
      <c r="C75" s="1"/>
      <c r="D75" s="1"/>
      <c r="E75" s="1"/>
      <c r="AA75" s="112"/>
      <c r="AB75" s="112"/>
    </row>
    <row r="76" spans="2:28" ht="15.75">
      <c r="B76" s="1"/>
      <c r="C76" s="1"/>
      <c r="D76" s="1"/>
      <c r="AA76" s="112"/>
      <c r="AB76" s="112"/>
    </row>
    <row r="77" spans="2:28" ht="15.75">
      <c r="B77" s="1"/>
      <c r="C77" s="1"/>
      <c r="D77" s="1"/>
      <c r="AA77" s="110"/>
      <c r="AB77" s="112"/>
    </row>
    <row r="78" spans="2:28" ht="15.75">
      <c r="B78" s="1"/>
      <c r="C78" s="1"/>
      <c r="D78" s="1"/>
      <c r="AA78" s="112"/>
      <c r="AB78" s="110"/>
    </row>
    <row r="79" spans="2:28" ht="15.75">
      <c r="B79" s="1"/>
      <c r="C79" s="1"/>
      <c r="D79" s="1"/>
      <c r="AA79" s="112"/>
      <c r="AB79" s="112"/>
    </row>
    <row r="80" spans="2:28" ht="15.75">
      <c r="B80" s="1"/>
      <c r="C80" s="1"/>
      <c r="D80" s="1"/>
      <c r="AA80" s="110"/>
      <c r="AB80" s="112"/>
    </row>
    <row r="81" spans="2:28" ht="15.75">
      <c r="B81" s="1"/>
      <c r="C81" s="1"/>
      <c r="D81" s="1"/>
      <c r="AA81" s="113"/>
      <c r="AB81" s="110"/>
    </row>
    <row r="82" spans="2:28" ht="15.75">
      <c r="B82" s="1"/>
      <c r="C82" s="1"/>
      <c r="D82" s="1"/>
      <c r="AA82" s="1"/>
      <c r="AB82" s="113"/>
    </row>
    <row r="83" spans="2:28" ht="15.75">
      <c r="B83" s="1"/>
      <c r="C83" s="1"/>
      <c r="D83" s="1"/>
      <c r="AB83" s="1"/>
    </row>
    <row r="84" spans="2:28" ht="15.75">
      <c r="B84" s="1"/>
      <c r="C84" s="1"/>
      <c r="D84" s="1"/>
    </row>
  </sheetData>
  <autoFilter ref="A1:AE83" xr:uid="{D2A1145E-5B3D-42A6-AF79-8205DD936E88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hiddenButton="1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</autoFilter>
  <mergeCells count="18">
    <mergeCell ref="C2:D2"/>
    <mergeCell ref="G22:L22"/>
    <mergeCell ref="V61:W61"/>
    <mergeCell ref="Z16:Z17"/>
    <mergeCell ref="AA16:AA17"/>
    <mergeCell ref="C36:E36"/>
    <mergeCell ref="C23:E23"/>
    <mergeCell ref="H4:U4"/>
    <mergeCell ref="H8:U8"/>
    <mergeCell ref="V68:W68"/>
    <mergeCell ref="V16:W16"/>
    <mergeCell ref="V17:W17"/>
    <mergeCell ref="X16:Y16"/>
    <mergeCell ref="X17:Y17"/>
    <mergeCell ref="Q22:W22"/>
    <mergeCell ref="V43:W43"/>
    <mergeCell ref="V49:W49"/>
    <mergeCell ref="H17:U1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290B4-6E4B-4488-BF2A-C7F7FCF27B6C}">
  <sheetPr codeName="Sheet4"/>
  <dimension ref="A1:AE97"/>
  <sheetViews>
    <sheetView workbookViewId="0">
      <selection activeCell="I27" sqref="I27"/>
    </sheetView>
  </sheetViews>
  <sheetFormatPr defaultColWidth="8.85546875" defaultRowHeight="15"/>
  <cols>
    <col min="1" max="1" width="7.42578125" style="6" customWidth="1"/>
    <col min="2" max="2" width="18.7109375" style="6" customWidth="1"/>
    <col min="3" max="3" width="13" style="6" customWidth="1"/>
    <col min="4" max="4" width="13.42578125" style="6" bestFit="1" customWidth="1"/>
    <col min="5" max="5" width="18" style="6" bestFit="1" customWidth="1"/>
    <col min="6" max="6" width="13.5703125" style="6" customWidth="1"/>
    <col min="7" max="7" width="15" style="6" bestFit="1" customWidth="1"/>
    <col min="8" max="8" width="14.140625" style="6" customWidth="1"/>
    <col min="9" max="9" width="15" style="6" customWidth="1"/>
    <col min="10" max="10" width="14" style="6" customWidth="1"/>
    <col min="11" max="11" width="15" style="6" bestFit="1" customWidth="1"/>
    <col min="12" max="12" width="13" style="6" customWidth="1"/>
    <col min="13" max="14" width="14.140625" style="6" customWidth="1"/>
    <col min="15" max="15" width="14.5703125" style="6" customWidth="1"/>
    <col min="16" max="16" width="20.140625" style="6" customWidth="1"/>
    <col min="17" max="17" width="13" style="6" customWidth="1"/>
    <col min="18" max="18" width="13.5703125" style="6" customWidth="1"/>
    <col min="19" max="19" width="14" style="6" customWidth="1"/>
    <col min="20" max="20" width="15.5703125" style="6" customWidth="1"/>
    <col min="21" max="21" width="16.5703125" style="6" customWidth="1"/>
    <col min="22" max="23" width="14" style="6" customWidth="1"/>
    <col min="24" max="24" width="29.140625" style="6" bestFit="1" customWidth="1"/>
    <col min="25" max="25" width="14.85546875" style="6" bestFit="1" customWidth="1"/>
    <col min="26" max="26" width="13.5703125" style="6" bestFit="1" customWidth="1"/>
    <col min="27" max="27" width="13.5703125" style="6" customWidth="1"/>
    <col min="28" max="28" width="8.85546875" style="6"/>
    <col min="29" max="31" width="20.5703125" style="6" customWidth="1"/>
    <col min="32" max="16384" width="8.85546875" style="6"/>
  </cols>
  <sheetData>
    <row r="1" spans="1:31" s="184" customFormat="1" ht="25.5" customHeight="1">
      <c r="A1" s="468"/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</row>
    <row r="2" spans="1:31">
      <c r="A2" s="93"/>
      <c r="B2" s="549"/>
      <c r="C2" s="549"/>
      <c r="D2" s="549"/>
      <c r="F2" s="93"/>
    </row>
    <row r="3" spans="1:31">
      <c r="E3" s="550" t="s">
        <v>221</v>
      </c>
      <c r="F3" s="550"/>
      <c r="G3" s="550"/>
      <c r="H3" s="550"/>
      <c r="I3" s="550"/>
      <c r="J3" s="550"/>
      <c r="K3" s="550"/>
      <c r="M3" s="118"/>
      <c r="N3" s="118"/>
      <c r="O3" s="118"/>
      <c r="P3" s="550" t="s">
        <v>222</v>
      </c>
      <c r="Q3" s="550"/>
      <c r="R3" s="550"/>
      <c r="S3" s="550"/>
      <c r="T3" s="550"/>
      <c r="U3" s="550"/>
      <c r="V3" s="550"/>
    </row>
    <row r="4" spans="1:31" ht="15.75" customHeight="1">
      <c r="D4" s="156"/>
      <c r="E4" s="156">
        <v>2024</v>
      </c>
      <c r="F4" s="191">
        <v>45352</v>
      </c>
      <c r="G4" s="191">
        <f>F4</f>
        <v>45352</v>
      </c>
      <c r="H4" s="119" t="s">
        <v>187</v>
      </c>
      <c r="I4" s="119" t="s">
        <v>187</v>
      </c>
      <c r="J4" s="119" t="s">
        <v>187</v>
      </c>
      <c r="K4" s="119" t="s">
        <v>187</v>
      </c>
      <c r="L4" s="20"/>
      <c r="O4" s="1"/>
      <c r="P4" s="156">
        <v>2024</v>
      </c>
      <c r="Q4" s="191">
        <f>F4</f>
        <v>45352</v>
      </c>
      <c r="R4" s="191">
        <f>F4</f>
        <v>45352</v>
      </c>
      <c r="S4" s="119" t="s">
        <v>187</v>
      </c>
      <c r="T4" s="119" t="s">
        <v>187</v>
      </c>
      <c r="U4" s="119" t="s">
        <v>187</v>
      </c>
      <c r="V4" s="119" t="s">
        <v>187</v>
      </c>
    </row>
    <row r="5" spans="1:31" ht="30.75" customHeight="1">
      <c r="E5" s="119" t="s">
        <v>281</v>
      </c>
      <c r="F5" s="119" t="s">
        <v>188</v>
      </c>
      <c r="G5" s="119" t="s">
        <v>189</v>
      </c>
      <c r="H5" s="119" t="s">
        <v>190</v>
      </c>
      <c r="I5" s="119" t="s">
        <v>191</v>
      </c>
      <c r="J5" s="119" t="s">
        <v>192</v>
      </c>
      <c r="K5" s="119" t="s">
        <v>193</v>
      </c>
      <c r="L5" s="89"/>
      <c r="M5" s="120"/>
      <c r="N5" s="120"/>
      <c r="O5" s="89"/>
      <c r="P5" s="119" t="s">
        <v>132</v>
      </c>
      <c r="Q5" s="119" t="s">
        <v>188</v>
      </c>
      <c r="R5" s="119" t="s">
        <v>189</v>
      </c>
      <c r="S5" s="119" t="s">
        <v>190</v>
      </c>
      <c r="T5" s="119" t="s">
        <v>191</v>
      </c>
      <c r="U5" s="119" t="s">
        <v>192</v>
      </c>
      <c r="V5" s="119" t="s">
        <v>193</v>
      </c>
    </row>
    <row r="6" spans="1:31" ht="42" customHeight="1">
      <c r="B6" s="121"/>
      <c r="D6" s="121"/>
      <c r="E6" s="1"/>
      <c r="F6" s="1"/>
      <c r="G6" s="1"/>
      <c r="J6" s="20"/>
      <c r="K6" s="20"/>
      <c r="L6" s="20"/>
      <c r="O6" s="121"/>
      <c r="P6" s="1"/>
      <c r="Q6" s="1"/>
      <c r="R6" s="1"/>
      <c r="U6" s="20"/>
      <c r="V6" s="20"/>
      <c r="AD6" s="51"/>
      <c r="AE6" s="51"/>
    </row>
    <row r="7" spans="1:31" ht="15.4" customHeight="1">
      <c r="D7" s="122" t="s">
        <v>194</v>
      </c>
      <c r="E7" s="284">
        <v>185316399.23448935</v>
      </c>
      <c r="F7" s="123">
        <v>0.40437175004956721</v>
      </c>
      <c r="G7" s="124">
        <f t="shared" ref="G7:G12" si="0">F7*E7</f>
        <v>74936716.671334743</v>
      </c>
      <c r="H7" s="186">
        <f t="shared" ref="H7:H12" si="1">F7+(F7*$AD$16)</f>
        <v>0.41244767908157792</v>
      </c>
      <c r="I7" s="124">
        <f t="shared" ref="I7:I12" si="2">E7*H7</f>
        <v>76433318.760020241</v>
      </c>
      <c r="J7" s="186">
        <f t="shared" ref="J7:J12" si="3">F7+(F7*$AE$16)</f>
        <v>0.44654440607245705</v>
      </c>
      <c r="K7" s="124">
        <f t="shared" ref="K7:K12" si="4">E7*J7</f>
        <v>82752001.431651384</v>
      </c>
      <c r="L7" s="125"/>
      <c r="O7" s="122" t="s">
        <v>194</v>
      </c>
      <c r="P7" s="284">
        <v>134583133.05701688</v>
      </c>
      <c r="Q7" s="123">
        <v>0.26238</v>
      </c>
      <c r="R7" s="124">
        <f t="shared" ref="R7:R12" si="5">Q7*P7</f>
        <v>35311922.451500088</v>
      </c>
      <c r="S7" s="186">
        <f t="shared" ref="S7:S12" si="6">H7*(1+(Q7/F7-1))</f>
        <v>0.26762013425556863</v>
      </c>
      <c r="T7" s="124">
        <f t="shared" ref="T7:T12" si="7">P7*S7</f>
        <v>36017156.13725391</v>
      </c>
      <c r="U7" s="186">
        <f t="shared" ref="U7:U12" si="8">J7*(1+(Q7/F7-1))</f>
        <v>0.28974408140758962</v>
      </c>
      <c r="V7" s="124">
        <f t="shared" ref="V7:V12" si="9">P7*U7</f>
        <v>38994666.260560766</v>
      </c>
      <c r="W7" s="125"/>
      <c r="X7" s="6" t="s">
        <v>195</v>
      </c>
      <c r="Y7" s="307" t="s">
        <v>116</v>
      </c>
      <c r="Z7" s="307" t="s">
        <v>351</v>
      </c>
      <c r="AA7" s="307" t="s">
        <v>3</v>
      </c>
      <c r="AC7" s="51"/>
      <c r="AD7" s="51"/>
      <c r="AE7" s="51"/>
    </row>
    <row r="8" spans="1:31" ht="15.75">
      <c r="D8" s="126" t="s">
        <v>196</v>
      </c>
      <c r="E8" s="284">
        <v>259836290.12757075</v>
      </c>
      <c r="F8" s="123">
        <v>0.40437175004956721</v>
      </c>
      <c r="G8" s="124">
        <f t="shared" si="0"/>
        <v>105070455.36527286</v>
      </c>
      <c r="H8" s="186">
        <f t="shared" si="1"/>
        <v>0.41244767908157792</v>
      </c>
      <c r="I8" s="124">
        <f t="shared" si="2"/>
        <v>107168874.80428408</v>
      </c>
      <c r="J8" s="186">
        <f t="shared" si="3"/>
        <v>0.44654440607245705</v>
      </c>
      <c r="K8" s="124">
        <f t="shared" si="4"/>
        <v>116028441.85108672</v>
      </c>
      <c r="L8" s="125"/>
      <c r="O8" s="126" t="s">
        <v>196</v>
      </c>
      <c r="P8" s="284">
        <v>193391763.02286547</v>
      </c>
      <c r="Q8" s="123">
        <v>0.26238</v>
      </c>
      <c r="R8" s="124">
        <f t="shared" si="5"/>
        <v>50742130.781939447</v>
      </c>
      <c r="S8" s="186">
        <f t="shared" si="6"/>
        <v>0.26762013425556863</v>
      </c>
      <c r="T8" s="124">
        <f t="shared" si="7"/>
        <v>51755529.584100373</v>
      </c>
      <c r="U8" s="186">
        <f t="shared" si="8"/>
        <v>0.28974408140758962</v>
      </c>
      <c r="V8" s="124">
        <f t="shared" si="9"/>
        <v>56034118.72885441</v>
      </c>
      <c r="W8" s="125"/>
      <c r="X8" s="6" t="s">
        <v>197</v>
      </c>
      <c r="Y8" s="127">
        <v>1645330521</v>
      </c>
      <c r="Z8" s="127">
        <v>1425618710</v>
      </c>
      <c r="AA8" s="127">
        <v>219711811</v>
      </c>
      <c r="AC8" s="106"/>
      <c r="AD8" s="106"/>
      <c r="AE8" s="106"/>
    </row>
    <row r="9" spans="1:31" ht="15.75">
      <c r="D9" s="122" t="s">
        <v>223</v>
      </c>
      <c r="E9" s="284">
        <v>82713503.336138025</v>
      </c>
      <c r="F9" s="123">
        <v>0.50915430016833085</v>
      </c>
      <c r="G9" s="124">
        <f t="shared" si="0"/>
        <v>42113935.905582257</v>
      </c>
      <c r="H9" s="186">
        <f t="shared" si="1"/>
        <v>0.51932289872646087</v>
      </c>
      <c r="I9" s="124">
        <f t="shared" si="2"/>
        <v>42955016.316343993</v>
      </c>
      <c r="J9" s="186">
        <f t="shared" si="3"/>
        <v>0.5622549165218278</v>
      </c>
      <c r="K9" s="124">
        <f t="shared" si="4"/>
        <v>46506073.913488209</v>
      </c>
      <c r="L9" s="125"/>
      <c r="O9" s="122" t="s">
        <v>223</v>
      </c>
      <c r="P9" s="284">
        <v>44733373.310888238</v>
      </c>
      <c r="Q9" s="123">
        <v>0.33390999999999998</v>
      </c>
      <c r="R9" s="124">
        <f t="shared" si="5"/>
        <v>14936920.682238691</v>
      </c>
      <c r="S9" s="186">
        <f t="shared" si="6"/>
        <v>0.34057869894533471</v>
      </c>
      <c r="T9" s="124">
        <f t="shared" si="7"/>
        <v>15235234.081658276</v>
      </c>
      <c r="U9" s="186">
        <f t="shared" si="8"/>
        <v>0.36873407356813875</v>
      </c>
      <c r="V9" s="124">
        <f t="shared" si="9"/>
        <v>16494718.965368079</v>
      </c>
      <c r="W9" s="125"/>
      <c r="X9" s="6" t="s">
        <v>199</v>
      </c>
      <c r="Y9" s="185">
        <f>SUM('SAR and RAR'!W19+'SAR and RAR'!Z19-'SAR and RAR'!L10)*1000-Y8</f>
        <v>45117580.915388823</v>
      </c>
      <c r="Z9" s="185">
        <f>(('SAR and RAR'!W19-'SAR and RAR'!L10)*1000)-Z8</f>
        <v>45117581.301560879</v>
      </c>
      <c r="AA9" s="185">
        <f>('SAR and RAR'!Z19*1000)-AA8</f>
        <v>-0.38617193698883057</v>
      </c>
      <c r="AD9" s="51"/>
      <c r="AE9" s="51"/>
    </row>
    <row r="10" spans="1:31" ht="15.75">
      <c r="D10" s="126" t="s">
        <v>196</v>
      </c>
      <c r="E10" s="284">
        <v>67764318.55888626</v>
      </c>
      <c r="F10" s="123">
        <v>0.50915430016833085</v>
      </c>
      <c r="G10" s="124">
        <f t="shared" si="0"/>
        <v>34502494.19223357</v>
      </c>
      <c r="H10" s="186">
        <f t="shared" si="1"/>
        <v>0.51932289872646087</v>
      </c>
      <c r="I10" s="124">
        <f t="shared" si="2"/>
        <v>35191562.344224125</v>
      </c>
      <c r="J10" s="186">
        <f t="shared" si="3"/>
        <v>0.5622549165218278</v>
      </c>
      <c r="K10" s="124">
        <f t="shared" si="4"/>
        <v>38100821.274485141</v>
      </c>
      <c r="L10" s="125"/>
      <c r="O10" s="126" t="s">
        <v>196</v>
      </c>
      <c r="P10" s="284">
        <v>39092034.521531247</v>
      </c>
      <c r="Q10" s="123">
        <v>0.33390999999999998</v>
      </c>
      <c r="R10" s="124">
        <f t="shared" si="5"/>
        <v>13053221.247084498</v>
      </c>
      <c r="S10" s="186">
        <f t="shared" si="6"/>
        <v>0.34057869894533471</v>
      </c>
      <c r="T10" s="124">
        <f t="shared" si="7"/>
        <v>13313914.256469222</v>
      </c>
      <c r="U10" s="186">
        <f t="shared" si="8"/>
        <v>0.36873407356813875</v>
      </c>
      <c r="V10" s="124">
        <f t="shared" si="9"/>
        <v>14414565.133190522</v>
      </c>
      <c r="W10" s="125"/>
      <c r="X10" s="6" t="s">
        <v>200</v>
      </c>
      <c r="Y10" s="127">
        <f>Y8+Y9</f>
        <v>1690448101.9153888</v>
      </c>
      <c r="Z10" s="127">
        <f>Z8+Z9</f>
        <v>1470736291.3015609</v>
      </c>
      <c r="AA10" s="127">
        <f>AA8+AA9</f>
        <v>219711810.61382806</v>
      </c>
      <c r="AC10" s="51"/>
      <c r="AD10" s="51"/>
      <c r="AE10" s="51"/>
    </row>
    <row r="11" spans="1:31" ht="15.75">
      <c r="D11" s="122" t="s">
        <v>201</v>
      </c>
      <c r="E11" s="284">
        <v>10082634.154664932</v>
      </c>
      <c r="F11" s="123">
        <v>0.50915430016833085</v>
      </c>
      <c r="G11" s="124">
        <f t="shared" si="0"/>
        <v>5133616.5368717331</v>
      </c>
      <c r="H11" s="186">
        <f t="shared" si="1"/>
        <v>0.51932289872646087</v>
      </c>
      <c r="I11" s="124">
        <f t="shared" si="2"/>
        <v>5236142.795999012</v>
      </c>
      <c r="J11" s="186">
        <f t="shared" si="3"/>
        <v>0.5622549165218278</v>
      </c>
      <c r="K11" s="124">
        <f t="shared" si="4"/>
        <v>5669010.6249512611</v>
      </c>
      <c r="L11" s="125"/>
      <c r="O11" s="122" t="s">
        <v>201</v>
      </c>
      <c r="P11" s="284">
        <v>2017849.6437090929</v>
      </c>
      <c r="Q11" s="123">
        <v>0.33390999999999998</v>
      </c>
      <c r="R11" s="124">
        <f t="shared" si="5"/>
        <v>673780.17453090311</v>
      </c>
      <c r="S11" s="186">
        <f t="shared" si="6"/>
        <v>0.34057869894533471</v>
      </c>
      <c r="T11" s="124">
        <f t="shared" si="7"/>
        <v>687236.60632175009</v>
      </c>
      <c r="U11" s="186">
        <f t="shared" si="8"/>
        <v>0.36873407356813875</v>
      </c>
      <c r="V11" s="124">
        <f t="shared" si="9"/>
        <v>744049.91897287127</v>
      </c>
      <c r="W11" s="125"/>
      <c r="X11" s="6" t="s">
        <v>202</v>
      </c>
      <c r="Y11" s="245">
        <f>SUM('SAR and RAR'!Y19+'SAR and RAR'!AA19-'SAR and RAR'!L13)*1000-Y8</f>
        <v>209343871.90440655</v>
      </c>
      <c r="Z11" s="245">
        <f>(('SAR and RAR'!Y19-'SAR and RAR'!L13)*1000)-Z8</f>
        <v>199523030.5918982</v>
      </c>
      <c r="AA11" s="245">
        <f>('SAR and RAR'!AA19*1000)-AA8</f>
        <v>9820841.3125085235</v>
      </c>
      <c r="AC11" s="106"/>
      <c r="AD11" s="309"/>
      <c r="AE11" s="310"/>
    </row>
    <row r="12" spans="1:31" ht="15.75">
      <c r="D12" s="126" t="s">
        <v>196</v>
      </c>
      <c r="E12" s="284">
        <v>8724211.9362895209</v>
      </c>
      <c r="F12" s="123">
        <v>0.50915430016833085</v>
      </c>
      <c r="G12" s="124">
        <f t="shared" si="0"/>
        <v>4441970.0229416899</v>
      </c>
      <c r="H12" s="186">
        <f t="shared" si="1"/>
        <v>0.51932289872646087</v>
      </c>
      <c r="I12" s="124">
        <f t="shared" si="2"/>
        <v>4530683.031857864</v>
      </c>
      <c r="J12" s="186">
        <f t="shared" si="3"/>
        <v>0.5622549165218278</v>
      </c>
      <c r="K12" s="124">
        <f t="shared" si="4"/>
        <v>4905231.0539571978</v>
      </c>
      <c r="L12" s="125"/>
      <c r="O12" s="126" t="s">
        <v>196</v>
      </c>
      <c r="P12" s="284">
        <v>1054317.758514751</v>
      </c>
      <c r="Q12" s="123">
        <v>0.33390999999999998</v>
      </c>
      <c r="R12" s="124">
        <f t="shared" si="5"/>
        <v>352047.24274566048</v>
      </c>
      <c r="S12" s="186">
        <f t="shared" si="6"/>
        <v>0.34057869894533471</v>
      </c>
      <c r="T12" s="124">
        <f t="shared" si="7"/>
        <v>359078.17046991549</v>
      </c>
      <c r="U12" s="186">
        <f t="shared" si="8"/>
        <v>0.36873407356813875</v>
      </c>
      <c r="V12" s="124">
        <f t="shared" si="9"/>
        <v>388762.88193237333</v>
      </c>
      <c r="W12" s="125"/>
      <c r="X12" s="6" t="s">
        <v>203</v>
      </c>
      <c r="Y12" s="127">
        <f>Y8+Y11</f>
        <v>1854674392.9044065</v>
      </c>
      <c r="Z12" s="127">
        <f>Z8+Z11</f>
        <v>1625141740.5918982</v>
      </c>
      <c r="AA12" s="127">
        <f>AA8+AA11</f>
        <v>229532652.31250852</v>
      </c>
    </row>
    <row r="13" spans="1:31" ht="15.75">
      <c r="D13" s="126"/>
      <c r="E13" s="128"/>
      <c r="F13" s="129"/>
      <c r="G13" s="130"/>
      <c r="H13" s="1"/>
      <c r="I13" s="131"/>
      <c r="J13" s="1"/>
      <c r="K13" s="131"/>
      <c r="L13" s="125"/>
      <c r="O13" s="126"/>
      <c r="P13" s="130"/>
      <c r="Q13" s="129"/>
      <c r="R13" s="130"/>
      <c r="S13" s="1"/>
      <c r="T13" s="131"/>
      <c r="U13" s="1"/>
      <c r="V13" s="131"/>
      <c r="Z13" s="358"/>
    </row>
    <row r="14" spans="1:31" ht="15.75">
      <c r="D14" s="126"/>
      <c r="E14" s="244"/>
      <c r="F14" s="129"/>
      <c r="G14" s="130"/>
      <c r="H14" s="130"/>
      <c r="I14" s="130"/>
      <c r="J14" s="130"/>
      <c r="K14" s="130"/>
      <c r="L14" s="125"/>
      <c r="O14" s="126"/>
      <c r="P14" s="130"/>
      <c r="Q14" s="129"/>
      <c r="R14" s="130"/>
      <c r="S14" s="311"/>
      <c r="T14" s="130"/>
      <c r="U14" s="130"/>
      <c r="V14" s="130"/>
      <c r="X14" s="6" t="s">
        <v>410</v>
      </c>
      <c r="Y14" s="307" t="s">
        <v>116</v>
      </c>
      <c r="Z14" s="307" t="s">
        <v>351</v>
      </c>
      <c r="AA14" s="307" t="s">
        <v>3</v>
      </c>
      <c r="AD14" s="51" t="s">
        <v>353</v>
      </c>
      <c r="AE14" s="51" t="s">
        <v>355</v>
      </c>
    </row>
    <row r="15" spans="1:31" ht="15.75">
      <c r="D15" s="126"/>
      <c r="E15" s="128"/>
      <c r="F15" s="129"/>
      <c r="G15" s="130"/>
      <c r="H15" s="283"/>
      <c r="I15" s="130"/>
      <c r="J15" s="282"/>
      <c r="K15" s="130"/>
      <c r="L15" s="125"/>
      <c r="O15" s="132"/>
      <c r="P15" s="130"/>
      <c r="Q15" s="129"/>
      <c r="R15" s="130"/>
      <c r="S15" s="130"/>
      <c r="T15" s="130"/>
      <c r="U15" s="130"/>
      <c r="V15" s="130"/>
      <c r="X15" s="6" t="s">
        <v>411</v>
      </c>
      <c r="Y15" s="358">
        <f>+Z15+AA15</f>
        <v>38.260999999999996</v>
      </c>
      <c r="Z15" s="358">
        <v>23.094999999999999</v>
      </c>
      <c r="AA15" s="358">
        <v>15.166</v>
      </c>
      <c r="AC15" s="141" t="s">
        <v>352</v>
      </c>
      <c r="AD15" s="307" t="s">
        <v>354</v>
      </c>
      <c r="AE15" s="307" t="s">
        <v>354</v>
      </c>
    </row>
    <row r="16" spans="1:31" ht="15.75">
      <c r="E16" s="285"/>
      <c r="P16" s="130"/>
      <c r="Q16" s="129"/>
      <c r="X16" s="6" t="s">
        <v>200</v>
      </c>
      <c r="Y16" s="358">
        <f>+Z16+AA16</f>
        <v>39.025131323852086</v>
      </c>
      <c r="Z16" s="358">
        <f>((SUM('SAR and RAR'!$J$10:$K$10,'SAR and RAR'!$Q$10:$R$10,'SAR and RAR'!$T$10)-'SAR and RAR'!$AD$18)/IF(Summary!$D$2=2024,'SAR and RAR'!$C$25,'SAR and RAR'!$C$38)*100)+(SUM('SAR and RAR'!$M$10:$P$10,'SAR and RAR'!$S$10)/IF(Summary!$D$2=2024,'SAR and RAR'!$D$25,'SAR and RAR'!$D$38)*100)</f>
        <v>23.859620700039681</v>
      </c>
      <c r="AA16" s="358">
        <f>+('SAR and RAR'!$H$10/IF(Summary!$D$2=2024,'SAR and RAR'!$E$25,'SAR and RAR'!$E$38)*100)</f>
        <v>15.165510623812404</v>
      </c>
      <c r="AC16" s="6">
        <v>0.38260999999999995</v>
      </c>
      <c r="AD16" s="362">
        <f>$Y17/100/$AC$16</f>
        <v>1.9971546061318075E-2</v>
      </c>
      <c r="AE16" s="362">
        <f>$Y19/100/$AC$16</f>
        <v>0.1042917958975135</v>
      </c>
    </row>
    <row r="17" spans="1:31">
      <c r="O17" s="133"/>
      <c r="X17" s="6" t="s">
        <v>199</v>
      </c>
      <c r="Y17" s="358">
        <f>+Y16-Y15</f>
        <v>0.76413132385209082</v>
      </c>
      <c r="Z17" s="358">
        <f>+Z16-Z15</f>
        <v>0.76462070003968208</v>
      </c>
      <c r="AA17" s="358">
        <f>+AA16-AA15</f>
        <v>-4.8937618759659074E-4</v>
      </c>
      <c r="AD17" s="180"/>
      <c r="AE17" s="180"/>
    </row>
    <row r="18" spans="1:31">
      <c r="X18" s="6" t="s">
        <v>203</v>
      </c>
      <c r="Y18" s="358">
        <f>+Z18+AA18</f>
        <v>42.251308402834759</v>
      </c>
      <c r="Z18" s="358">
        <f>((SUM('SAR and RAR'!$J$13:$K$13,'SAR and RAR'!$Q$13:$R$13,'SAR and RAR'!$T$10)-'SAR and RAR'!$AD$18)/IF(Summary!$D$2=2024,'SAR and RAR'!$C$25,'SAR and RAR'!$C$38)*100)+(SUM('SAR and RAR'!$M$13:$P$13,'SAR and RAR'!$S$13)/IF(Summary!$D$2=2024,'SAR and RAR'!$D$25,'SAR and RAR'!$D$38)*100)</f>
        <v>26.407918521189032</v>
      </c>
      <c r="AA18" s="358">
        <f>+('SAR and RAR'!$H$13/IF(Summary!$D$2=2024,'SAR and RAR'!$E$25,'SAR and RAR'!$E$38)*100)</f>
        <v>15.843389881645727</v>
      </c>
      <c r="AD18" s="180"/>
      <c r="AE18" s="180"/>
    </row>
    <row r="19" spans="1:31">
      <c r="B19" s="7"/>
      <c r="P19" s="6" t="s">
        <v>426</v>
      </c>
      <c r="X19" s="6" t="s">
        <v>202</v>
      </c>
      <c r="Y19" s="358">
        <f>+Y18-Y15</f>
        <v>3.9903084028347635</v>
      </c>
      <c r="Z19" s="358">
        <f>+Z18-Z15</f>
        <v>3.3129185211890331</v>
      </c>
      <c r="AA19" s="358">
        <f>+AA18-AA15</f>
        <v>0.67738988164572689</v>
      </c>
      <c r="AD19" s="180"/>
      <c r="AE19" s="180"/>
    </row>
    <row r="20" spans="1:31">
      <c r="B20" s="134" t="s">
        <v>224</v>
      </c>
      <c r="C20" s="134"/>
      <c r="E20" s="135" t="s">
        <v>187</v>
      </c>
      <c r="F20" s="135" t="s">
        <v>187</v>
      </c>
      <c r="H20" s="134" t="s">
        <v>294</v>
      </c>
      <c r="I20" s="134"/>
      <c r="J20" s="134"/>
      <c r="K20" s="134" t="s">
        <v>295</v>
      </c>
      <c r="L20" s="134"/>
      <c r="M20" s="134"/>
      <c r="N20" s="134"/>
      <c r="P20" s="136" t="s">
        <v>204</v>
      </c>
      <c r="Q20" s="137" t="s">
        <v>205</v>
      </c>
      <c r="R20" s="137" t="s">
        <v>206</v>
      </c>
      <c r="S20" s="137" t="s">
        <v>205</v>
      </c>
      <c r="T20" s="137" t="s">
        <v>206</v>
      </c>
      <c r="U20" s="546" t="s">
        <v>209</v>
      </c>
      <c r="V20" s="547"/>
      <c r="AD20" s="180"/>
      <c r="AE20" s="180"/>
    </row>
    <row r="21" spans="1:31" ht="15.75">
      <c r="B21" s="138" t="s">
        <v>188</v>
      </c>
      <c r="C21" s="139" t="str">
        <f>Summary!D18</f>
        <v>1/1/2024</v>
      </c>
      <c r="D21" s="387" t="str">
        <f>Summary!E18</f>
        <v>3/1/2024</v>
      </c>
      <c r="E21" s="140" t="s">
        <v>167</v>
      </c>
      <c r="F21" s="140" t="s">
        <v>175</v>
      </c>
      <c r="H21" s="141" t="s">
        <v>204</v>
      </c>
      <c r="I21" s="141" t="s">
        <v>205</v>
      </c>
      <c r="J21" s="141" t="s">
        <v>206</v>
      </c>
      <c r="K21" s="141" t="s">
        <v>204</v>
      </c>
      <c r="L21" s="141" t="s">
        <v>205</v>
      </c>
      <c r="M21" s="141" t="s">
        <v>206</v>
      </c>
      <c r="P21" s="57"/>
      <c r="Q21" s="537" t="s">
        <v>162</v>
      </c>
      <c r="R21" s="539"/>
      <c r="S21" s="537" t="s">
        <v>163</v>
      </c>
      <c r="T21" s="539"/>
      <c r="U21" s="51" t="s">
        <v>162</v>
      </c>
      <c r="V21" s="51" t="s">
        <v>163</v>
      </c>
      <c r="Y21" s="51"/>
      <c r="Z21" s="356"/>
      <c r="AA21" s="356"/>
      <c r="AB21" s="51"/>
      <c r="AC21" s="51"/>
      <c r="AD21" s="51"/>
    </row>
    <row r="22" spans="1:31" ht="15.75">
      <c r="A22" s="6" t="s">
        <v>205</v>
      </c>
      <c r="B22" s="142" t="s">
        <v>207</v>
      </c>
      <c r="C22" s="256">
        <v>0.38384750952509178</v>
      </c>
      <c r="D22" s="144">
        <f>F7</f>
        <v>0.40437175004956721</v>
      </c>
      <c r="E22" s="145">
        <f>H7</f>
        <v>0.41244767908157792</v>
      </c>
      <c r="F22" s="145">
        <f>J7</f>
        <v>0.44654440607245705</v>
      </c>
      <c r="H22" s="6" t="s">
        <v>131</v>
      </c>
      <c r="I22" s="168">
        <v>351</v>
      </c>
      <c r="J22" s="168">
        <v>359</v>
      </c>
      <c r="K22" s="6" t="s">
        <v>131</v>
      </c>
      <c r="L22" s="168">
        <v>235</v>
      </c>
      <c r="M22" s="168">
        <v>343</v>
      </c>
      <c r="N22" s="127"/>
      <c r="P22" s="241" t="s">
        <v>237</v>
      </c>
      <c r="Q22" s="147">
        <v>328.11371100000002</v>
      </c>
      <c r="R22" s="147">
        <v>322.03055999999998</v>
      </c>
      <c r="S22" s="147">
        <v>316.79218400000002</v>
      </c>
      <c r="T22" s="147">
        <v>308.01969600000001</v>
      </c>
      <c r="U22" s="157">
        <v>0.59597451441721483</v>
      </c>
      <c r="V22" s="157">
        <v>0.51298276797655107</v>
      </c>
      <c r="Y22" s="51"/>
      <c r="Z22" s="356"/>
      <c r="AA22" s="356"/>
      <c r="AB22" s="115"/>
      <c r="AC22" s="357"/>
      <c r="AD22" s="357"/>
    </row>
    <row r="23" spans="1:31" ht="15.75">
      <c r="B23" s="142" t="s">
        <v>208</v>
      </c>
      <c r="C23" s="143">
        <v>0.48331173000994354</v>
      </c>
      <c r="D23" s="144">
        <f>F9</f>
        <v>0.50915430016833085</v>
      </c>
      <c r="E23" s="145">
        <f>H9</f>
        <v>0.51932289872646087</v>
      </c>
      <c r="F23" s="145">
        <f>J9</f>
        <v>0.5622549165218278</v>
      </c>
      <c r="H23" s="6" t="s">
        <v>210</v>
      </c>
      <c r="I23" s="168">
        <v>530</v>
      </c>
      <c r="J23" s="168">
        <v>503</v>
      </c>
      <c r="K23" s="6" t="s">
        <v>210</v>
      </c>
      <c r="L23" s="168">
        <v>593</v>
      </c>
      <c r="M23" s="168">
        <v>863</v>
      </c>
      <c r="N23" s="127"/>
      <c r="P23" s="242" t="s">
        <v>239</v>
      </c>
      <c r="Q23" s="147">
        <v>353.41198100000003</v>
      </c>
      <c r="R23" s="147">
        <v>356.41607499999998</v>
      </c>
      <c r="S23" s="147">
        <v>566.76098300000001</v>
      </c>
      <c r="T23" s="147">
        <v>613.46689600000002</v>
      </c>
      <c r="U23" s="157">
        <v>8.63830737261502E-3</v>
      </c>
      <c r="V23" s="157">
        <v>7.9985985361539225E-3</v>
      </c>
      <c r="Z23" s="359"/>
      <c r="AB23" s="115"/>
      <c r="AC23" s="357"/>
      <c r="AD23" s="357"/>
    </row>
    <row r="24" spans="1:31" ht="15.75">
      <c r="B24" s="142"/>
      <c r="C24" s="143"/>
      <c r="D24" s="144"/>
      <c r="E24" s="145"/>
      <c r="F24" s="145"/>
      <c r="H24" s="6" t="s">
        <v>211</v>
      </c>
      <c r="I24" s="169">
        <v>620</v>
      </c>
      <c r="J24" s="168">
        <v>425</v>
      </c>
      <c r="K24" s="6" t="s">
        <v>211</v>
      </c>
      <c r="L24" s="169">
        <v>662</v>
      </c>
      <c r="M24" s="168">
        <v>667</v>
      </c>
      <c r="N24" s="127"/>
      <c r="P24" s="242" t="s">
        <v>236</v>
      </c>
      <c r="Q24" s="147">
        <v>357.81761699999998</v>
      </c>
      <c r="R24" s="147">
        <v>190.66869500000001</v>
      </c>
      <c r="S24" s="147">
        <v>611.78059699999994</v>
      </c>
      <c r="T24" s="147">
        <v>367.86298599999998</v>
      </c>
      <c r="U24" s="157">
        <v>1.1886566094950234E-3</v>
      </c>
      <c r="V24" s="157">
        <v>1.5125554924137225E-3</v>
      </c>
      <c r="Z24" s="359"/>
      <c r="AB24" s="115"/>
      <c r="AC24" s="115"/>
      <c r="AD24" s="357"/>
      <c r="AE24" s="357"/>
    </row>
    <row r="25" spans="1:31">
      <c r="A25" s="182" t="s">
        <v>206</v>
      </c>
      <c r="B25" s="187" t="s">
        <v>207</v>
      </c>
      <c r="C25" s="188">
        <v>0.38384750952509178</v>
      </c>
      <c r="D25" s="188">
        <f>F8</f>
        <v>0.40437175004956721</v>
      </c>
      <c r="E25" s="188">
        <f>H8</f>
        <v>0.41244767908157792</v>
      </c>
      <c r="F25" s="188">
        <f>J8</f>
        <v>0.44654440607245705</v>
      </c>
      <c r="H25" s="6" t="s">
        <v>212</v>
      </c>
      <c r="I25" s="168">
        <v>406</v>
      </c>
      <c r="J25" s="168">
        <v>374</v>
      </c>
      <c r="K25" s="6" t="s">
        <v>212</v>
      </c>
      <c r="L25" s="168">
        <v>341</v>
      </c>
      <c r="M25" s="168">
        <v>475</v>
      </c>
      <c r="N25" s="127"/>
      <c r="P25" s="243" t="s">
        <v>238</v>
      </c>
      <c r="Q25" s="153">
        <v>324.861941</v>
      </c>
      <c r="R25" s="153">
        <v>287.40318300000001</v>
      </c>
      <c r="S25" s="153">
        <v>408.99671999999998</v>
      </c>
      <c r="T25" s="153">
        <v>353.59490899999997</v>
      </c>
      <c r="U25" s="157">
        <v>0.39419852160067514</v>
      </c>
      <c r="V25" s="157">
        <v>0.47750607799488126</v>
      </c>
    </row>
    <row r="26" spans="1:31">
      <c r="A26" s="182"/>
      <c r="B26" s="187" t="s">
        <v>208</v>
      </c>
      <c r="C26" s="188">
        <v>0.48331173000994354</v>
      </c>
      <c r="D26" s="188">
        <f>F10</f>
        <v>0.50915430016833085</v>
      </c>
      <c r="E26" s="188">
        <f>H10</f>
        <v>0.51932289872646087</v>
      </c>
      <c r="F26" s="188">
        <f>J10</f>
        <v>0.5622549165218278</v>
      </c>
      <c r="I26" s="127"/>
      <c r="J26" s="127"/>
      <c r="M26" s="127"/>
      <c r="N26" s="127"/>
      <c r="Q26" s="158"/>
      <c r="R26" s="158"/>
      <c r="S26" s="158"/>
      <c r="T26" s="158"/>
      <c r="U26" s="148"/>
      <c r="V26" s="148"/>
    </row>
    <row r="27" spans="1:31">
      <c r="A27" s="182"/>
      <c r="B27" s="187"/>
      <c r="C27" s="188"/>
      <c r="D27" s="188"/>
      <c r="E27" s="188"/>
      <c r="F27" s="188"/>
      <c r="I27" s="127"/>
      <c r="J27" s="127"/>
      <c r="M27" s="127"/>
      <c r="N27" s="127"/>
      <c r="Q27" s="158"/>
      <c r="R27" s="158"/>
      <c r="S27" s="158"/>
      <c r="T27" s="158"/>
      <c r="U27" s="148"/>
      <c r="V27" s="148"/>
    </row>
    <row r="28" spans="1:31">
      <c r="I28" s="127"/>
      <c r="J28" s="127"/>
      <c r="M28" s="127"/>
      <c r="N28" s="127"/>
      <c r="P28" s="6" t="s">
        <v>427</v>
      </c>
    </row>
    <row r="29" spans="1:31">
      <c r="B29" s="134" t="s">
        <v>263</v>
      </c>
      <c r="C29" s="134"/>
      <c r="D29" s="134"/>
      <c r="E29" s="135" t="s">
        <v>187</v>
      </c>
      <c r="F29" s="135" t="s">
        <v>187</v>
      </c>
      <c r="H29" s="134" t="s">
        <v>287</v>
      </c>
      <c r="I29" s="134"/>
      <c r="J29" s="134"/>
      <c r="K29" s="134" t="s">
        <v>286</v>
      </c>
      <c r="L29" s="134"/>
      <c r="M29" s="134"/>
      <c r="N29" s="134"/>
      <c r="P29" s="136" t="s">
        <v>204</v>
      </c>
      <c r="Q29" s="137" t="s">
        <v>205</v>
      </c>
      <c r="R29" s="137" t="s">
        <v>206</v>
      </c>
      <c r="S29" s="137" t="s">
        <v>205</v>
      </c>
      <c r="T29" s="137" t="s">
        <v>206</v>
      </c>
      <c r="U29" s="546" t="s">
        <v>209</v>
      </c>
      <c r="V29" s="547"/>
    </row>
    <row r="30" spans="1:31">
      <c r="B30" s="138" t="s">
        <v>188</v>
      </c>
      <c r="C30" s="139" t="str">
        <f>C21</f>
        <v>1/1/2024</v>
      </c>
      <c r="D30" s="139" t="str">
        <f>D21</f>
        <v>3/1/2024</v>
      </c>
      <c r="E30" s="140" t="s">
        <v>167</v>
      </c>
      <c r="F30" s="140" t="s">
        <v>175</v>
      </c>
      <c r="H30" s="141" t="s">
        <v>204</v>
      </c>
      <c r="I30" s="141" t="s">
        <v>205</v>
      </c>
      <c r="J30" s="141" t="s">
        <v>206</v>
      </c>
      <c r="K30" s="141" t="s">
        <v>204</v>
      </c>
      <c r="L30" s="141" t="s">
        <v>205</v>
      </c>
      <c r="M30" s="141" t="s">
        <v>206</v>
      </c>
      <c r="P30" s="57"/>
      <c r="Q30" s="537" t="s">
        <v>162</v>
      </c>
      <c r="R30" s="539"/>
      <c r="S30" s="537" t="s">
        <v>163</v>
      </c>
      <c r="T30" s="539"/>
      <c r="U30" s="51" t="s">
        <v>162</v>
      </c>
      <c r="V30" s="51" t="s">
        <v>163</v>
      </c>
    </row>
    <row r="31" spans="1:31">
      <c r="A31" s="6" t="s">
        <v>205</v>
      </c>
      <c r="B31" s="142" t="s">
        <v>207</v>
      </c>
      <c r="C31" s="143">
        <v>0.24904999999999999</v>
      </c>
      <c r="D31" s="144">
        <f>Q7</f>
        <v>0.26238</v>
      </c>
      <c r="E31" s="145">
        <f>S7</f>
        <v>0.26762013425556863</v>
      </c>
      <c r="F31" s="145">
        <f>U7</f>
        <v>0.28974408140758962</v>
      </c>
      <c r="H31" s="6" t="s">
        <v>131</v>
      </c>
      <c r="I31" s="168">
        <v>270</v>
      </c>
      <c r="J31" s="168">
        <v>276</v>
      </c>
      <c r="K31" s="6" t="s">
        <v>131</v>
      </c>
      <c r="L31" s="168">
        <v>181</v>
      </c>
      <c r="M31" s="168">
        <v>264</v>
      </c>
      <c r="N31" s="127"/>
      <c r="P31" s="241" t="s">
        <v>237</v>
      </c>
      <c r="Q31" s="147">
        <v>285.89174300000002</v>
      </c>
      <c r="R31" s="147">
        <v>293.17082599999998</v>
      </c>
      <c r="S31" s="147">
        <v>286.85188599999998</v>
      </c>
      <c r="T31" s="147">
        <v>296.07458700000001</v>
      </c>
      <c r="U31" s="157">
        <v>0.5836494123707695</v>
      </c>
      <c r="V31" s="157">
        <v>0.44739929605005868</v>
      </c>
    </row>
    <row r="32" spans="1:31">
      <c r="B32" s="142" t="s">
        <v>208</v>
      </c>
      <c r="C32" s="143">
        <v>0.31713000000000002</v>
      </c>
      <c r="D32" s="144">
        <f>Q9</f>
        <v>0.33390999999999998</v>
      </c>
      <c r="E32" s="145">
        <f>S9</f>
        <v>0.34057869894533471</v>
      </c>
      <c r="F32" s="145">
        <f>U9</f>
        <v>0.36873407356813875</v>
      </c>
      <c r="H32" s="6" t="s">
        <v>210</v>
      </c>
      <c r="I32" s="168">
        <v>408</v>
      </c>
      <c r="J32" s="168">
        <v>387</v>
      </c>
      <c r="K32" s="6" t="s">
        <v>210</v>
      </c>
      <c r="L32" s="168">
        <v>456</v>
      </c>
      <c r="M32" s="168">
        <v>664</v>
      </c>
      <c r="N32" s="127"/>
      <c r="P32" s="242" t="s">
        <v>239</v>
      </c>
      <c r="Q32" s="147">
        <v>380.07318400000003</v>
      </c>
      <c r="R32" s="147">
        <v>541.72986900000001</v>
      </c>
      <c r="S32" s="147">
        <v>580.93037400000003</v>
      </c>
      <c r="T32" s="147">
        <v>788.42053199999998</v>
      </c>
      <c r="U32" s="157">
        <v>2.2944560326062253E-2</v>
      </c>
      <c r="V32" s="157">
        <v>1.3276776671379721E-2</v>
      </c>
    </row>
    <row r="33" spans="1:31">
      <c r="B33" s="142"/>
      <c r="C33" s="143"/>
      <c r="D33" s="144"/>
      <c r="E33" s="145"/>
      <c r="F33" s="145"/>
      <c r="H33" s="6" t="s">
        <v>211</v>
      </c>
      <c r="I33" s="169">
        <v>477</v>
      </c>
      <c r="J33" s="168">
        <v>327</v>
      </c>
      <c r="K33" s="6" t="s">
        <v>211</v>
      </c>
      <c r="L33" s="169">
        <v>509</v>
      </c>
      <c r="M33" s="168">
        <v>513</v>
      </c>
      <c r="N33" s="127"/>
      <c r="P33" s="242" t="s">
        <v>236</v>
      </c>
      <c r="Q33" s="147">
        <v>310.38509499999998</v>
      </c>
      <c r="R33" s="147">
        <v>265.54075399999999</v>
      </c>
      <c r="S33" s="147">
        <v>688.22507099999996</v>
      </c>
      <c r="T33" s="147">
        <v>501.174193</v>
      </c>
      <c r="U33" s="157">
        <v>6.2222536477456953E-3</v>
      </c>
      <c r="V33" s="157">
        <v>3.5698885913981728E-3</v>
      </c>
    </row>
    <row r="34" spans="1:31">
      <c r="A34" s="182" t="s">
        <v>206</v>
      </c>
      <c r="B34" s="187" t="s">
        <v>207</v>
      </c>
      <c r="C34" s="188">
        <v>0.24904999999999999</v>
      </c>
      <c r="D34" s="188">
        <f>Q8</f>
        <v>0.26238</v>
      </c>
      <c r="E34" s="188">
        <f>S8</f>
        <v>0.26762013425556863</v>
      </c>
      <c r="F34" s="188">
        <f>U8</f>
        <v>0.28974408140758962</v>
      </c>
      <c r="H34" s="6" t="s">
        <v>212</v>
      </c>
      <c r="I34" s="168">
        <v>312</v>
      </c>
      <c r="J34" s="168">
        <v>288</v>
      </c>
      <c r="K34" s="6" t="s">
        <v>212</v>
      </c>
      <c r="L34" s="168">
        <v>262</v>
      </c>
      <c r="M34" s="168">
        <v>365</v>
      </c>
      <c r="N34" s="127"/>
      <c r="P34" s="243" t="s">
        <v>238</v>
      </c>
      <c r="Q34" s="153">
        <v>341.15286800000001</v>
      </c>
      <c r="R34" s="153">
        <v>372.55017700000002</v>
      </c>
      <c r="S34" s="153">
        <v>383.97805</v>
      </c>
      <c r="T34" s="153">
        <v>365.96839499999999</v>
      </c>
      <c r="U34" s="157">
        <v>0.3871837736554225</v>
      </c>
      <c r="V34" s="157">
        <v>0.53575403868716343</v>
      </c>
    </row>
    <row r="35" spans="1:31">
      <c r="A35" s="182"/>
      <c r="B35" s="187" t="s">
        <v>208</v>
      </c>
      <c r="C35" s="188">
        <v>0.31713000000000002</v>
      </c>
      <c r="D35" s="188">
        <f>Q10</f>
        <v>0.33390999999999998</v>
      </c>
      <c r="E35" s="188">
        <f>S10</f>
        <v>0.34057869894533471</v>
      </c>
      <c r="F35" s="188">
        <f>U10</f>
        <v>0.36873407356813875</v>
      </c>
      <c r="I35" s="127"/>
      <c r="J35" s="127"/>
      <c r="M35" s="127"/>
      <c r="N35" s="127"/>
      <c r="Q35" s="158"/>
      <c r="R35" s="158"/>
      <c r="S35" s="158"/>
      <c r="T35" s="158"/>
      <c r="U35" s="148"/>
      <c r="V35" s="150"/>
    </row>
    <row r="36" spans="1:31">
      <c r="A36" s="182"/>
      <c r="B36" s="187"/>
      <c r="C36" s="188"/>
      <c r="D36" s="188"/>
      <c r="E36" s="188"/>
      <c r="F36" s="188"/>
      <c r="I36" s="127"/>
      <c r="J36" s="127"/>
      <c r="M36" s="127"/>
      <c r="N36" s="127"/>
      <c r="Q36" s="158"/>
      <c r="R36" s="158"/>
      <c r="S36" s="158"/>
      <c r="T36" s="158"/>
      <c r="U36" s="148"/>
      <c r="V36" s="150"/>
    </row>
    <row r="37" spans="1:31">
      <c r="B37" s="7"/>
      <c r="C37" s="8"/>
      <c r="D37" s="151"/>
      <c r="E37" s="9"/>
      <c r="F37" s="9"/>
      <c r="I37" s="127"/>
      <c r="J37" s="127"/>
      <c r="M37" s="127"/>
      <c r="N37" s="127"/>
      <c r="Q37" s="158"/>
      <c r="R37" s="158"/>
      <c r="S37" s="158"/>
      <c r="T37" s="158"/>
      <c r="U37" s="148"/>
      <c r="V37" s="150"/>
    </row>
    <row r="38" spans="1:31">
      <c r="B38" s="7"/>
      <c r="C38" s="8"/>
      <c r="D38" s="8"/>
      <c r="E38" s="9"/>
      <c r="F38" s="9"/>
    </row>
    <row r="39" spans="1:31" ht="18.75">
      <c r="B39" s="281"/>
      <c r="C39" s="548" t="s">
        <v>280</v>
      </c>
      <c r="D39" s="548"/>
      <c r="E39" s="548"/>
      <c r="F39" s="548"/>
      <c r="G39" s="548"/>
      <c r="H39" s="548"/>
      <c r="I39" s="548"/>
      <c r="J39" s="548"/>
      <c r="M39" s="281"/>
      <c r="N39" s="548" t="s">
        <v>280</v>
      </c>
      <c r="O39" s="548"/>
      <c r="P39" s="548"/>
      <c r="Q39" s="548"/>
      <c r="R39" s="548"/>
      <c r="S39" s="548"/>
      <c r="T39" s="548"/>
      <c r="U39" s="548"/>
    </row>
    <row r="40" spans="1:31">
      <c r="B40" s="7"/>
      <c r="C40" s="541" t="s">
        <v>424</v>
      </c>
      <c r="D40" s="541"/>
      <c r="E40" s="541"/>
      <c r="F40" s="541"/>
      <c r="G40" s="541"/>
      <c r="H40" s="541"/>
      <c r="I40" s="541"/>
      <c r="J40" s="541"/>
      <c r="M40" s="7"/>
      <c r="N40" s="541" t="s">
        <v>425</v>
      </c>
      <c r="O40" s="541"/>
      <c r="P40" s="541"/>
      <c r="Q40" s="541"/>
      <c r="R40" s="541"/>
      <c r="S40" s="541"/>
      <c r="T40" s="541"/>
      <c r="U40" s="541"/>
    </row>
    <row r="41" spans="1:31">
      <c r="B41" s="7"/>
      <c r="C41" s="542" t="str">
        <f>C30</f>
        <v>1/1/2024</v>
      </c>
      <c r="D41" s="542"/>
      <c r="E41" s="543" t="str">
        <f>D30</f>
        <v>3/1/2024</v>
      </c>
      <c r="F41" s="542"/>
      <c r="G41" s="542" t="str">
        <f>E21</f>
        <v>Authorized</v>
      </c>
      <c r="H41" s="542"/>
      <c r="I41" s="543" t="str">
        <f>F21</f>
        <v>w/Pending</v>
      </c>
      <c r="J41" s="542"/>
      <c r="M41" s="7"/>
      <c r="N41" s="542" t="str">
        <f>C41</f>
        <v>1/1/2024</v>
      </c>
      <c r="O41" s="542"/>
      <c r="P41" s="543" t="str">
        <f>E41</f>
        <v>3/1/2024</v>
      </c>
      <c r="Q41" s="542"/>
      <c r="R41" s="542" t="str">
        <f>G41</f>
        <v>Authorized</v>
      </c>
      <c r="S41" s="542"/>
      <c r="T41" s="543" t="str">
        <f>I41</f>
        <v>w/Pending</v>
      </c>
      <c r="U41" s="542"/>
    </row>
    <row r="42" spans="1:31">
      <c r="B42" s="7"/>
      <c r="C42" s="8" t="s">
        <v>205</v>
      </c>
      <c r="D42" s="8" t="s">
        <v>206</v>
      </c>
      <c r="E42" s="8" t="s">
        <v>205</v>
      </c>
      <c r="F42" s="8" t="s">
        <v>206</v>
      </c>
      <c r="G42" s="8" t="s">
        <v>205</v>
      </c>
      <c r="H42" s="8" t="s">
        <v>206</v>
      </c>
      <c r="I42" s="8" t="s">
        <v>205</v>
      </c>
      <c r="J42" s="8" t="s">
        <v>206</v>
      </c>
      <c r="M42" s="7"/>
      <c r="N42" s="8" t="s">
        <v>205</v>
      </c>
      <c r="O42" s="8" t="s">
        <v>206</v>
      </c>
      <c r="P42" s="8" t="s">
        <v>205</v>
      </c>
      <c r="Q42" s="8" t="s">
        <v>206</v>
      </c>
      <c r="R42" s="8" t="s">
        <v>205</v>
      </c>
      <c r="S42" s="8" t="s">
        <v>206</v>
      </c>
      <c r="T42" s="8" t="s">
        <v>205</v>
      </c>
      <c r="U42" s="8" t="s">
        <v>206</v>
      </c>
    </row>
    <row r="43" spans="1:31">
      <c r="B43" s="146" t="s">
        <v>237</v>
      </c>
      <c r="C43" s="172">
        <f>IF($Q22&gt;$I22,C$22*$I22+C$23*($Q22-$I22),$Q22*C$22)+('Incremental Rev Req'!$F$81*$Q22)</f>
        <v>126.27374451938572</v>
      </c>
      <c r="D43" s="172">
        <f>IF($R22&gt;$J22,C$25*$J22+C$26*($R22-$J22),$R22*C$25)+('Incremental Rev Req'!$F$81*$R22)</f>
        <v>123.93265900697064</v>
      </c>
      <c r="E43" s="172">
        <f>IF($Q22&gt;$I22,D$22*$I22+D$23*($Q22-$I22),$Q22*D$22)+('Incremental Rev Req'!$F$81*$Q22)</f>
        <v>133.00802924332794</v>
      </c>
      <c r="F43" s="172">
        <f>IF($R22&gt;$J22,D$25*$J22+D$26*($R22-$J22),$R22*D$25)+('Incremental Rev Req'!$F$81*$R22)</f>
        <v>130.54209167664214</v>
      </c>
      <c r="G43" s="172">
        <f>IF($Q22&gt;$I22,E$22*$I22+E$23*($Q22-$I22),$Q22*E$22)+('Incremental Rev Req'!$F$81*$Q22)</f>
        <v>135.65785228779359</v>
      </c>
      <c r="H43" s="172">
        <f>IF($R22&gt;$J22,E$25*$J22+E$26*($R22-$J22),$R22*E$25)+('Incremental Rev Req'!$F$81*$R22)</f>
        <v>133.14278762534082</v>
      </c>
      <c r="I43" s="172">
        <f>IF($Q22&gt;$I22,F$22*$I22+F$23*($Q22-$I22),$Q22*F$22)+('Incremental Rev Req'!$F$81*$Q22)</f>
        <v>146.84545591372481</v>
      </c>
      <c r="J43" s="172">
        <f>IF($R22&gt;$J22,F$25*$J22+F$26*($R22-$J22),$R22*F$25)+('Incremental Rev Req'!$F$81*$R22)</f>
        <v>144.12297571238074</v>
      </c>
      <c r="M43" s="146" t="s">
        <v>237</v>
      </c>
      <c r="N43" s="172">
        <f>IF($Q31&gt;$L22,C$22*$L22+C$23*($Q31-$L22),$Q31*C$22)+('Incremental Rev Req'!$F$81*$Q31)</f>
        <v>115.086632833948</v>
      </c>
      <c r="O43" s="172">
        <f>IF($R31&gt;$M22,C$25*$M22+C$26*($R31-$M22),$R31*C$25)+('Incremental Rev Req'!$F$81*$R31)</f>
        <v>112.826062251514</v>
      </c>
      <c r="P43" s="172">
        <f>IF($Q31&gt;$L22,D$22*$L22+D$23*($Q31-$L22),$Q31*D$22)+('Incremental Rev Req'!$F$81*$Q31)</f>
        <v>121.22500279615984</v>
      </c>
      <c r="Q43" s="172">
        <f>IF($R31&gt;$M22,D$25*$M22+D$26*($R31-$M22),$R31*D$25)+('Incremental Rev Req'!$F$81*$R31)</f>
        <v>118.84317079909715</v>
      </c>
      <c r="R43" s="172">
        <f>IF($Q31&gt;$L22,E$22*$L22+E$23*($Q31-$L22),$Q31*E$22)+('Incremental Rev Req'!$F$81*$Q31)</f>
        <v>123.6403438231729</v>
      </c>
      <c r="S43" s="172">
        <f>IF($R31&gt;$M22,E$25*$M22+E$26*($R31-$M22),$R31*E$25)+('Incremental Rev Req'!$F$81*$R31)</f>
        <v>121.21079758412911</v>
      </c>
      <c r="T43" s="172">
        <f>IF($Q31&gt;$L22,F$22*$L22+F$23*($Q31-$L22),$Q31*F$22)+('Incremental Rev Req'!$F$81*$Q31)</f>
        <v>133.83795988214274</v>
      </c>
      <c r="U43" s="172">
        <f>IF($R31&gt;$M22,F$25*$M22+F$26*($R31-$M22),$R31*F$25)+('Incremental Rev Req'!$F$81*$R31)</f>
        <v>131.20696319994164</v>
      </c>
    </row>
    <row r="44" spans="1:31">
      <c r="B44" s="149" t="s">
        <v>239</v>
      </c>
      <c r="C44" s="172">
        <f>IF($Q23&gt;$I23,C$22*$I23+C$23*($Q23-$I23),$Q23*C$22)+('Incremental Rev Req'!$F$81*$Q23)</f>
        <v>136.00972072417906</v>
      </c>
      <c r="D44" s="172">
        <f>IF($R23&gt;$J23,C$25*$J23+C$26*($R23-$J23),$R23*C$25)+('Incremental Rev Req'!$F$81*$R23)</f>
        <v>137.16583881845833</v>
      </c>
      <c r="E44" s="172">
        <f>IF($Q23&gt;$I23,D$22*$I23+D$23*($Q23-$I23),$Q23*D$22)+('Incremental Rev Req'!$F$81*$Q23)</f>
        <v>143.26323322645439</v>
      </c>
      <c r="F44" s="172">
        <f>IF($R23&gt;$J23,D$25*$J23+D$26*($R23-$J23),$R23*D$25)+('Incremental Rev Req'!$F$81*$R23)</f>
        <v>144.48100806854779</v>
      </c>
      <c r="G44" s="172">
        <f>IF($Q23&gt;$I23,E$22*$I23+E$23*($Q23-$I23),$Q23*E$22)+('Incremental Rev Req'!$F$81*$Q23)</f>
        <v>146.11736330407271</v>
      </c>
      <c r="H44" s="172">
        <f>IF($R23&gt;$J23,E$25*$J23+E$26*($R23-$J23),$R23*E$25)+('Incremental Rev Req'!$F$81*$R23)</f>
        <v>147.3593989961156</v>
      </c>
      <c r="I44" s="172">
        <f>IF($Q23&gt;$I23,F$22*$I23+F$23*($Q23-$I23),$Q23*F$22)+('Incremental Rev Req'!$F$81*$Q23)</f>
        <v>158.16755513553548</v>
      </c>
      <c r="J44" s="172">
        <f>IF($R23&gt;$J23,F$25*$J23+F$26*($R23-$J23),$R23*F$25)+('Incremental Rev Req'!$F$81*$R23)</f>
        <v>159.5120206005513</v>
      </c>
      <c r="M44" s="149" t="s">
        <v>239</v>
      </c>
      <c r="N44" s="172">
        <f>IF($Q32&gt;$L23,C$22*$L23+C$23*($Q32-$L23),$Q32*C$22)+('Incremental Rev Req'!$F$81*$Q32)</f>
        <v>146.27021829967197</v>
      </c>
      <c r="O44" s="172">
        <f>IF($R32&gt;$M23,C$25*$M23+C$26*($R32-$M23),$R32*C$25)+('Incremental Rev Req'!$F$81*$R32)</f>
        <v>208.48339092000421</v>
      </c>
      <c r="P44" s="172">
        <f>IF($Q32&gt;$L23,D$22*$L23+D$23*($Q32-$L23),$Q32*D$22)+('Incremental Rev Req'!$F$81*$Q32)</f>
        <v>154.07093174499119</v>
      </c>
      <c r="Q44" s="172">
        <f>IF($R32&gt;$M23,D$25*$M23+D$26*($R32-$M23),$R32*D$25)+('Incremental Rev Req'!$F$81*$R32)</f>
        <v>219.60198505065279</v>
      </c>
      <c r="R44" s="172">
        <f>IF($Q32&gt;$L23,E$22*$L23+E$23*($Q32-$L23),$Q32*E$22)+('Incremental Rev Req'!$F$81*$Q32)</f>
        <v>157.14037580594552</v>
      </c>
      <c r="S44" s="172">
        <f>IF($R32&gt;$M23,E$25*$M23+E$26*($R32-$M23),$R32*E$25)+('Incremental Rev Req'!$F$81*$R32)</f>
        <v>223.97695702721725</v>
      </c>
      <c r="T44" s="172">
        <f>IF($Q32&gt;$L23,F$22*$L23+F$23*($Q32-$L23),$Q32*F$22)+('Incremental Rev Req'!$F$81*$Q32)</f>
        <v>170.09962739734769</v>
      </c>
      <c r="U44" s="172">
        <f>IF($R32&gt;$M23,F$25*$M23+F$26*($R32-$M23),$R32*F$25)+('Incremental Rev Req'!$F$81*$R32)</f>
        <v>242.44817247331497</v>
      </c>
    </row>
    <row r="45" spans="1:31">
      <c r="B45" s="149" t="s">
        <v>236</v>
      </c>
      <c r="C45" s="172">
        <f>IF($Q24&gt;$I24,C$22*$I24+C$23*($Q24-$I24),$Q24*C$22)+('Incremental Rev Req'!$F$81*$Q24)</f>
        <v>137.70521876665313</v>
      </c>
      <c r="D45" s="172">
        <f>IF($R24&gt;$J24,C$25*$J24+C$26*($R24-$J24),$R24*C$25)+('Incremental Rev Req'!$F$81*$R24)</f>
        <v>73.378372415149329</v>
      </c>
      <c r="E45" s="172">
        <f>IF($Q24&gt;$I24,D$22*$I24+D$23*($Q24-$I24),$Q24*D$22)+('Incremental Rev Req'!$F$81*$Q24)</f>
        <v>145.04915360185575</v>
      </c>
      <c r="F45" s="172">
        <f>IF($R24&gt;$J24,D$25*$J24+D$26*($R24-$J24),$R24*D$25)+('Incremental Rev Req'!$F$81*$R24)</f>
        <v>77.291702571817169</v>
      </c>
      <c r="G45" s="172">
        <f>IF($Q24&gt;$I24,E$22*$I24+E$23*($Q24-$I24),$Q24*E$22)+('Incremental Rev Req'!$F$81*$Q24)</f>
        <v>147.93886328315094</v>
      </c>
      <c r="H45" s="172">
        <f>IF($R24&gt;$J24,E$25*$J24+E$26*($R24-$J24),$R24*E$25)+('Incremental Rev Req'!$F$81*$R24)</f>
        <v>78.831529421263269</v>
      </c>
      <c r="I45" s="172">
        <f>IF($Q24&gt;$I24,F$22*$I24+F$23*($Q24-$I24),$Q24*F$22)+('Incremental Rev Req'!$F$81*$Q24)</f>
        <v>160.13927288252691</v>
      </c>
      <c r="J45" s="172">
        <f>IF($R24&gt;$J24,F$25*$J24+F$26*($R24-$J24),$R24*F$25)+('Incremental Rev Req'!$F$81*$R24)</f>
        <v>85.332707860385469</v>
      </c>
      <c r="M45" s="149" t="s">
        <v>236</v>
      </c>
      <c r="N45" s="172">
        <f>IF($Q33&gt;$L24,C$22*$L24+C$23*($Q33-$L24),$Q33*C$22)+('Incremental Rev Req'!$F$81*$Q33)</f>
        <v>119.45093080445901</v>
      </c>
      <c r="O45" s="172">
        <f>IF($R33&gt;$M24,C$25*$M24+C$26*($R33-$M24),$R33*C$25)+('Incremental Rev Req'!$F$81*$R33)</f>
        <v>102.19269785431506</v>
      </c>
      <c r="P45" s="172">
        <f>IF($Q33&gt;$L24,D$22*$L24+D$23*($Q33-$L24),$Q33*D$22)+('Incremental Rev Req'!$F$81*$Q33)</f>
        <v>125.82134914945117</v>
      </c>
      <c r="Q45" s="172">
        <f>IF($R33&gt;$M24,D$25*$M24+D$26*($R33-$M24),$R33*D$25)+('Incremental Rev Req'!$F$81*$R33)</f>
        <v>107.64272015846161</v>
      </c>
      <c r="R45" s="172">
        <f>IF($Q33&gt;$L24,E$22*$L24+E$23*($Q33-$L24),$Q33*E$22)+('Incremental Rev Req'!$F$81*$Q33)</f>
        <v>128.32799714926506</v>
      </c>
      <c r="S45" s="172">
        <f>IF($R33&gt;$M24,E$25*$M24+E$26*($R33-$M24),$R33*E$25)+('Incremental Rev Req'!$F$81*$R33)</f>
        <v>109.78720844287223</v>
      </c>
      <c r="T45" s="172">
        <f>IF($Q33&gt;$L24,F$22*$L24+F$23*($Q33-$L24),$Q33*F$22)+('Incremental Rev Req'!$F$81*$Q33)</f>
        <v>138.91111299551812</v>
      </c>
      <c r="U45" s="172">
        <f>IF($R33&gt;$M24,F$25*$M24+F$26*($R33-$M24),$R33*F$25)+('Incremental Rev Req'!$F$81*$R33)</f>
        <v>118.84127903696242</v>
      </c>
    </row>
    <row r="46" spans="1:31">
      <c r="B46" s="152" t="s">
        <v>238</v>
      </c>
      <c r="C46" s="172">
        <f>IF($Q25&gt;$I25,C$22*$I25+C$23*($Q25-$I25),$Q25*C$22)+('Incremental Rev Req'!$F$81*$Q25)</f>
        <v>125.0223089333373</v>
      </c>
      <c r="D46" s="172">
        <f>IF($R25&gt;$J25,C$25*$J25+C$26*($R25-$J25),$R25*C$25)+('Incremental Rev Req'!$F$81*$R25)</f>
        <v>110.60639920713419</v>
      </c>
      <c r="E46" s="172">
        <f>IF($Q25&gt;$I25,D$22*$I25+D$23*($Q25-$I25),$Q25*D$22)+('Incremental Rev Req'!$F$81*$Q25)</f>
        <v>131.68985354766926</v>
      </c>
      <c r="F46" s="172">
        <f>IF($R25&gt;$J25,D$25*$J25+D$26*($R25-$J25),$R25*D$25)+('Incremental Rev Req'!$F$81*$R25)</f>
        <v>116.50513126252602</v>
      </c>
      <c r="G46" s="172">
        <f>IF($Q25&gt;$I25,E$22*$I25+E$23*($Q25-$I25),$Q25*E$22)+('Incremental Rev Req'!$F$81*$Q25)</f>
        <v>134.31341552838649</v>
      </c>
      <c r="H46" s="172">
        <f>IF($R25&gt;$J25,E$25*$J25+E$26*($R25-$J25),$R25*E$25)+('Incremental Rev Req'!$F$81*$R25)</f>
        <v>118.82617897200801</v>
      </c>
      <c r="I46" s="172">
        <f>IF($Q25&gt;$I25,F$22*$I25+F$23*($Q25-$I25),$Q25*F$22)+('Incremental Rev Req'!$F$81*$Q25)</f>
        <v>145.39014444039057</v>
      </c>
      <c r="J46" s="172">
        <f>IF($R25&gt;$J25,F$25*$J25+F$26*($R25-$J25),$R25*F$25)+('Incremental Rev Req'!$F$81*$R25)</f>
        <v>128.62568683906869</v>
      </c>
      <c r="M46" s="152" t="s">
        <v>238</v>
      </c>
      <c r="N46" s="172">
        <f>IF($Q34&gt;$L25,C$22*$L25+C$23*($Q34-$L25),$Q34*C$22)+('Incremental Rev Req'!$F$81*$Q34)</f>
        <v>131.30703651359946</v>
      </c>
      <c r="O46" s="172">
        <f>IF($R34&gt;$M25,C$25*$M25+C$26*($R34-$M25),$R34*C$25)+('Incremental Rev Req'!$F$81*$R34)</f>
        <v>143.37500779158214</v>
      </c>
      <c r="P46" s="172">
        <f>IF($Q34&gt;$L25,D$22*$L25+D$23*($Q34-$L25),$Q34*D$22)+('Incremental Rev Req'!$F$81*$Q34)</f>
        <v>138.30975303446056</v>
      </c>
      <c r="Q46" s="172">
        <f>IF($R34&gt;$M25,D$25*$M25+D$26*($R34-$M25),$R34*D$25)+('Incremental Rev Req'!$F$81*$R34)</f>
        <v>151.02131723176603</v>
      </c>
      <c r="R46" s="172">
        <f>IF($Q34&gt;$L25,E$22*$L25+E$23*($Q34-$L25),$Q34*E$22)+('Incremental Rev Req'!$F$81*$Q34)</f>
        <v>141.06519928770058</v>
      </c>
      <c r="S46" s="172">
        <f>IF($R34&gt;$M25,E$25*$M25+E$26*($R34-$M25),$R34*E$25)+('Incremental Rev Req'!$F$81*$R34)</f>
        <v>154.03000602208107</v>
      </c>
      <c r="T46" s="172">
        <f>IF($Q34&gt;$L25,F$22*$L25+F$23*($Q34-$L25),$Q34*F$22)+('Incremental Rev Req'!$F$81*$Q34)</f>
        <v>152.69874612328672</v>
      </c>
      <c r="U46" s="172">
        <f>IF($R34&gt;$M25,F$25*$M25+F$26*($R34-$M25),$R34*F$25)+('Incremental Rev Req'!$F$81*$R34)</f>
        <v>166.73274769765374</v>
      </c>
    </row>
    <row r="47" spans="1:31" s="10" customFormat="1">
      <c r="B47" s="6" t="s">
        <v>116</v>
      </c>
      <c r="C47" s="170">
        <f>SUMPRODUCT(C43:C46,$U$22:$U$25)</f>
        <v>125.8781209139367</v>
      </c>
      <c r="D47" s="170">
        <f t="shared" ref="D47:J47" si="10">SUMPRODUCT(D43:D46,$U$22:$U$25)</f>
        <v>118.73368768324164</v>
      </c>
      <c r="E47" s="170">
        <f t="shared" si="10"/>
        <v>132.591306699119</v>
      </c>
      <c r="F47" s="170">
        <f t="shared" si="10"/>
        <v>125.0658548508972</v>
      </c>
      <c r="G47" s="170">
        <f t="shared" si="10"/>
        <v>135.23282768086648</v>
      </c>
      <c r="H47" s="170">
        <f t="shared" si="10"/>
        <v>127.55745168264511</v>
      </c>
      <c r="I47" s="170">
        <f t="shared" si="10"/>
        <v>146.38537983905456</v>
      </c>
      <c r="J47" s="170">
        <f t="shared" si="10"/>
        <v>138.07702120916127</v>
      </c>
      <c r="M47" s="6" t="s">
        <v>116</v>
      </c>
      <c r="N47" s="170">
        <f>SUMPRODUCT(N43:N46,$U$22:$U$25)</f>
        <v>121.75525303209434</v>
      </c>
      <c r="O47" s="170">
        <f t="shared" ref="O47:U47" si="11">SUMPRODUCT(O43:O46,$U$22:$U$25)</f>
        <v>125.68208940847819</v>
      </c>
      <c r="P47" s="170">
        <f t="shared" si="11"/>
        <v>128.24898278968624</v>
      </c>
      <c r="Q47" s="170">
        <f t="shared" si="11"/>
        <v>132.38482066902711</v>
      </c>
      <c r="R47" s="170">
        <f t="shared" si="11"/>
        <v>130.80415166976388</v>
      </c>
      <c r="S47" s="170">
        <f t="shared" si="11"/>
        <v>135.02222797850982</v>
      </c>
      <c r="T47" s="170">
        <f t="shared" si="11"/>
        <v>141.59212360144716</v>
      </c>
      <c r="U47" s="170">
        <f t="shared" si="11"/>
        <v>146.15741213363748</v>
      </c>
      <c r="X47" s="6"/>
      <c r="Y47" s="6"/>
      <c r="Z47" s="6"/>
      <c r="AA47" s="6"/>
      <c r="AB47" s="6"/>
      <c r="AC47" s="6"/>
      <c r="AD47" s="6"/>
      <c r="AE47" s="6"/>
    </row>
    <row r="48" spans="1:31">
      <c r="B48" s="7"/>
      <c r="C48" s="151"/>
      <c r="D48" s="151"/>
      <c r="E48" s="171"/>
      <c r="F48" s="154"/>
      <c r="G48" s="155"/>
      <c r="H48" s="155"/>
      <c r="I48" s="155"/>
      <c r="J48" s="155"/>
      <c r="M48" s="7"/>
      <c r="N48" s="151"/>
      <c r="O48" s="151"/>
      <c r="P48" s="171"/>
      <c r="Q48" s="154"/>
      <c r="R48" s="155"/>
      <c r="S48" s="155"/>
      <c r="T48" s="155"/>
      <c r="U48" s="155"/>
      <c r="X48" s="10"/>
      <c r="Y48" s="10"/>
      <c r="Z48" s="10"/>
      <c r="AA48" s="10"/>
    </row>
    <row r="49" spans="2:31">
      <c r="B49" s="7"/>
      <c r="C49" s="151"/>
      <c r="D49" s="151"/>
      <c r="E49" s="171"/>
      <c r="F49" s="151"/>
      <c r="G49" s="155"/>
      <c r="H49" s="155"/>
      <c r="I49" s="155"/>
      <c r="J49" s="155"/>
      <c r="M49" s="7"/>
      <c r="N49" s="151"/>
      <c r="O49" s="151"/>
      <c r="P49" s="171"/>
      <c r="Q49" s="151"/>
      <c r="R49" s="155"/>
      <c r="S49" s="155"/>
      <c r="T49" s="155"/>
      <c r="U49" s="155"/>
    </row>
    <row r="50" spans="2:31">
      <c r="B50" s="7"/>
      <c r="C50" s="541" t="s">
        <v>490</v>
      </c>
      <c r="D50" s="541"/>
      <c r="E50" s="541"/>
      <c r="F50" s="541"/>
      <c r="G50" s="541"/>
      <c r="H50" s="541"/>
      <c r="I50" s="541"/>
      <c r="J50" s="541"/>
      <c r="M50" s="7"/>
      <c r="N50" s="541" t="s">
        <v>491</v>
      </c>
      <c r="O50" s="541"/>
      <c r="P50" s="541"/>
      <c r="Q50" s="541"/>
      <c r="R50" s="541"/>
      <c r="S50" s="541"/>
      <c r="T50" s="541"/>
      <c r="U50" s="541"/>
    </row>
    <row r="51" spans="2:31">
      <c r="B51" s="7"/>
      <c r="C51" s="544" t="str">
        <f>C30</f>
        <v>1/1/2024</v>
      </c>
      <c r="D51" s="544"/>
      <c r="E51" s="545" t="str">
        <f>D30</f>
        <v>3/1/2024</v>
      </c>
      <c r="F51" s="544"/>
      <c r="G51" s="544" t="str">
        <f>E30</f>
        <v>Authorized</v>
      </c>
      <c r="H51" s="544"/>
      <c r="I51" s="545" t="str">
        <f>F30</f>
        <v>w/Pending</v>
      </c>
      <c r="J51" s="544"/>
      <c r="M51" s="7"/>
      <c r="N51" s="544" t="str">
        <f>N41</f>
        <v>1/1/2024</v>
      </c>
      <c r="O51" s="544"/>
      <c r="P51" s="545" t="str">
        <f>P41</f>
        <v>3/1/2024</v>
      </c>
      <c r="Q51" s="544"/>
      <c r="R51" s="544" t="str">
        <f>R41</f>
        <v>Authorized</v>
      </c>
      <c r="S51" s="544"/>
      <c r="T51" s="545" t="str">
        <f>T41</f>
        <v>w/Pending</v>
      </c>
      <c r="U51" s="544"/>
      <c r="AD51" s="10"/>
      <c r="AE51" s="10"/>
    </row>
    <row r="52" spans="2:31">
      <c r="B52" s="7"/>
      <c r="C52" s="151" t="s">
        <v>205</v>
      </c>
      <c r="D52" s="151" t="s">
        <v>206</v>
      </c>
      <c r="E52" s="151" t="s">
        <v>205</v>
      </c>
      <c r="F52" s="151" t="s">
        <v>206</v>
      </c>
      <c r="G52" s="151" t="s">
        <v>205</v>
      </c>
      <c r="H52" s="151" t="s">
        <v>206</v>
      </c>
      <c r="I52" s="151" t="s">
        <v>205</v>
      </c>
      <c r="J52" s="151" t="s">
        <v>206</v>
      </c>
      <c r="M52" s="7"/>
      <c r="N52" s="151" t="s">
        <v>205</v>
      </c>
      <c r="O52" s="151" t="s">
        <v>206</v>
      </c>
      <c r="P52" s="151" t="s">
        <v>205</v>
      </c>
      <c r="Q52" s="151" t="s">
        <v>206</v>
      </c>
      <c r="R52" s="151" t="s">
        <v>205</v>
      </c>
      <c r="S52" s="151" t="s">
        <v>206</v>
      </c>
      <c r="T52" s="151" t="s">
        <v>205</v>
      </c>
      <c r="U52" s="151" t="s">
        <v>206</v>
      </c>
      <c r="AB52" s="10"/>
      <c r="AC52" s="10"/>
    </row>
    <row r="53" spans="2:31">
      <c r="B53" s="146" t="s">
        <v>237</v>
      </c>
      <c r="C53" s="172">
        <f>IF($S22&gt;$I22,C$31*$I22+C$32*($S22-$I22),$S22*C$31)+('Incremental Rev Req'!$F$81*$S22)</f>
        <v>79.213885609199991</v>
      </c>
      <c r="D53" s="172">
        <f>IF($T22&gt;$J22,C$34*$J22+C$35*($T22-$J22),$T22*C$34)+('Incremental Rev Req'!$F$81*$T22)</f>
        <v>77.020324984799998</v>
      </c>
      <c r="E53" s="172">
        <f>IF($S22&gt;$I22,D$31*$I22+D$32*($S22-$I22),$S22*D$31)+('Incremental Rev Req'!$F$81*$S22)</f>
        <v>83.436725421920002</v>
      </c>
      <c r="F53" s="172">
        <f>IF($T22&gt;$J22,D$34*$J22+D$35*($T22-$J22),$T22*D$34)+('Incremental Rev Req'!$F$81*$T22)</f>
        <v>81.126227532480002</v>
      </c>
      <c r="G53" s="172">
        <f>IF($S22&gt;$I22,E$31*$I22+E$32*($S22-$I22),$S22*E$31)+('Incremental Rev Req'!$F$81*$S22)</f>
        <v>85.096758997194797</v>
      </c>
      <c r="H53" s="172">
        <f>IF($T22&gt;$J22,E$34*$J22+E$35*($T22-$J22),$T22*E$34)+('Incremental Rev Req'!$F$81*$T22)</f>
        <v>82.740292092879443</v>
      </c>
      <c r="I53" s="172">
        <f>IF($S22&gt;$I22,F$31*$I22+F$32*($S22-$I22),$S22*F$31)+('Incremental Rev Req'!$F$81*$S22)</f>
        <v>92.10545253418411</v>
      </c>
      <c r="J53" s="172">
        <f>IF($T22&gt;$J22,F$34*$J22+F$35*($T22-$J22),$T22*F$34)+('Incremental Rev Req'!$F$81*$T22)</f>
        <v>89.554903568965017</v>
      </c>
      <c r="M53" s="146" t="s">
        <v>237</v>
      </c>
      <c r="N53" s="172">
        <f>IF($S22&gt;$L22,C$31*$L22+C$32*($S22-$L22),$S22*C$31)+('Incremental Rev Req'!$F$81*$S22)</f>
        <v>84.782297495920005</v>
      </c>
      <c r="O53" s="172">
        <f>IF($T22&gt;$M22,C$34*$M22+C$35*($T22-$M22),$T22*C$34)+('Incremental Rev Req'!$F$81*$T22)</f>
        <v>77.020324984799998</v>
      </c>
      <c r="P53" s="172">
        <f>IF($S22&gt;$L22,D$31*$L22+D$32*($S22-$L22),$S22*D$31)+('Incremental Rev Req'!$F$81*$S22)</f>
        <v>89.287320343440001</v>
      </c>
      <c r="Q53" s="172">
        <f>IF($T22&gt;$M22,D$34*$M22+D$35*($T22-$M22),$T22*D$34)+('Incremental Rev Req'!$F$81*$T22)</f>
        <v>81.126227532480002</v>
      </c>
      <c r="R53" s="172">
        <f>IF($S22&gt;$L22,E$31*$L22+E$32*($S22-$L22),$S22*E$31)+('Incremental Rev Req'!$F$81*$S22)</f>
        <v>91.064199344676055</v>
      </c>
      <c r="S53" s="172">
        <f>IF($T22&gt;$M22,E$34*$M22+E$35*($T22-$M22),$T22*E$34)+('Incremental Rev Req'!$F$81*$T22)</f>
        <v>82.740292092879443</v>
      </c>
      <c r="T53" s="172">
        <f>IF($S22&gt;$L22,F$31*$L22+F$32*($S22-$L22),$S22*F$31)+('Incremental Rev Req'!$F$81*$S22)</f>
        <v>98.566216507138307</v>
      </c>
      <c r="U53" s="172">
        <f>IF($T22&gt;$M22,F$34*$M22+F$35*($T22-$M22),$T22*F$34)+('Incremental Rev Req'!$F$81*$T22)</f>
        <v>89.554903568965017</v>
      </c>
    </row>
    <row r="54" spans="2:31">
      <c r="B54" s="149" t="s">
        <v>239</v>
      </c>
      <c r="C54" s="172">
        <f>IF($S23&gt;$I23,C$31*$I23+C$32*($S23-$I23),$S23*C$31)+('Incremental Rev Req'!$F$81*$S23)</f>
        <v>144.22127152178999</v>
      </c>
      <c r="D54" s="172">
        <f>IF($T23&gt;$J23,C$34*$J23+C$35*($T23-$J23),$T23*C$34)+('Incremental Rev Req'!$F$81*$T23)</f>
        <v>160.91798362448</v>
      </c>
      <c r="E54" s="172">
        <f>IF($S23&gt;$I23,D$31*$I23+D$32*($S23-$I23),$S23*D$31)+('Incremental Rev Req'!$F$81*$S23)</f>
        <v>151.90302081652999</v>
      </c>
      <c r="F54" s="172">
        <f>IF($T23&gt;$J23,D$34*$J23+D$35*($T23-$J23),$T23*D$34)+('Incremental Rev Req'!$F$81*$T23)</f>
        <v>169.47660813936</v>
      </c>
      <c r="G54" s="172">
        <f>IF($S23&gt;$I23,E$31*$I23+E$32*($S23-$I23),$S23*E$31)+('Incremental Rev Req'!$F$81*$S23)</f>
        <v>154.92543990054295</v>
      </c>
      <c r="H54" s="172">
        <f>IF($T23&gt;$J23,E$34*$J23+E$35*($T23-$J23),$T23*E$34)+('Incremental Rev Req'!$F$81*$T23)</f>
        <v>172.84906614276062</v>
      </c>
      <c r="I54" s="172">
        <f>IF($S23&gt;$I23,F$31*$I23+F$32*($S23-$I23),$S23*F$31)+('Incremental Rev Req'!$F$81*$S23)</f>
        <v>167.68615113898159</v>
      </c>
      <c r="J54" s="172">
        <f>IF($T23&gt;$J23,F$34*$J23+F$35*($T23-$J23),$T23*F$34)+('Incremental Rev Req'!$F$81*$T23)</f>
        <v>187.08764840052552</v>
      </c>
      <c r="M54" s="149" t="s">
        <v>239</v>
      </c>
      <c r="N54" s="172">
        <f>IF($S23&gt;$L23,C$31*$L23+C$32*($S23-$L23),$S23*C$31)+('Incremental Rev Req'!$F$81*$S23)</f>
        <v>141.71858379915</v>
      </c>
      <c r="O54" s="172">
        <f>IF($T23&gt;$M23,C$34*$M23+C$35*($T23-$M23),$T23*C$34)+('Incremental Rev Req'!$F$81*$T23)</f>
        <v>153.3973973448</v>
      </c>
      <c r="P54" s="172">
        <f>IF($S23&gt;$L23,D$31*$L23+D$32*($S23-$L23),$S23*D$31)+('Incremental Rev Req'!$F$81*$S23)</f>
        <v>149.27350770254</v>
      </c>
      <c r="Q54" s="172">
        <f>IF($T23&gt;$M23,D$34*$M23+D$35*($T23-$M23),$T23*D$34)+('Incremental Rev Req'!$F$81*$T23)</f>
        <v>161.57491106848002</v>
      </c>
      <c r="R54" s="172">
        <f>IF($S23&gt;$L23,E$31*$L23+E$32*($S23-$L23),$S23*E$31)+('Incremental Rev Req'!$F$81*$S23)</f>
        <v>152.24341134427806</v>
      </c>
      <c r="S54" s="172">
        <f>IF($T23&gt;$M23,E$34*$M23+E$35*($T23-$M23),$T23*E$34)+('Incremental Rev Req'!$F$81*$T23)</f>
        <v>164.78955996486698</v>
      </c>
      <c r="T54" s="172">
        <f>IF($S23&gt;$L23,F$31*$L23+F$32*($S23-$L23),$S23*F$31)+('Incremental Rev Req'!$F$81*$S23)</f>
        <v>164.78240137999751</v>
      </c>
      <c r="U54" s="172">
        <f>IF($T23&gt;$M23,F$34*$M23+F$35*($T23-$M23),$T23*F$34)+('Incremental Rev Req'!$F$81*$T23)</f>
        <v>178.36186915148534</v>
      </c>
    </row>
    <row r="55" spans="2:31">
      <c r="B55" s="149" t="s">
        <v>236</v>
      </c>
      <c r="C55" s="172">
        <f>IF($S24&gt;$I24,C$31*$I24+C$32*($S24-$I24),$S24*C$31)+('Incremental Rev Req'!$F$81*$S24)</f>
        <v>152.97573827984999</v>
      </c>
      <c r="D55" s="172">
        <f>IF($T24&gt;$J24,C$34*$J24+C$35*($T24-$J24),$T24*C$34)+('Incremental Rev Req'!$F$81*$T24)</f>
        <v>91.984139649300005</v>
      </c>
      <c r="E55" s="172">
        <f>IF($S24&gt;$I24,D$31*$I24+D$32*($S24-$I24),$S24*D$31)+('Incremental Rev Req'!$F$81*$S24)</f>
        <v>161.13077363785999</v>
      </c>
      <c r="F55" s="172">
        <f>IF($T24&gt;$J24,D$34*$J24+D$35*($T24-$J24),$T24*D$34)+('Incremental Rev Req'!$F$81*$T24)</f>
        <v>96.88775325268</v>
      </c>
      <c r="G55" s="172">
        <f>IF($S24&gt;$I24,E$31*$I24+E$32*($S24-$I24),$S24*E$31)+('Incremental Rev Req'!$F$81*$S24)</f>
        <v>164.33658610109191</v>
      </c>
      <c r="H55" s="172">
        <f>IF($T24&gt;$J24,E$34*$J24+E$35*($T24-$J24),$T24*E$34)+('Incremental Rev Req'!$F$81*$T24)</f>
        <v>98.815404686974361</v>
      </c>
      <c r="I55" s="172">
        <f>IF($S24&gt;$I24,F$31*$I24+F$32*($S24-$I24),$S24*F$31)+('Incremental Rev Req'!$F$81*$S24)</f>
        <v>177.87158769775178</v>
      </c>
      <c r="J55" s="172">
        <f>IF($T24&gt;$J24,F$34*$J24+F$35*($T24-$J24),$T24*F$34)+('Incremental Rev Req'!$F$81*$T24)</f>
        <v>106.953985948423</v>
      </c>
      <c r="M55" s="149" t="s">
        <v>236</v>
      </c>
      <c r="N55" s="172">
        <f>IF($S24&gt;$L24,C$31*$L24+C$32*($S24-$L24),$S24*C$31)+('Incremental Rev Req'!$F$81*$S24)</f>
        <v>152.97573827984999</v>
      </c>
      <c r="O55" s="172">
        <f>IF($T24&gt;$M24,C$34*$M24+C$35*($T24-$M24),$T24*C$34)+('Incremental Rev Req'!$F$81*$T24)</f>
        <v>91.984139649300005</v>
      </c>
      <c r="P55" s="172">
        <f>IF($S24&gt;$L24,D$31*$L24+D$32*($S24-$L24),$S24*D$31)+('Incremental Rev Req'!$F$81*$S24)</f>
        <v>161.13077363785999</v>
      </c>
      <c r="Q55" s="172">
        <f>IF($T24&gt;$M24,D$34*$M24+D$35*($T24-$M24),$T24*D$34)+('Incremental Rev Req'!$F$81*$T24)</f>
        <v>96.88775325268</v>
      </c>
      <c r="R55" s="172">
        <f>IF($S24&gt;$L24,E$31*$L24+E$32*($S24-$L24),$S24*E$31)+('Incremental Rev Req'!$F$81*$S24)</f>
        <v>164.33658610109191</v>
      </c>
      <c r="S55" s="172">
        <f>IF($T24&gt;$M24,E$34*$M24+E$35*($T24-$M24),$T24*E$34)+('Incremental Rev Req'!$F$81*$T24)</f>
        <v>98.815404686974361</v>
      </c>
      <c r="T55" s="172">
        <f>IF($S24&gt;$L24,F$31*$L24+F$32*($S24-$L24),$S24*F$31)+('Incremental Rev Req'!$F$81*$S24)</f>
        <v>177.87158769775178</v>
      </c>
      <c r="U55" s="172">
        <f>IF($T24&gt;$M24,F$34*$M24+F$35*($T24-$M24),$T24*F$34)+('Incremental Rev Req'!$F$81*$T24)</f>
        <v>106.953985948423</v>
      </c>
    </row>
    <row r="56" spans="2:31">
      <c r="B56" s="152" t="s">
        <v>238</v>
      </c>
      <c r="C56" s="172">
        <f>IF($S25&gt;$I25,C$31*$I25+C$32*($S25-$I25),$S25*C$31)+('Incremental Rev Req'!$F$81*$S25)</f>
        <v>102.4736465336</v>
      </c>
      <c r="D56" s="172">
        <f>IF($T25&gt;$J25,C$34*$J25+C$35*($T25-$J25),$T25*C$34)+('Incremental Rev Req'!$F$81*$T25)</f>
        <v>88.416406995449989</v>
      </c>
      <c r="E56" s="172">
        <f>IF($S25&gt;$I25,D$31*$I25+D$32*($S25-$I25),$S25*D$31)+('Incremental Rev Req'!$F$81*$S25)</f>
        <v>107.9359114952</v>
      </c>
      <c r="F56" s="172">
        <f>IF($T25&gt;$J25,D$34*$J25+D$35*($T25-$J25),$T25*D$34)+('Incremental Rev Req'!$F$81*$T25)</f>
        <v>93.12982713241999</v>
      </c>
      <c r="G56" s="172">
        <f>IF($S25&gt;$I25,E$31*$I25+E$32*($S25-$I25),$S25*E$31)+('Incremental Rev Req'!$F$81*$S25)</f>
        <v>110.08339022646432</v>
      </c>
      <c r="H56" s="172">
        <f>IF($T25&gt;$J25,E$34*$J25+E$35*($T25-$J25),$T25*E$34)+('Incremental Rev Req'!$F$81*$T25)</f>
        <v>94.982711927665562</v>
      </c>
      <c r="I56" s="172">
        <f>IF($S25&gt;$I25,F$31*$I25+F$32*($S25-$I25),$S25*F$31)+('Incremental Rev Req'!$F$81*$S25)</f>
        <v>119.1500865444245</v>
      </c>
      <c r="J56" s="172">
        <f>IF($T25&gt;$J25,F$34*$J25+F$35*($T25-$J25),$T25*F$34)+('Incremental Rev Req'!$F$81*$T25)</f>
        <v>102.80562700760522</v>
      </c>
      <c r="M56" s="152" t="s">
        <v>238</v>
      </c>
      <c r="N56" s="172">
        <f>IF($S25&gt;$L25,C$31*$L25+C$32*($S25-$L25),$S25*C$31)+('Incremental Rev Req'!$F$81*$S25)</f>
        <v>106.89884653360001</v>
      </c>
      <c r="O56" s="172">
        <f>IF($T25&gt;$M25,C$34*$M25+C$35*($T25-$M25),$T25*C$34)+('Incremental Rev Req'!$F$81*$T25)</f>
        <v>88.416406995449989</v>
      </c>
      <c r="P56" s="172">
        <f>IF($S25&gt;$L25,D$31*$L25+D$32*($S25-$L25),$S25*D$31)+('Incremental Rev Req'!$F$81*$S25)</f>
        <v>112.5853614952</v>
      </c>
      <c r="Q56" s="172">
        <f>IF($T25&gt;$M25,D$34*$M25+D$35*($T25-$M25),$T25*D$34)+('Incremental Rev Req'!$F$81*$T25)</f>
        <v>93.12982713241999</v>
      </c>
      <c r="R56" s="172">
        <f>IF($S25&gt;$L25,E$31*$L25+E$32*($S25-$L25),$S25*E$31)+('Incremental Rev Req'!$F$81*$S25)</f>
        <v>114.82569693129912</v>
      </c>
      <c r="S56" s="172">
        <f>IF($T25&gt;$M25,E$34*$M25+E$35*($T25-$M25),$T25*E$34)+('Incremental Rev Req'!$F$81*$T25)</f>
        <v>94.982711927665562</v>
      </c>
      <c r="T56" s="172">
        <f>IF($S25&gt;$L25,F$31*$L25+F$32*($S25-$L25),$S25*F$31)+('Incremental Rev Req'!$F$81*$S25)</f>
        <v>124.28443603486019</v>
      </c>
      <c r="U56" s="172">
        <f>IF($T25&gt;$M25,F$34*$M25+F$35*($T25-$M25),$T25*F$34)+('Incremental Rev Req'!$F$81*$T25)</f>
        <v>102.80562700760522</v>
      </c>
    </row>
    <row r="57" spans="2:31">
      <c r="B57" s="6" t="s">
        <v>116</v>
      </c>
      <c r="C57" s="170">
        <f>SUMPRODUCT(C53:C56,$V$22:$V$25)</f>
        <v>90.952099700496063</v>
      </c>
      <c r="D57" s="170">
        <f t="shared" ref="D57:J57" si="12">SUMPRODUCT(D53:D56,$V$22:$V$25)</f>
        <v>83.155720699853831</v>
      </c>
      <c r="E57" s="170">
        <f t="shared" si="12"/>
        <v>95.800386647314838</v>
      </c>
      <c r="F57" s="170">
        <f t="shared" si="12"/>
        <v>87.588538706556022</v>
      </c>
      <c r="G57" s="170">
        <f t="shared" si="12"/>
        <v>97.706413498346691</v>
      </c>
      <c r="H57" s="170">
        <f t="shared" si="12"/>
        <v>89.331180381410263</v>
      </c>
      <c r="I57" s="170">
        <f t="shared" si="12"/>
        <v>105.75369535524754</v>
      </c>
      <c r="J57" s="170">
        <f t="shared" si="12"/>
        <v>96.688646896397756</v>
      </c>
      <c r="M57" s="6" t="s">
        <v>116</v>
      </c>
      <c r="N57" s="170">
        <f>SUMPRODUCT(N53:N56,$V$22:$V$25)</f>
        <v>95.901640945367433</v>
      </c>
      <c r="O57" s="170">
        <f t="shared" ref="O57:U57" si="13">SUMPRODUCT(O53:O56,$V$22:$V$25)</f>
        <v>83.095566549446175</v>
      </c>
      <c r="P57" s="170">
        <f t="shared" si="13"/>
        <v>101.00074923905467</v>
      </c>
      <c r="Q57" s="170">
        <f t="shared" si="13"/>
        <v>87.525336203931744</v>
      </c>
      <c r="R57" s="170">
        <f t="shared" si="13"/>
        <v>103.01063537112302</v>
      </c>
      <c r="S57" s="170">
        <f t="shared" si="13"/>
        <v>89.266715627093646</v>
      </c>
      <c r="T57" s="170">
        <f t="shared" si="13"/>
        <v>111.49641310099817</v>
      </c>
      <c r="U57" s="170">
        <f t="shared" si="13"/>
        <v>96.618852891269569</v>
      </c>
    </row>
    <row r="58" spans="2:31">
      <c r="B58" s="7"/>
      <c r="C58" s="151"/>
      <c r="D58" s="151"/>
      <c r="E58" s="171"/>
      <c r="F58" s="151"/>
      <c r="G58" s="155"/>
      <c r="H58" s="155"/>
      <c r="I58" s="155"/>
      <c r="J58" s="155"/>
      <c r="M58" s="7"/>
      <c r="N58" s="151"/>
      <c r="O58" s="151"/>
      <c r="P58" s="171"/>
      <c r="Q58" s="151"/>
      <c r="R58" s="155"/>
      <c r="S58" s="155"/>
      <c r="T58" s="155"/>
      <c r="U58" s="155"/>
    </row>
    <row r="59" spans="2:31">
      <c r="B59" s="7"/>
      <c r="C59" s="8"/>
      <c r="D59" s="8"/>
      <c r="E59" s="9"/>
      <c r="G59" s="155"/>
      <c r="H59" s="155"/>
      <c r="I59" s="155"/>
      <c r="M59" s="7"/>
      <c r="N59" s="8"/>
      <c r="O59" s="8"/>
      <c r="P59" s="9"/>
      <c r="R59" s="155"/>
      <c r="S59" s="155"/>
      <c r="T59" s="155"/>
    </row>
    <row r="60" spans="2:31">
      <c r="B60" s="7"/>
      <c r="C60" s="541" t="s">
        <v>307</v>
      </c>
      <c r="D60" s="541"/>
      <c r="E60" s="541"/>
      <c r="F60" s="541"/>
      <c r="G60" s="541"/>
      <c r="H60" s="541"/>
      <c r="I60" s="541"/>
      <c r="J60" s="541"/>
      <c r="M60" s="7"/>
      <c r="N60" s="541" t="s">
        <v>296</v>
      </c>
      <c r="O60" s="541"/>
      <c r="P60" s="541"/>
      <c r="Q60" s="541"/>
      <c r="R60" s="541"/>
      <c r="S60" s="541"/>
      <c r="T60" s="541"/>
      <c r="U60" s="541"/>
    </row>
    <row r="61" spans="2:31">
      <c r="B61" s="7"/>
      <c r="C61" s="542" t="str">
        <f>C51</f>
        <v>1/1/2024</v>
      </c>
      <c r="D61" s="542"/>
      <c r="E61" s="543" t="str">
        <f>E51</f>
        <v>3/1/2024</v>
      </c>
      <c r="F61" s="542"/>
      <c r="G61" s="542" t="str">
        <f>G51</f>
        <v>Authorized</v>
      </c>
      <c r="H61" s="542"/>
      <c r="I61" s="543" t="str">
        <f>I51</f>
        <v>w/Pending</v>
      </c>
      <c r="J61" s="542"/>
      <c r="M61" s="7"/>
      <c r="N61" s="542" t="str">
        <f>N51</f>
        <v>1/1/2024</v>
      </c>
      <c r="O61" s="542"/>
      <c r="P61" s="543" t="str">
        <f>P51</f>
        <v>3/1/2024</v>
      </c>
      <c r="Q61" s="542"/>
      <c r="R61" s="542" t="str">
        <f>R51</f>
        <v>Authorized</v>
      </c>
      <c r="S61" s="542"/>
      <c r="T61" s="543" t="str">
        <f>T51</f>
        <v>w/Pending</v>
      </c>
      <c r="U61" s="542"/>
    </row>
    <row r="62" spans="2:31">
      <c r="B62" s="7"/>
      <c r="C62" s="8" t="s">
        <v>205</v>
      </c>
      <c r="D62" s="8" t="s">
        <v>206</v>
      </c>
      <c r="E62" s="8" t="s">
        <v>205</v>
      </c>
      <c r="F62" s="8" t="s">
        <v>206</v>
      </c>
      <c r="G62" s="8" t="s">
        <v>205</v>
      </c>
      <c r="H62" s="8" t="s">
        <v>206</v>
      </c>
      <c r="I62" s="8" t="s">
        <v>205</v>
      </c>
      <c r="J62" s="8" t="s">
        <v>206</v>
      </c>
      <c r="M62" s="7"/>
      <c r="N62" s="8" t="s">
        <v>205</v>
      </c>
      <c r="O62" s="8" t="s">
        <v>206</v>
      </c>
      <c r="P62" s="8" t="s">
        <v>205</v>
      </c>
      <c r="Q62" s="8" t="s">
        <v>206</v>
      </c>
      <c r="R62" s="8" t="s">
        <v>205</v>
      </c>
      <c r="S62" s="8" t="s">
        <v>206</v>
      </c>
      <c r="T62" s="8" t="s">
        <v>205</v>
      </c>
      <c r="U62" s="8" t="s">
        <v>206</v>
      </c>
    </row>
    <row r="63" spans="2:31" ht="15" customHeight="1">
      <c r="B63" s="146" t="s">
        <v>237</v>
      </c>
      <c r="C63" s="172">
        <f>($C$22*$I31)+('Incremental Rev Req'!$F$81*$I31)</f>
        <v>103.90882757177478</v>
      </c>
      <c r="D63" s="172">
        <f>($C$25*$J31)+('Incremental Rev Req'!$F$81*$J31)</f>
        <v>106.21791262892533</v>
      </c>
      <c r="E63" s="172">
        <f>($D$22*$I31)+('Incremental Rev Req'!$F$81*$I31)</f>
        <v>109.45037251338314</v>
      </c>
      <c r="F63" s="172">
        <f>($D$25*$J31)+('Incremental Rev Req'!$F$81*$J31)</f>
        <v>111.88260301368055</v>
      </c>
      <c r="G63" s="172">
        <f>($E$22*$I31)+('Incremental Rev Req'!$F$81*$I31)</f>
        <v>111.63087335202603</v>
      </c>
      <c r="H63" s="172">
        <f>($E$25*$J31)+('Incremental Rev Req'!$F$81*$J31)</f>
        <v>114.1115594265155</v>
      </c>
      <c r="I63" s="172">
        <f>($F$22*$I31)+('Incremental Rev Req'!$F$81*$I31)</f>
        <v>120.8369896395634</v>
      </c>
      <c r="J63" s="172">
        <f>($F$25*$J31)+('Incremental Rev Req'!$F$81*$J31)</f>
        <v>123.52225607599814</v>
      </c>
      <c r="M63" s="146" t="s">
        <v>237</v>
      </c>
      <c r="N63" s="172">
        <f>($C$22*$L31)+('Incremental Rev Req'!$F$81*$L31)</f>
        <v>69.657399224041612</v>
      </c>
      <c r="O63" s="172">
        <f>($C$25*$M31)+('Incremental Rev Req'!$F$81*$M31)</f>
        <v>101.59974251462423</v>
      </c>
      <c r="P63" s="172">
        <f>($D$22*$L31)+('Incremental Rev Req'!$F$81*$L31)</f>
        <v>73.372286758971669</v>
      </c>
      <c r="Q63" s="172">
        <f>($D$25*$M31)+('Incremental Rev Req'!$F$81*$M31)</f>
        <v>107.01814201308574</v>
      </c>
      <c r="R63" s="172">
        <f>($E$22*$L31)+('Incremental Rev Req'!$F$81*$L31)</f>
        <v>74.834029913765605</v>
      </c>
      <c r="S63" s="172">
        <f>($E$25*$M31)+('Incremental Rev Req'!$F$81*$M31)</f>
        <v>109.15018727753657</v>
      </c>
      <c r="T63" s="172">
        <f>($F$22*$L31)+('Incremental Rev Req'!$F$81*$L31)</f>
        <v>81.005537499114723</v>
      </c>
      <c r="U63" s="172">
        <f>($F$25*$M31)+('Incremental Rev Req'!$F$81*$M31)</f>
        <v>118.15172320312865</v>
      </c>
    </row>
    <row r="64" spans="2:31" ht="15" customHeight="1">
      <c r="B64" s="149" t="s">
        <v>239</v>
      </c>
      <c r="C64" s="172">
        <f>($C$22*$I32)+('Incremental Rev Req'!$F$81*$I32)</f>
        <v>157.01778388623742</v>
      </c>
      <c r="D64" s="172">
        <f>($C$25*$J32)+('Incremental Rev Req'!$F$81*$J32)</f>
        <v>148.93598618621053</v>
      </c>
      <c r="E64" s="172">
        <f>($D$22*$I32)+('Incremental Rev Req'!$F$81*$I32)</f>
        <v>165.39167402022341</v>
      </c>
      <c r="F64" s="172">
        <f>($D$25*$J32)+('Incremental Rev Req'!$F$81*$J32)</f>
        <v>156.87886726918251</v>
      </c>
      <c r="G64" s="172">
        <f>($E$22*$I32)+('Incremental Rev Req'!$F$81*$I32)</f>
        <v>168.68665306528379</v>
      </c>
      <c r="H64" s="172">
        <f>($E$25*$J32)+('Incremental Rev Req'!$F$81*$J32)</f>
        <v>160.00425180457066</v>
      </c>
      <c r="I64" s="172">
        <f>($F$22*$I32)+('Incremental Rev Req'!$F$81*$I32)</f>
        <v>182.59811767756247</v>
      </c>
      <c r="J64" s="172">
        <f>($F$25*$J32)+('Incremental Rev Req'!$F$81*$J32)</f>
        <v>173.19968515004086</v>
      </c>
      <c r="M64" s="149" t="s">
        <v>239</v>
      </c>
      <c r="N64" s="172">
        <f>($C$22*$L32)+('Incremental Rev Req'!$F$81*$L32)</f>
        <v>175.49046434344183</v>
      </c>
      <c r="O64" s="172">
        <f>($C$25*$M32)+('Incremental Rev Req'!$F$81*$M32)</f>
        <v>255.53874632466093</v>
      </c>
      <c r="P64" s="172">
        <f>($D$22*$L32)+('Incremental Rev Req'!$F$81*$L32)</f>
        <v>184.84951802260264</v>
      </c>
      <c r="Q64" s="172">
        <f>($D$25*$M32)+('Incremental Rev Req'!$F$81*$M32)</f>
        <v>269.1668420329126</v>
      </c>
      <c r="R64" s="172">
        <f>($E$22*$L32)+('Incremental Rev Req'!$F$81*$L32)</f>
        <v>188.53214166119952</v>
      </c>
      <c r="S64" s="172">
        <f>($E$25*$M32)+('Incremental Rev Req'!$F$81*$M32)</f>
        <v>274.52925891016775</v>
      </c>
      <c r="T64" s="172">
        <f>($F$22*$L32)+('Incremental Rev Req'!$F$81*$L32)</f>
        <v>204.0802491690404</v>
      </c>
      <c r="U64" s="172">
        <f>($F$25*$M32)+('Incremental Rev Req'!$F$81*$M32)</f>
        <v>297.16948563211145</v>
      </c>
    </row>
    <row r="65" spans="2:31">
      <c r="B65" s="149" t="s">
        <v>236</v>
      </c>
      <c r="C65" s="172">
        <f>($C$22*$I33)+('Incremental Rev Req'!$F$81*$I33)</f>
        <v>183.57226204346878</v>
      </c>
      <c r="D65" s="172">
        <f>($C$25*$J33)+('Incremental Rev Req'!$F$81*$J33)</f>
        <v>125.84513561470501</v>
      </c>
      <c r="E65" s="172">
        <f>($D$22*$I33)+('Incremental Rev Req'!$F$81*$I33)</f>
        <v>193.36232477364356</v>
      </c>
      <c r="F65" s="172">
        <f>($D$25*$J33)+('Incremental Rev Req'!$F$81*$J33)</f>
        <v>132.55656226620849</v>
      </c>
      <c r="G65" s="172">
        <f>($E$22*$I33)+('Incremental Rev Req'!$F$81*$I33)</f>
        <v>197.21454292191268</v>
      </c>
      <c r="H65" s="172">
        <f>($E$25*$J33)+('Incremental Rev Req'!$F$81*$J33)</f>
        <v>135.19739105967597</v>
      </c>
      <c r="I65" s="172">
        <f>($F$22*$I33)+('Incremental Rev Req'!$F$81*$I33)</f>
        <v>213.47868169656201</v>
      </c>
      <c r="J65" s="172">
        <f>($F$25*$J33)+('Incremental Rev Req'!$F$81*$J33)</f>
        <v>146.34702078569345</v>
      </c>
      <c r="M65" s="149" t="s">
        <v>236</v>
      </c>
      <c r="N65" s="172">
        <f>($C$22*$L33)+('Incremental Rev Req'!$F$81*$L33)</f>
        <v>195.8873823482717</v>
      </c>
      <c r="O65" s="172">
        <f>($C$25*$M33)+('Incremental Rev Req'!$F$81*$M33)</f>
        <v>197.42677238637208</v>
      </c>
      <c r="P65" s="172">
        <f>($D$22*$L33)+('Incremental Rev Req'!$F$81*$L33)</f>
        <v>206.33422077522971</v>
      </c>
      <c r="Q65" s="172">
        <f>($D$25*$M33)+('Incremental Rev Req'!$F$81*$M33)</f>
        <v>207.95570777542798</v>
      </c>
      <c r="R65" s="172">
        <f>($E$22*$L33)+('Incremental Rev Req'!$F$81*$L33)</f>
        <v>210.44486865252316</v>
      </c>
      <c r="S65" s="172">
        <f>($E$25*$M33)+('Incremental Rev Req'!$F$81*$M33)</f>
        <v>212.09865936884947</v>
      </c>
      <c r="T65" s="172">
        <f>($F$22*$L33)+('Incremental Rev Req'!$F$81*$L33)</f>
        <v>227.80010269088064</v>
      </c>
      <c r="U65" s="172">
        <f>($F$25*$M33)+('Incremental Rev Req'!$F$81*$M33)</f>
        <v>229.59028031517047</v>
      </c>
    </row>
    <row r="66" spans="2:31" s="10" customFormat="1" ht="18" customHeight="1">
      <c r="B66" s="152" t="s">
        <v>238</v>
      </c>
      <c r="C66" s="172">
        <f>($C$22*$I34)+('Incremental Rev Req'!$F$81*$I34)</f>
        <v>120.07242297182863</v>
      </c>
      <c r="D66" s="172">
        <f>($C$25*$J34)+('Incremental Rev Req'!$F$81*$J34)</f>
        <v>110.83608274322643</v>
      </c>
      <c r="E66" s="172">
        <f>($D$22*$I34)+('Incremental Rev Req'!$F$81*$I34)</f>
        <v>126.47598601546497</v>
      </c>
      <c r="F66" s="172">
        <f>($D$25*$J34)+('Incremental Rev Req'!$F$81*$J34)</f>
        <v>116.74706401427535</v>
      </c>
      <c r="G66" s="172">
        <f>($E$22*$I34)+('Incremental Rev Req'!$F$81*$I34)</f>
        <v>128.99567587345231</v>
      </c>
      <c r="H66" s="172">
        <f>($E$25*$J34)+('Incremental Rev Req'!$F$81*$J34)</f>
        <v>119.07293157549444</v>
      </c>
      <c r="I66" s="172">
        <f>($F$22*$I34)+('Incremental Rev Req'!$F$81*$I34)</f>
        <v>139.63385469460661</v>
      </c>
      <c r="J66" s="172">
        <f>($F$25*$J34)+('Incremental Rev Req'!$F$81*$J34)</f>
        <v>128.89278894886763</v>
      </c>
      <c r="M66" s="152" t="s">
        <v>238</v>
      </c>
      <c r="N66" s="172">
        <f>($C$22*$L34)+('Incremental Rev Req'!$F$81*$L34)</f>
        <v>100.83004749557405</v>
      </c>
      <c r="O66" s="172">
        <f>($C$25*$M34)+('Incremental Rev Req'!$F$81*$M34)</f>
        <v>140.46934097665851</v>
      </c>
      <c r="P66" s="172">
        <f>($D$22*$L34)+('Incremental Rev Req'!$F$81*$L34)</f>
        <v>106.20739851298661</v>
      </c>
      <c r="Q66" s="172">
        <f>($D$25*$M34)+('Incremental Rev Req'!$F$81*$M34)</f>
        <v>147.96068876809204</v>
      </c>
      <c r="R66" s="172">
        <f>($E$22*$L34)+('Incremental Rev Req'!$F$81*$L34)</f>
        <v>108.32329191937342</v>
      </c>
      <c r="S66" s="172">
        <f>($E$25*$M34)+('Incremental Rev Req'!$F$81*$M34)</f>
        <v>150.90840286477595</v>
      </c>
      <c r="T66" s="172">
        <f>($F$22*$L34)+('Incremental Rev Req'!$F$81*$L34)</f>
        <v>117.25663439098375</v>
      </c>
      <c r="U66" s="172">
        <f>($F$25*$M34)+('Incremental Rev Req'!$F$81*$M34)</f>
        <v>163.35370821644682</v>
      </c>
      <c r="X66" s="6"/>
      <c r="Y66" s="6"/>
      <c r="Z66" s="6"/>
      <c r="AA66" s="6"/>
      <c r="AB66" s="6"/>
      <c r="AC66" s="6"/>
      <c r="AD66" s="6"/>
      <c r="AE66" s="6"/>
    </row>
    <row r="67" spans="2:31">
      <c r="B67" s="6" t="s">
        <v>116</v>
      </c>
      <c r="C67" s="170">
        <f t="shared" ref="C67:J67" si="14">SUMPRODUCT(C63:C66,$U$22:$U$25)</f>
        <v>110.83395693903046</v>
      </c>
      <c r="D67" s="170">
        <f t="shared" si="14"/>
        <v>108.43073033856513</v>
      </c>
      <c r="E67" s="170">
        <f t="shared" si="14"/>
        <v>116.7448248391583</v>
      </c>
      <c r="F67" s="170">
        <f t="shared" si="14"/>
        <v>114.21343214806754</v>
      </c>
      <c r="G67" s="170">
        <f t="shared" si="14"/>
        <v>119.07064779090636</v>
      </c>
      <c r="H67" s="170">
        <f t="shared" si="14"/>
        <v>116.48882398880971</v>
      </c>
      <c r="I67" s="170">
        <f t="shared" si="14"/>
        <v>128.89031682223884</v>
      </c>
      <c r="J67" s="170">
        <f t="shared" si="14"/>
        <v>126.09557190394635</v>
      </c>
      <c r="M67" s="6" t="s">
        <v>116</v>
      </c>
      <c r="N67" s="170">
        <f t="shared" ref="N67:U67" si="15">SUMPRODUCT(N63:N66,$U$22:$U$25)</f>
        <v>83.009873737501962</v>
      </c>
      <c r="O67" s="170">
        <f t="shared" si="15"/>
        <v>118.3657586275406</v>
      </c>
      <c r="P67" s="170">
        <f t="shared" si="15"/>
        <v>87.436859939380312</v>
      </c>
      <c r="Q67" s="170">
        <f t="shared" si="15"/>
        <v>124.6783038300067</v>
      </c>
      <c r="R67" s="170">
        <f t="shared" si="15"/>
        <v>89.178801442620113</v>
      </c>
      <c r="S67" s="170">
        <f t="shared" si="15"/>
        <v>127.16217976225775</v>
      </c>
      <c r="T67" s="170">
        <f t="shared" si="15"/>
        <v>96.533311819646258</v>
      </c>
      <c r="U67" s="170">
        <f t="shared" si="15"/>
        <v>137.64915150327769</v>
      </c>
      <c r="X67" s="10"/>
      <c r="Y67" s="10"/>
      <c r="Z67" s="10"/>
      <c r="AA67" s="10"/>
    </row>
    <row r="68" spans="2:31">
      <c r="B68" s="7"/>
      <c r="C68" s="151"/>
      <c r="D68" s="151"/>
      <c r="E68" s="171"/>
      <c r="F68" s="154"/>
      <c r="G68" s="155"/>
      <c r="H68" s="155"/>
      <c r="I68" s="155"/>
      <c r="J68" s="155"/>
      <c r="M68" s="7"/>
      <c r="N68" s="151"/>
      <c r="O68" s="151"/>
      <c r="P68" s="171"/>
      <c r="Q68" s="154"/>
      <c r="R68" s="155"/>
      <c r="S68" s="155"/>
      <c r="T68" s="155"/>
      <c r="U68" s="155"/>
    </row>
    <row r="69" spans="2:31">
      <c r="B69" s="7"/>
      <c r="C69" s="151"/>
      <c r="D69" s="151"/>
      <c r="E69" s="171"/>
      <c r="F69" s="151"/>
      <c r="G69" s="155"/>
      <c r="H69" s="155"/>
      <c r="I69" s="155"/>
      <c r="J69" s="155"/>
      <c r="M69" s="7"/>
      <c r="N69" s="151"/>
      <c r="O69" s="151"/>
      <c r="P69" s="171"/>
      <c r="Q69" s="151"/>
      <c r="R69" s="155"/>
      <c r="S69" s="155"/>
      <c r="T69" s="155"/>
      <c r="U69" s="155"/>
    </row>
    <row r="70" spans="2:31">
      <c r="B70" s="7"/>
      <c r="C70" s="541" t="s">
        <v>308</v>
      </c>
      <c r="D70" s="541"/>
      <c r="E70" s="541"/>
      <c r="F70" s="541"/>
      <c r="G70" s="541"/>
      <c r="H70" s="541"/>
      <c r="I70" s="541"/>
      <c r="J70" s="541"/>
      <c r="M70" s="7"/>
      <c r="N70" s="541" t="s">
        <v>297</v>
      </c>
      <c r="O70" s="541"/>
      <c r="P70" s="541"/>
      <c r="Q70" s="541"/>
      <c r="R70" s="541"/>
      <c r="S70" s="541"/>
      <c r="T70" s="541"/>
      <c r="U70" s="541"/>
      <c r="AD70" s="10"/>
      <c r="AE70" s="10"/>
    </row>
    <row r="71" spans="2:31">
      <c r="B71" s="7"/>
      <c r="C71" s="544" t="str">
        <f>C61</f>
        <v>1/1/2024</v>
      </c>
      <c r="D71" s="544"/>
      <c r="E71" s="545" t="str">
        <f>E61</f>
        <v>3/1/2024</v>
      </c>
      <c r="F71" s="544"/>
      <c r="G71" s="544" t="str">
        <f>G61</f>
        <v>Authorized</v>
      </c>
      <c r="H71" s="544"/>
      <c r="I71" s="545" t="str">
        <f>I61</f>
        <v>w/Pending</v>
      </c>
      <c r="J71" s="544"/>
      <c r="M71" s="7"/>
      <c r="N71" s="544" t="str">
        <f>N61</f>
        <v>1/1/2024</v>
      </c>
      <c r="O71" s="544"/>
      <c r="P71" s="545" t="str">
        <f>P61</f>
        <v>3/1/2024</v>
      </c>
      <c r="Q71" s="544"/>
      <c r="R71" s="544" t="str">
        <f>R61</f>
        <v>Authorized</v>
      </c>
      <c r="S71" s="544"/>
      <c r="T71" s="545" t="str">
        <f>T61</f>
        <v>w/Pending</v>
      </c>
      <c r="U71" s="544"/>
      <c r="AB71" s="10"/>
      <c r="AC71" s="10"/>
    </row>
    <row r="72" spans="2:31">
      <c r="B72" s="7"/>
      <c r="C72" s="151" t="s">
        <v>205</v>
      </c>
      <c r="D72" s="151" t="s">
        <v>206</v>
      </c>
      <c r="E72" s="151" t="s">
        <v>205</v>
      </c>
      <c r="F72" s="151" t="s">
        <v>206</v>
      </c>
      <c r="G72" s="151" t="s">
        <v>205</v>
      </c>
      <c r="H72" s="151" t="s">
        <v>206</v>
      </c>
      <c r="I72" s="151" t="s">
        <v>205</v>
      </c>
      <c r="J72" s="151" t="s">
        <v>206</v>
      </c>
      <c r="M72" s="7"/>
      <c r="N72" s="151" t="s">
        <v>205</v>
      </c>
      <c r="O72" s="151" t="s">
        <v>206</v>
      </c>
      <c r="P72" s="151" t="s">
        <v>205</v>
      </c>
      <c r="Q72" s="151" t="s">
        <v>206</v>
      </c>
      <c r="R72" s="151" t="s">
        <v>205</v>
      </c>
      <c r="S72" s="151" t="s">
        <v>206</v>
      </c>
      <c r="T72" s="151" t="s">
        <v>205</v>
      </c>
      <c r="U72" s="151" t="s">
        <v>206</v>
      </c>
    </row>
    <row r="73" spans="2:31">
      <c r="B73" s="146" t="s">
        <v>237</v>
      </c>
      <c r="C73" s="172">
        <f>($C$31*$I31)+('Incremental Rev Req'!$F$81*$I31)</f>
        <v>67.513499999999993</v>
      </c>
      <c r="D73" s="172">
        <f>($C$34*$J31)+('Incremental Rev Req'!$F$81*$J31)</f>
        <v>69.013799999999989</v>
      </c>
      <c r="E73" s="172">
        <f>($D$31*$I31)+('Incremental Rev Req'!$F$81*$I31)</f>
        <v>71.1126</v>
      </c>
      <c r="F73" s="172">
        <f>($D$34*$J31)+('Incremental Rev Req'!$F$81*$J31)</f>
        <v>72.692880000000002</v>
      </c>
      <c r="G73" s="172">
        <f>($E$31*$I31)+('Incremental Rev Req'!$F$81*$I31)</f>
        <v>72.527436249003529</v>
      </c>
      <c r="H73" s="172">
        <f>($E$34*$J31)+('Incremental Rev Req'!$F$81*$J31)</f>
        <v>74.139157054536938</v>
      </c>
      <c r="I73" s="172">
        <f>($F$31*$I31)+('Incremental Rev Req'!$F$81*$I31)</f>
        <v>78.500901980049193</v>
      </c>
      <c r="J73" s="172">
        <f>($F$34*$J31)+('Incremental Rev Req'!$F$81*$J31)</f>
        <v>80.245366468494737</v>
      </c>
      <c r="M73" s="146" t="s">
        <v>237</v>
      </c>
      <c r="N73" s="172">
        <f>($C$31*$L31)+('Incremental Rev Req'!$F$81*$L31)</f>
        <v>45.259049999999995</v>
      </c>
      <c r="O73" s="172">
        <f>($C$34*$M31)+('Incremental Rev Req'!$F$81*$M31)</f>
        <v>66.013199999999998</v>
      </c>
      <c r="P73" s="172">
        <f>($D$31*$L31)+('Incremental Rev Req'!$F$81*$L31)</f>
        <v>47.671779999999998</v>
      </c>
      <c r="Q73" s="172">
        <f>($D$34*$M31)+('Incremental Rev Req'!$F$81*$M31)</f>
        <v>69.532319999999999</v>
      </c>
      <c r="R73" s="172">
        <f>($E$31*$L31)+('Incremental Rev Req'!$F$81*$L31)</f>
        <v>48.620244300257923</v>
      </c>
      <c r="S73" s="172">
        <f>($E$34*$M31)+('Incremental Rev Req'!$F$81*$M31)</f>
        <v>70.91571544347012</v>
      </c>
      <c r="T73" s="172">
        <f>($F$31*$L31)+('Incremental Rev Req'!$F$81*$L31)</f>
        <v>52.624678734773717</v>
      </c>
      <c r="U73" s="172">
        <f>($F$34*$M31)+('Incremental Rev Req'!$F$81*$M31)</f>
        <v>76.756437491603648</v>
      </c>
    </row>
    <row r="74" spans="2:31">
      <c r="B74" s="149" t="s">
        <v>239</v>
      </c>
      <c r="C74" s="172">
        <f>($C$31*$I32)+('Incremental Rev Req'!$F$81*$I32)</f>
        <v>102.0204</v>
      </c>
      <c r="D74" s="172">
        <f>($C$34*$J32)+('Incremental Rev Req'!$F$81*$J32)</f>
        <v>96.769350000000003</v>
      </c>
      <c r="E74" s="172">
        <f>($D$31*$I32)+('Incremental Rev Req'!$F$81*$I32)</f>
        <v>107.45904</v>
      </c>
      <c r="F74" s="172">
        <f>($D$34*$J32)+('Incremental Rev Req'!$F$81*$J32)</f>
        <v>101.92806</v>
      </c>
      <c r="G74" s="172">
        <f>($E$31*$I32)+('Incremental Rev Req'!$F$81*$I32)</f>
        <v>109.597014776272</v>
      </c>
      <c r="H74" s="172">
        <f>($E$34*$J32)+('Incremental Rev Req'!$F$81*$J32)</f>
        <v>103.95599195690507</v>
      </c>
      <c r="I74" s="172">
        <f>($F$31*$I32)+('Incremental Rev Req'!$F$81*$I32)</f>
        <v>118.62358521429657</v>
      </c>
      <c r="J74" s="172">
        <f>($F$34*$J32)+('Incremental Rev Req'!$F$81*$J32)</f>
        <v>112.51795950473718</v>
      </c>
      <c r="M74" s="149" t="s">
        <v>239</v>
      </c>
      <c r="N74" s="172">
        <f>($C$31*$L32)+('Incremental Rev Req'!$F$81*$L32)</f>
        <v>114.0228</v>
      </c>
      <c r="O74" s="172">
        <f>($C$34*$M32)+('Incremental Rev Req'!$F$81*$M32)</f>
        <v>166.03319999999999</v>
      </c>
      <c r="P74" s="172">
        <f>($D$31*$L32)+('Incremental Rev Req'!$F$81*$L32)</f>
        <v>120.10128</v>
      </c>
      <c r="Q74" s="172">
        <f>($D$34*$M32)+('Incremental Rev Req'!$F$81*$M32)</f>
        <v>174.88432</v>
      </c>
      <c r="R74" s="172">
        <f>($E$31*$L32)+('Incremental Rev Req'!$F$81*$L32)</f>
        <v>122.4907812205393</v>
      </c>
      <c r="S74" s="172">
        <f>($E$34*$M32)+('Incremental Rev Req'!$F$81*$M32)</f>
        <v>178.36376914569755</v>
      </c>
      <c r="T74" s="172">
        <f>($F$31*$L32)+('Incremental Rev Req'!$F$81*$L32)</f>
        <v>132.57930112186085</v>
      </c>
      <c r="U74" s="172">
        <f>($F$34*$M32)+('Incremental Rev Req'!$F$81*$M32)</f>
        <v>193.05407005463948</v>
      </c>
    </row>
    <row r="75" spans="2:31">
      <c r="B75" s="149" t="s">
        <v>236</v>
      </c>
      <c r="C75" s="172">
        <f>($C$31*$I33)+('Incremental Rev Req'!$F$81*$I33)</f>
        <v>119.27385</v>
      </c>
      <c r="D75" s="172">
        <f>($C$34*$J33)+('Incremental Rev Req'!$F$81*$J33)</f>
        <v>81.766350000000003</v>
      </c>
      <c r="E75" s="172">
        <f>($D$31*$I33)+('Incremental Rev Req'!$F$81*$I33)</f>
        <v>125.63226</v>
      </c>
      <c r="F75" s="172">
        <f>($D$34*$J33)+('Incremental Rev Req'!$F$81*$J33)</f>
        <v>86.125259999999997</v>
      </c>
      <c r="G75" s="172">
        <f>($E$31*$I33)+('Incremental Rev Req'!$F$81*$I33)</f>
        <v>128.13180403990623</v>
      </c>
      <c r="H75" s="172">
        <f>($E$34*$J33)+('Incremental Rev Req'!$F$81*$J33)</f>
        <v>87.838783901570935</v>
      </c>
      <c r="I75" s="172">
        <f>($F$31*$I33)+('Incremental Rev Req'!$F$81*$I33)</f>
        <v>138.68492683142026</v>
      </c>
      <c r="J75" s="172">
        <f>($F$34*$J33)+('Incremental Rev Req'!$F$81*$J33)</f>
        <v>95.073314620281806</v>
      </c>
      <c r="M75" s="149" t="s">
        <v>236</v>
      </c>
      <c r="N75" s="172">
        <f>($C$31*$L33)+('Incremental Rev Req'!$F$81*$L33)</f>
        <v>127.27544999999999</v>
      </c>
      <c r="O75" s="172">
        <f>($C$34*$M33)+('Incremental Rev Req'!$F$81*$M33)</f>
        <v>128.27564999999998</v>
      </c>
      <c r="P75" s="172">
        <f>($D$31*$L33)+('Incremental Rev Req'!$F$81*$L33)</f>
        <v>134.06041999999999</v>
      </c>
      <c r="Q75" s="172">
        <f>($D$34*$M33)+('Incremental Rev Req'!$F$81*$M33)</f>
        <v>135.11394000000001</v>
      </c>
      <c r="R75" s="172">
        <f>($E$31*$L33)+('Incremental Rev Req'!$F$81*$L33)</f>
        <v>136.72764833608443</v>
      </c>
      <c r="S75" s="172">
        <f>($E$34*$M33)+('Incremental Rev Req'!$F$81*$M33)</f>
        <v>137.80212887310671</v>
      </c>
      <c r="T75" s="172">
        <f>($F$31*$L33)+('Incremental Rev Req'!$F$81*$L33)</f>
        <v>147.98873743646311</v>
      </c>
      <c r="U75" s="172">
        <f>($F$34*$M33)+('Incremental Rev Req'!$F$81*$M33)</f>
        <v>149.15171376209346</v>
      </c>
    </row>
    <row r="76" spans="2:31">
      <c r="B76" s="152" t="s">
        <v>238</v>
      </c>
      <c r="C76" s="172">
        <f>($C$31*$I34)+('Incremental Rev Req'!$F$81*$I34)</f>
        <v>78.015599999999992</v>
      </c>
      <c r="D76" s="172">
        <f>($C$34*$J34)+('Incremental Rev Req'!$F$81*$J34)</f>
        <v>72.014399999999995</v>
      </c>
      <c r="E76" s="172">
        <f>($D$31*$I34)+('Incremental Rev Req'!$F$81*$I34)</f>
        <v>82.17456</v>
      </c>
      <c r="F76" s="172">
        <f>($D$34*$J34)+('Incremental Rev Req'!$F$81*$J34)</f>
        <v>75.853439999999992</v>
      </c>
      <c r="G76" s="172">
        <f>($E$31*$I34)+('Incremental Rev Req'!$F$81*$I34)</f>
        <v>83.809481887737405</v>
      </c>
      <c r="H76" s="172">
        <f>($E$34*$J34)+('Incremental Rev Req'!$F$81*$J34)</f>
        <v>77.362598665603755</v>
      </c>
      <c r="I76" s="172">
        <f>($F$31*$I34)+('Incremental Rev Req'!$F$81*$I34)</f>
        <v>90.71215339916796</v>
      </c>
      <c r="J76" s="172">
        <f>($F$34*$J34)+('Incremental Rev Req'!$F$81*$J34)</f>
        <v>83.734295445385811</v>
      </c>
      <c r="M76" s="152" t="s">
        <v>238</v>
      </c>
      <c r="N76" s="172">
        <f>($C$31*$L34)+('Incremental Rev Req'!$F$81*$L34)</f>
        <v>65.513099999999994</v>
      </c>
      <c r="O76" s="172">
        <f>($C$34*$M34)+('Incremental Rev Req'!$F$81*$M34)</f>
        <v>91.268249999999995</v>
      </c>
      <c r="P76" s="172">
        <f>($D$31*$L34)+('Incremental Rev Req'!$F$81*$L34)</f>
        <v>69.005560000000003</v>
      </c>
      <c r="Q76" s="172">
        <f>($D$34*$M34)+('Incremental Rev Req'!$F$81*$M34)</f>
        <v>96.13369999999999</v>
      </c>
      <c r="R76" s="172">
        <f>($E$31*$L34)+('Incremental Rev Req'!$F$81*$L34)</f>
        <v>70.378475174958979</v>
      </c>
      <c r="S76" s="172">
        <f>($E$34*$M34)+('Incremental Rev Req'!$F$81*$M34)</f>
        <v>98.046349003282543</v>
      </c>
      <c r="T76" s="172">
        <f>($F$31*$L34)+('Incremental Rev Req'!$F$81*$L34)</f>
        <v>76.174949328788486</v>
      </c>
      <c r="U76" s="172">
        <f>($F$34*$M34)+('Incremental Rev Req'!$F$81*$M34)</f>
        <v>106.12158971377021</v>
      </c>
    </row>
    <row r="77" spans="2:31">
      <c r="B77" s="6" t="s">
        <v>116</v>
      </c>
      <c r="C77" s="170">
        <f>SUMPRODUCT(C73:C76,$V$22:$V$25)</f>
        <v>72.882613823219003</v>
      </c>
      <c r="D77" s="170">
        <f t="shared" ref="D77:J77" si="16">SUMPRODUCT(D73:D76,$V$22:$V$25)</f>
        <v>70.687899178776348</v>
      </c>
      <c r="E77" s="170">
        <f t="shared" si="16"/>
        <v>76.767937727492196</v>
      </c>
      <c r="F77" s="170">
        <f t="shared" si="16"/>
        <v>74.45622429796488</v>
      </c>
      <c r="G77" s="170">
        <f t="shared" si="16"/>
        <v>78.295290982162967</v>
      </c>
      <c r="H77" s="170">
        <f t="shared" si="16"/>
        <v>75.937584353717284</v>
      </c>
      <c r="I77" s="170">
        <f t="shared" si="16"/>
        <v>84.743805665330541</v>
      </c>
      <c r="J77" s="170">
        <f t="shared" si="16"/>
        <v>82.191914870488489</v>
      </c>
      <c r="M77" s="6" t="s">
        <v>116</v>
      </c>
      <c r="N77" s="170">
        <f>SUMPRODUCT(N73:N76,$V$22:$V$25)</f>
        <v>55.604549965390675</v>
      </c>
      <c r="O77" s="170">
        <f t="shared" ref="O77:U77" si="17">SUMPRODUCT(O73:O76,$V$22:$V$25)</f>
        <v>78.966835111369363</v>
      </c>
      <c r="P77" s="170">
        <f t="shared" si="17"/>
        <v>58.56879172119416</v>
      </c>
      <c r="Q77" s="170">
        <f t="shared" si="17"/>
        <v>83.176504825564734</v>
      </c>
      <c r="R77" s="170">
        <f t="shared" si="17"/>
        <v>59.734059895715731</v>
      </c>
      <c r="S77" s="170">
        <f t="shared" si="17"/>
        <v>84.831361125188522</v>
      </c>
      <c r="T77" s="170">
        <f t="shared" si="17"/>
        <v>64.653844438192095</v>
      </c>
      <c r="U77" s="170">
        <f t="shared" si="17"/>
        <v>91.81819610525767</v>
      </c>
    </row>
    <row r="78" spans="2:31">
      <c r="B78" s="7"/>
      <c r="C78" s="8"/>
      <c r="D78" s="8"/>
      <c r="E78" s="9"/>
      <c r="F78" s="8"/>
      <c r="G78" s="155"/>
      <c r="H78" s="155"/>
      <c r="I78" s="155"/>
      <c r="J78" s="155"/>
      <c r="M78" s="7"/>
      <c r="N78" s="8"/>
      <c r="O78" s="8"/>
      <c r="P78" s="9"/>
      <c r="Q78" s="8"/>
      <c r="R78" s="155"/>
      <c r="S78" s="155"/>
      <c r="T78" s="155"/>
      <c r="U78" s="155"/>
    </row>
    <row r="79" spans="2:31" ht="15.75" thickBot="1"/>
    <row r="80" spans="2:31" ht="15.75" thickBot="1">
      <c r="B80" s="258">
        <v>400</v>
      </c>
      <c r="C80" s="541" t="s">
        <v>290</v>
      </c>
      <c r="D80" s="541"/>
      <c r="E80" s="541"/>
      <c r="F80" s="541"/>
      <c r="G80" s="541"/>
      <c r="H80" s="541"/>
      <c r="I80" s="541"/>
      <c r="J80" s="541"/>
      <c r="M80" s="258">
        <v>400</v>
      </c>
      <c r="N80" s="541" t="s">
        <v>291</v>
      </c>
      <c r="O80" s="541"/>
      <c r="P80" s="541"/>
      <c r="Q80" s="541"/>
      <c r="R80" s="541"/>
      <c r="S80" s="541"/>
      <c r="T80" s="541"/>
      <c r="U80" s="541"/>
    </row>
    <row r="81" spans="2:21">
      <c r="B81" s="7"/>
      <c r="C81" s="542" t="str">
        <f>C71</f>
        <v>1/1/2024</v>
      </c>
      <c r="D81" s="542"/>
      <c r="E81" s="543" t="str">
        <f>E71</f>
        <v>3/1/2024</v>
      </c>
      <c r="F81" s="542"/>
      <c r="G81" s="542" t="str">
        <f>G71</f>
        <v>Authorized</v>
      </c>
      <c r="H81" s="542"/>
      <c r="I81" s="543" t="str">
        <f>I71</f>
        <v>w/Pending</v>
      </c>
      <c r="J81" s="542"/>
      <c r="M81" s="7"/>
      <c r="N81" s="542" t="str">
        <f>N71</f>
        <v>1/1/2024</v>
      </c>
      <c r="O81" s="542"/>
      <c r="P81" s="543" t="str">
        <f>P71</f>
        <v>3/1/2024</v>
      </c>
      <c r="Q81" s="542"/>
      <c r="R81" s="542" t="str">
        <f>R71</f>
        <v>Authorized</v>
      </c>
      <c r="S81" s="542"/>
      <c r="T81" s="543" t="str">
        <f>T71</f>
        <v>w/Pending</v>
      </c>
      <c r="U81" s="542"/>
    </row>
    <row r="82" spans="2:21">
      <c r="B82" s="7"/>
      <c r="C82" s="8" t="s">
        <v>205</v>
      </c>
      <c r="D82" s="8" t="s">
        <v>206</v>
      </c>
      <c r="E82" s="8" t="s">
        <v>205</v>
      </c>
      <c r="F82" s="8" t="s">
        <v>206</v>
      </c>
      <c r="G82" s="8" t="s">
        <v>205</v>
      </c>
      <c r="H82" s="8" t="s">
        <v>206</v>
      </c>
      <c r="I82" s="8" t="s">
        <v>205</v>
      </c>
      <c r="J82" s="8" t="s">
        <v>206</v>
      </c>
      <c r="M82" s="7"/>
      <c r="N82" s="8" t="s">
        <v>205</v>
      </c>
      <c r="O82" s="8" t="s">
        <v>206</v>
      </c>
      <c r="P82" s="8" t="s">
        <v>205</v>
      </c>
      <c r="Q82" s="8" t="s">
        <v>206</v>
      </c>
      <c r="R82" s="8" t="s">
        <v>205</v>
      </c>
      <c r="S82" s="8" t="s">
        <v>206</v>
      </c>
      <c r="T82" s="8" t="s">
        <v>205</v>
      </c>
      <c r="U82" s="8" t="s">
        <v>206</v>
      </c>
    </row>
    <row r="83" spans="2:21">
      <c r="B83" s="146" t="s">
        <v>237</v>
      </c>
      <c r="C83" s="172">
        <f>$C$22*MIN(I22,$B$80)+IF($B$80-I22&gt;0,$C$23*($B$80-I22))+('Incremental Rev Req'!$F$81*$B$80)</f>
        <v>158.81275061379444</v>
      </c>
      <c r="D83" s="172">
        <f>$C$25*MIN(J22,$B$80)+IF($B$80-J22&gt;0,$C$26*($B$80-J22))+('Incremental Rev Req'!$F$81*$B$80)</f>
        <v>158.01703684991563</v>
      </c>
      <c r="E83" s="172">
        <f>$D$22*MIN(I22,$B$80)+IF($B$80-I22&gt;0,$D$23*($B$80-I22))+('Incremental Rev Req'!$F$81*$B$80)</f>
        <v>167.28304497564631</v>
      </c>
      <c r="F83" s="172">
        <f>$D$25*MIN(J22,$B$80)+IF($B$80-J22&gt;0,$D$26*($B$80-J22))+('Incremental Rev Req'!$F$81*$B$80)</f>
        <v>166.4447845746962</v>
      </c>
      <c r="G83" s="172">
        <f>$E$22*MIN(I22,$B$80)+IF($B$80-I22&gt;0,$E$23*($B$80-I22))+('Incremental Rev Req'!$F$81*$B$80)</f>
        <v>170.61595739523042</v>
      </c>
      <c r="H83" s="172">
        <f>$E$25*MIN(J22,$B$80)+IF($B$80-J22&gt;0,$E$26*($B$80-J22))+('Incremental Rev Req'!$F$81*$B$80)</f>
        <v>169.76095563807138</v>
      </c>
      <c r="I83" s="172">
        <f>$F$22*MIN(I22,$B$80)+IF($B$80-I22&gt;0,$F$23*($B$80-I22))+('Incremental Rev Req'!$F$81*$B$80)</f>
        <v>184.68757744100199</v>
      </c>
      <c r="J83" s="172">
        <f>$F$25*MIN(J22,$B$80)+IF($B$80-J22&gt;0,$F$26*($B$80-J22))+('Incremental Rev Req'!$F$81*$B$80)</f>
        <v>183.76189335740702</v>
      </c>
      <c r="M83" s="146" t="s">
        <v>237</v>
      </c>
      <c r="N83" s="172">
        <f>$C$22*MIN($L22,$M$80)+IF($M$80-$L22&gt;0,$C$23*($M$80-$L22))+('Incremental Rev Req'!$F$81*$M$80)</f>
        <v>170.35060019003726</v>
      </c>
      <c r="O83" s="172">
        <f>$C$25*MIN($M22,$M$80)+IF($M$80-$M22&gt;0,$C$26*($M$80-$M22))+('Incremental Rev Req'!$F$81*$M$80)</f>
        <v>159.60846437767327</v>
      </c>
      <c r="P83" s="172">
        <f>$D$22*MIN($L22,$M$80)+IF($M$80-$L22&gt;0,$D$23*($M$80-$L22))+('Incremental Rev Req'!$F$81*$M$80)</f>
        <v>179.43782078942289</v>
      </c>
      <c r="Q83" s="172">
        <f>$D$25*MIN($M22,$M$80)+IF($M$80-$M22&gt;0,$D$26*($M$80-$M22))+('Incremental Rev Req'!$F$81*$M$80)</f>
        <v>168.12130537659641</v>
      </c>
      <c r="R83" s="172">
        <f>$E$22*MIN($L22,$M$80)+IF($M$80-$L22&gt;0,$E$23*($M$80-$L22))+('Incremental Rev Req'!$F$81*$M$80)</f>
        <v>183.01348287403687</v>
      </c>
      <c r="S83" s="172">
        <f>$E$25*MIN($M22,$M$80)+IF($M$80-$M22&gt;0,$E$26*($M$80-$M22))+('Incremental Rev Req'!$F$81*$M$80)</f>
        <v>171.4709591523895</v>
      </c>
      <c r="T83" s="172">
        <f>$F$22*MIN($L22,$M$80)+IF($M$80-$L22&gt;0,$F$23*($M$80-$L22))+('Incremental Rev Req'!$F$81*$M$80)</f>
        <v>198.109996653129</v>
      </c>
      <c r="U83" s="172">
        <f>$F$25*MIN($M22,$M$80)+IF($M$80-$M22&gt;0,$F$26*($M$80-$M22))+('Incremental Rev Req'!$F$81*$M$80)</f>
        <v>185.61326152459694</v>
      </c>
    </row>
    <row r="84" spans="2:21">
      <c r="B84" s="149" t="s">
        <v>239</v>
      </c>
      <c r="C84" s="172">
        <f>$C$22*MIN(I23,$B$80)+IF($B$80-I23&gt;0,$C$23*($B$80-I23))+('Incremental Rev Req'!$F$81*$B$80)</f>
        <v>153.93900381003672</v>
      </c>
      <c r="D84" s="172">
        <f>$C$25*MIN(J23,$B$80)+IF($B$80-J23&gt;0,$C$26*($B$80-J23))+('Incremental Rev Req'!$F$81*$B$80)</f>
        <v>153.93900381003672</v>
      </c>
      <c r="E84" s="172">
        <f>$D$22*MIN(I23,$B$80)+IF($B$80-I23&gt;0,$D$23*($B$80-I23))+('Incremental Rev Req'!$F$81*$B$80)</f>
        <v>162.14870001982689</v>
      </c>
      <c r="F84" s="172">
        <f>$D$25*MIN(J23,$B$80)+IF($B$80-J23&gt;0,$D$26*($B$80-J23))+('Incremental Rev Req'!$F$81*$B$80)</f>
        <v>162.14870001982689</v>
      </c>
      <c r="G84" s="172">
        <f>$E$22*MIN(I23,$B$80)+IF($B$80-I23&gt;0,$E$23*($B$80-I23))+('Incremental Rev Req'!$F$81*$B$80)</f>
        <v>165.37907163263117</v>
      </c>
      <c r="H84" s="172">
        <f>$E$25*MIN(J23,$B$80)+IF($B$80-J23&gt;0,$E$26*($B$80-J23))+('Incremental Rev Req'!$F$81*$B$80)</f>
        <v>165.37907163263117</v>
      </c>
      <c r="I84" s="172">
        <f>$F$22*MIN(I23,$B$80)+IF($B$80-I23&gt;0,$F$23*($B$80-I23))+('Incremental Rev Req'!$F$81*$B$80)</f>
        <v>179.01776242898282</v>
      </c>
      <c r="J84" s="172">
        <f>$F$25*MIN(J23,$B$80)+IF($B$80-J23&gt;0,$F$26*($B$80-J23))+('Incremental Rev Req'!$F$81*$B$80)</f>
        <v>179.01776242898282</v>
      </c>
      <c r="M84" s="149" t="s">
        <v>239</v>
      </c>
      <c r="N84" s="172">
        <f>$C$22*MIN($L23,$M$80)+IF($M$80-$L23&gt;0,$C$23*($M$80-$L23))+('Incremental Rev Req'!$F$81*$M$80)</f>
        <v>153.93900381003672</v>
      </c>
      <c r="O84" s="172">
        <f>$C$25*MIN($M23,$M$80)+IF($M$80-$M23&gt;0,$C$26*($M$80-$M23))+('Incremental Rev Req'!$F$81*$M$80)</f>
        <v>153.93900381003672</v>
      </c>
      <c r="P84" s="172">
        <f>$D$22*MIN($L23,$M$80)+IF($M$80-$L23&gt;0,$D$23*($M$80-$L23))+('Incremental Rev Req'!$F$81*$M$80)</f>
        <v>162.14870001982689</v>
      </c>
      <c r="Q84" s="172">
        <f>$D$25*MIN($M23,$M$80)+IF($M$80-$M23&gt;0,$D$26*($M$80-$M23))+('Incremental Rev Req'!$F$81*$M$80)</f>
        <v>162.14870001982689</v>
      </c>
      <c r="R84" s="172">
        <f>$E$22*MIN($L23,$M$80)+IF($M$80-$L23&gt;0,$E$23*($M$80-$L23))+('Incremental Rev Req'!$F$81*$M$80)</f>
        <v>165.37907163263117</v>
      </c>
      <c r="S84" s="172">
        <f>$E$25*MIN($M23,$M$80)+IF($M$80-$M23&gt;0,$E$26*($M$80-$M23))+('Incremental Rev Req'!$F$81*$M$80)</f>
        <v>165.37907163263117</v>
      </c>
      <c r="T84" s="172">
        <f>$F$22*MIN($L23,$M$80)+IF($M$80-$L23&gt;0,$F$23*($M$80-$L23))+('Incremental Rev Req'!$F$81*$M$80)</f>
        <v>179.01776242898282</v>
      </c>
      <c r="U84" s="172">
        <f>$F$25*MIN($M23,$M$80)+IF($M$80-$M23&gt;0,$F$26*($M$80-$M23))+('Incremental Rev Req'!$F$81*$M$80)</f>
        <v>179.01776242898282</v>
      </c>
    </row>
    <row r="85" spans="2:21">
      <c r="B85" s="149" t="s">
        <v>236</v>
      </c>
      <c r="C85" s="172">
        <f>$C$22*MIN(I24,$B$80)+IF($B$80-I24&gt;0,$C$23*($B$80-I24))+('Incremental Rev Req'!$F$81*$B$80)</f>
        <v>153.93900381003672</v>
      </c>
      <c r="D85" s="172">
        <f>$C$25*MIN(J24,$B$80)+IF($B$80-J24&gt;0,$C$26*($B$80-J24))+('Incremental Rev Req'!$F$81*$B$80)</f>
        <v>153.93900381003672</v>
      </c>
      <c r="E85" s="172">
        <f>$D$22*MIN(I24,$B$80)+IF($B$80-I24&gt;0,$D$23*($B$80-I24))+('Incremental Rev Req'!$F$81*$B$80)</f>
        <v>162.14870001982689</v>
      </c>
      <c r="F85" s="172">
        <f>$D$25*MIN(J24,$B$80)+IF($B$80-J24&gt;0,$D$26*($B$80-J24))+('Incremental Rev Req'!$F$81*$B$80)</f>
        <v>162.14870001982689</v>
      </c>
      <c r="G85" s="172">
        <f>$E$22*MIN(I24,$B$80)+IF($B$80-I24&gt;0,$E$23*($B$80-I24))+('Incremental Rev Req'!$F$81*$B$80)</f>
        <v>165.37907163263117</v>
      </c>
      <c r="H85" s="172">
        <f>$E$25*MIN(J24,$B$80)+IF($B$80-J24&gt;0,$E$26*($B$80-J24))+('Incremental Rev Req'!$F$81*$B$80)</f>
        <v>165.37907163263117</v>
      </c>
      <c r="I85" s="172">
        <f>$F$22*MIN(I24,$B$80)+IF($B$80-I24&gt;0,$F$23*($B$80-I24))+('Incremental Rev Req'!$F$81*$B$80)</f>
        <v>179.01776242898282</v>
      </c>
      <c r="J85" s="172">
        <f>$F$25*MIN(J24,$B$80)+IF($B$80-J24&gt;0,$F$26*($B$80-J24))+('Incremental Rev Req'!$F$81*$B$80)</f>
        <v>179.01776242898282</v>
      </c>
      <c r="M85" s="149" t="s">
        <v>236</v>
      </c>
      <c r="N85" s="172">
        <f>$C$22*MIN($L24,$M$80)+IF($M$80-$L24&gt;0,$C$23*($M$80-$L24))+('Incremental Rev Req'!$F$81*$M$80)</f>
        <v>153.93900381003672</v>
      </c>
      <c r="O85" s="172">
        <f>$C$25*MIN($M24,$M$80)+IF($M$80-$M24&gt;0,$C$26*($M$80-$M24))+('Incremental Rev Req'!$F$81*$M$80)</f>
        <v>153.93900381003672</v>
      </c>
      <c r="P85" s="172">
        <f>$D$22*MIN($L24,$M$80)+IF($M$80-$L24&gt;0,$D$23*($M$80-$L24))+('Incremental Rev Req'!$F$81*$M$80)</f>
        <v>162.14870001982689</v>
      </c>
      <c r="Q85" s="172">
        <f>$D$25*MIN($M24,$M$80)+IF($M$80-$M24&gt;0,$D$26*($M$80-$M24))+('Incremental Rev Req'!$F$81*$M$80)</f>
        <v>162.14870001982689</v>
      </c>
      <c r="R85" s="172">
        <f>$E$22*MIN($L24,$M$80)+IF($M$80-$L24&gt;0,$E$23*($M$80-$L24))+('Incremental Rev Req'!$F$81*$M$80)</f>
        <v>165.37907163263117</v>
      </c>
      <c r="S85" s="172">
        <f>$E$25*MIN($M24,$M$80)+IF($M$80-$M24&gt;0,$E$26*($M$80-$M24))+('Incremental Rev Req'!$F$81*$M$80)</f>
        <v>165.37907163263117</v>
      </c>
      <c r="T85" s="172">
        <f>$F$22*MIN($L24,$M$80)+IF($M$80-$L24&gt;0,$F$23*($M$80-$L24))+('Incremental Rev Req'!$F$81*$M$80)</f>
        <v>179.01776242898282</v>
      </c>
      <c r="U85" s="172">
        <f>$F$25*MIN($M24,$M$80)+IF($M$80-$M24&gt;0,$F$26*($M$80-$M24))+('Incremental Rev Req'!$F$81*$M$80)</f>
        <v>179.01776242898282</v>
      </c>
    </row>
    <row r="86" spans="2:21">
      <c r="B86" s="152" t="s">
        <v>238</v>
      </c>
      <c r="C86" s="172">
        <f>$C$22*MIN(I25,$B$80)+IF($B$80-I25&gt;0,$C$23*($B$80-I25))+('Incremental Rev Req'!$F$81*$B$80)</f>
        <v>153.93900381003672</v>
      </c>
      <c r="D86" s="172">
        <f>$C$25*MIN(J25,$B$80)+IF($B$80-J25&gt;0,$C$26*($B$80-J25))+('Incremental Rev Req'!$F$81*$B$80)</f>
        <v>156.52507354264287</v>
      </c>
      <c r="E86" s="172">
        <f>$D$22*MIN(I25,$B$80)+IF($B$80-I25&gt;0,$D$23*($B$80-I25))+('Incremental Rev Req'!$F$81*$B$80)</f>
        <v>162.14870001982689</v>
      </c>
      <c r="F86" s="172">
        <f>$D$25*MIN(J25,$B$80)+IF($B$80-J25&gt;0,$D$26*($B$80-J25))+('Incremental Rev Req'!$F$81*$B$80)</f>
        <v>164.87304632291475</v>
      </c>
      <c r="G86" s="172">
        <f>$E$22*MIN(I25,$B$80)+IF($B$80-I25&gt;0,$E$23*($B$80-I25))+('Incremental Rev Req'!$F$81*$B$80)</f>
        <v>165.37907163263117</v>
      </c>
      <c r="H86" s="172">
        <f>$E$25*MIN(J25,$B$80)+IF($B$80-J25&gt;0,$E$26*($B$80-J25))+('Incremental Rev Req'!$F$81*$B$80)</f>
        <v>168.15782734339814</v>
      </c>
      <c r="I86" s="172">
        <f>$F$22*MIN(I25,$B$80)+IF($B$80-I25&gt;0,$F$23*($B$80-I25))+('Incremental Rev Req'!$F$81*$B$80)</f>
        <v>179.01776242898282</v>
      </c>
      <c r="J86" s="172">
        <f>$F$25*MIN(J25,$B$80)+IF($B$80-J25&gt;0,$F$26*($B$80-J25))+('Incremental Rev Req'!$F$81*$B$80)</f>
        <v>182.02623570066646</v>
      </c>
      <c r="M86" s="152" t="s">
        <v>238</v>
      </c>
      <c r="N86" s="172">
        <f>$C$22*MIN($L25,$M$80)+IF($M$80-$L25&gt;0,$C$23*($M$80-$L25))+('Incremental Rev Req'!$F$81*$M$80)</f>
        <v>159.80739281864297</v>
      </c>
      <c r="O86" s="172">
        <f>$C$25*MIN($M25,$M$80)+IF($M$80-$M25&gt;0,$C$26*($M$80-$M25))+('Incremental Rev Req'!$F$81*$M$80)</f>
        <v>153.93900381003672</v>
      </c>
      <c r="P86" s="172">
        <f>$D$22*MIN($L25,$M$80)+IF($M$80-$L25&gt;0,$D$23*($M$80-$L25))+('Incremental Rev Req'!$F$81*$M$80)</f>
        <v>168.33087047683395</v>
      </c>
      <c r="Q86" s="172">
        <f>$D$25*MIN($M25,$M$80)+IF($M$80-$M25&gt;0,$D$26*($M$80-$M25))+('Incremental Rev Req'!$F$81*$M$80)</f>
        <v>162.14870001982689</v>
      </c>
      <c r="R86" s="172">
        <f>$E$22*MIN($L25,$M$80)+IF($M$80-$L25&gt;0,$E$23*($M$80-$L25))+('Incremental Rev Req'!$F$81*$M$80)</f>
        <v>171.68470959167925</v>
      </c>
      <c r="S86" s="172">
        <f>$E$25*MIN($M25,$M$80)+IF($M$80-$M25&gt;0,$E$26*($M$80-$M25))+('Incremental Rev Req'!$F$81*$M$80)</f>
        <v>165.37907163263117</v>
      </c>
      <c r="T86" s="172">
        <f>$F$22*MIN($L25,$M$80)+IF($M$80-$L25&gt;0,$F$23*($M$80-$L25))+('Incremental Rev Req'!$F$81*$M$80)</f>
        <v>185.84468254549571</v>
      </c>
      <c r="U86" s="172">
        <f>$F$25*MIN($M25,$M$80)+IF($M$80-$M25&gt;0,$F$26*($M$80-$M25))+('Incremental Rev Req'!$F$81*$M$80)</f>
        <v>179.01776242898282</v>
      </c>
    </row>
    <row r="87" spans="2:21">
      <c r="B87" s="6" t="s">
        <v>116</v>
      </c>
      <c r="C87" s="170">
        <f>SUMPRODUCT(C83:C86,$U$22:$U$25)</f>
        <v>156.84363269479866</v>
      </c>
      <c r="D87" s="170">
        <f t="shared" ref="D87:J87" si="18">SUMPRODUCT(D83:D86,$U$22:$U$25)</f>
        <v>157.3888324361055</v>
      </c>
      <c r="E87" s="170">
        <f>SUMPRODUCT(E83:E86,$U$22:$U$25)</f>
        <v>165.20863876172183</v>
      </c>
      <c r="F87" s="170">
        <f t="shared" si="18"/>
        <v>165.78299021131591</v>
      </c>
      <c r="G87" s="170">
        <f t="shared" si="18"/>
        <v>168.5001220820547</v>
      </c>
      <c r="H87" s="170">
        <f t="shared" si="18"/>
        <v>169.08594421807973</v>
      </c>
      <c r="I87" s="170">
        <f t="shared" si="18"/>
        <v>182.39682767760638</v>
      </c>
      <c r="J87" s="170">
        <f t="shared" si="18"/>
        <v>183.03107927135497</v>
      </c>
      <c r="M87" s="6" t="s">
        <v>116</v>
      </c>
      <c r="N87" s="170">
        <f t="shared" ref="N87:U87" si="19">SUMPRODUCT(N83:N86,$U$22:$U$25)</f>
        <v>166.0332072647891</v>
      </c>
      <c r="O87" s="170">
        <f t="shared" si="19"/>
        <v>157.31785781884145</v>
      </c>
      <c r="P87" s="170">
        <f t="shared" si="19"/>
        <v>174.88957782962299</v>
      </c>
      <c r="Q87" s="170">
        <f t="shared" si="19"/>
        <v>165.70822059713325</v>
      </c>
      <c r="R87" s="170">
        <f t="shared" si="19"/>
        <v>178.37440447046725</v>
      </c>
      <c r="S87" s="170">
        <f t="shared" si="19"/>
        <v>169.00968133910345</v>
      </c>
      <c r="T87" s="170">
        <f t="shared" si="19"/>
        <v>193.08740926687335</v>
      </c>
      <c r="U87" s="170">
        <f t="shared" si="19"/>
        <v>182.94851179983061</v>
      </c>
    </row>
    <row r="88" spans="2:21">
      <c r="B88" s="7"/>
      <c r="C88" s="151"/>
      <c r="D88" s="151"/>
      <c r="E88" s="171"/>
      <c r="F88" s="154"/>
      <c r="G88" s="155"/>
      <c r="H88" s="155"/>
      <c r="I88" s="155"/>
      <c r="J88" s="155"/>
      <c r="M88" s="7"/>
      <c r="N88" s="151"/>
      <c r="O88" s="151"/>
      <c r="P88" s="171"/>
      <c r="Q88" s="154"/>
      <c r="R88" s="155"/>
      <c r="S88" s="155"/>
      <c r="T88" s="155"/>
      <c r="U88" s="155"/>
    </row>
    <row r="89" spans="2:21" ht="15.75" thickBot="1">
      <c r="B89" s="7"/>
      <c r="C89" s="151"/>
      <c r="D89" s="151"/>
      <c r="E89" s="257"/>
      <c r="F89" s="151"/>
      <c r="G89" s="155"/>
      <c r="H89" s="155"/>
      <c r="I89" s="155"/>
      <c r="J89" s="155"/>
      <c r="M89" s="7"/>
      <c r="N89" s="151"/>
      <c r="O89" s="151"/>
      <c r="P89" s="257"/>
      <c r="Q89" s="151"/>
      <c r="R89" s="155"/>
      <c r="S89" s="155"/>
      <c r="T89" s="155"/>
      <c r="U89" s="155"/>
    </row>
    <row r="90" spans="2:21" ht="15.75" thickBot="1">
      <c r="B90" s="258">
        <v>400</v>
      </c>
      <c r="C90" s="541" t="s">
        <v>290</v>
      </c>
      <c r="D90" s="541"/>
      <c r="E90" s="541"/>
      <c r="F90" s="541"/>
      <c r="G90" s="541"/>
      <c r="H90" s="541"/>
      <c r="I90" s="541"/>
      <c r="J90" s="541"/>
      <c r="M90" s="258">
        <v>400</v>
      </c>
      <c r="N90" s="541" t="s">
        <v>292</v>
      </c>
      <c r="O90" s="541"/>
      <c r="P90" s="541"/>
      <c r="Q90" s="541"/>
      <c r="R90" s="541"/>
      <c r="S90" s="541"/>
      <c r="T90" s="541"/>
      <c r="U90" s="541"/>
    </row>
    <row r="91" spans="2:21">
      <c r="B91" s="7"/>
      <c r="C91" s="544" t="str">
        <f>C81</f>
        <v>1/1/2024</v>
      </c>
      <c r="D91" s="544"/>
      <c r="E91" s="545" t="str">
        <f>E81</f>
        <v>3/1/2024</v>
      </c>
      <c r="F91" s="544"/>
      <c r="G91" s="544" t="str">
        <f>G81</f>
        <v>Authorized</v>
      </c>
      <c r="H91" s="544"/>
      <c r="I91" s="545" t="str">
        <f>I81</f>
        <v>w/Pending</v>
      </c>
      <c r="J91" s="544"/>
      <c r="M91" s="7"/>
      <c r="N91" s="544" t="str">
        <f>N81</f>
        <v>1/1/2024</v>
      </c>
      <c r="O91" s="544"/>
      <c r="P91" s="545" t="str">
        <f>P81</f>
        <v>3/1/2024</v>
      </c>
      <c r="Q91" s="544"/>
      <c r="R91" s="544" t="str">
        <f>R81</f>
        <v>Authorized</v>
      </c>
      <c r="S91" s="544"/>
      <c r="T91" s="545" t="str">
        <f>T81</f>
        <v>w/Pending</v>
      </c>
      <c r="U91" s="544"/>
    </row>
    <row r="92" spans="2:21">
      <c r="B92" s="7"/>
      <c r="C92" s="151" t="s">
        <v>205</v>
      </c>
      <c r="D92" s="151" t="s">
        <v>206</v>
      </c>
      <c r="E92" s="151" t="s">
        <v>205</v>
      </c>
      <c r="F92" s="151" t="s">
        <v>206</v>
      </c>
      <c r="G92" s="151" t="s">
        <v>205</v>
      </c>
      <c r="H92" s="151" t="s">
        <v>206</v>
      </c>
      <c r="I92" s="151" t="s">
        <v>205</v>
      </c>
      <c r="J92" s="151" t="s">
        <v>206</v>
      </c>
      <c r="M92" s="7"/>
      <c r="N92" s="151" t="s">
        <v>205</v>
      </c>
      <c r="O92" s="151" t="s">
        <v>206</v>
      </c>
      <c r="P92" s="151" t="s">
        <v>205</v>
      </c>
      <c r="Q92" s="151" t="s">
        <v>206</v>
      </c>
      <c r="R92" s="151" t="s">
        <v>205</v>
      </c>
      <c r="S92" s="151" t="s">
        <v>206</v>
      </c>
      <c r="T92" s="151" t="s">
        <v>205</v>
      </c>
      <c r="U92" s="151" t="s">
        <v>206</v>
      </c>
    </row>
    <row r="93" spans="2:21">
      <c r="B93" s="146" t="s">
        <v>237</v>
      </c>
      <c r="C93" s="172">
        <f>$C$31*MIN(I22,$B$90)+IF($B$90-I22&gt;0,$C$32*($B$90-I22))+('Incremental Rev Req'!$F$81*$B$90)</f>
        <v>103.35592000000001</v>
      </c>
      <c r="D93" s="172">
        <f>$C$34*MIN(J22,$B$90)+IF($B$90-J22&gt;0,$C$35*($B$90-J22))+('Incremental Rev Req'!$F$81*$B$90)</f>
        <v>102.81128000000001</v>
      </c>
      <c r="E93" s="172">
        <f>$D$31*MIN(I22,$B$90)+IF($B$90-I22&gt;0,$D$32*($B$90-I22))+('Incremental Rev Req'!$F$81*$B$90)</f>
        <v>108.85697000000002</v>
      </c>
      <c r="F93" s="172">
        <f>$D$34*MIN(J22,$B$90)+IF($B$90-J22&gt;0,$D$35*($B$90-J22))+('Incremental Rev Req'!$F$81*$B$90)</f>
        <v>108.28473</v>
      </c>
      <c r="G93" s="172">
        <f>$E$31*MIN(I22,$B$90)+IF($B$90-I22&gt;0,$E$32*($B$90-I22))+('Incremental Rev Req'!$F$81*$B$90)</f>
        <v>111.02302337202599</v>
      </c>
      <c r="H93" s="172">
        <f>$E$34*MIN(J22,$B$90)+IF($B$90-J22&gt;0,$E$35*($B$90-J22))+('Incremental Rev Req'!$F$81*$B$90)</f>
        <v>110.43935485450787</v>
      </c>
      <c r="I93" s="172">
        <f>$F$31*MIN(I22,$B$90)+IF($B$90-I22&gt;0,$F$32*($B$90-I22))+('Incremental Rev Req'!$F$81*$B$90)</f>
        <v>120.16814217890276</v>
      </c>
      <c r="J93" s="172">
        <f>$F$34*MIN(J22,$B$90)+IF($B$90-J22&gt;0,$F$35*($B$90-J22))+('Incremental Rev Req'!$F$81*$B$90)</f>
        <v>119.53622224161836</v>
      </c>
      <c r="M93" s="146" t="s">
        <v>237</v>
      </c>
      <c r="N93" s="172">
        <f>$C$31*MIN($L22,$M$90)+IF($M$90-$L22&gt;0,$C$32*($M$90-$L22))+('Incremental Rev Req'!$F$81*$M$90)</f>
        <v>111.25320000000001</v>
      </c>
      <c r="O93" s="172">
        <f>$C$34*MIN($M22,$M$90)+IF($M$90-$M22&gt;0,$C$35*($M$90-$M22))+('Incremental Rev Req'!$F$81*$M$90)</f>
        <v>103.90056000000001</v>
      </c>
      <c r="P93" s="172">
        <f>$D$31*MIN($L22,$B$90)+IF($B$90-$L22&gt;0,$D$32*($B$90-$L22))+('Incremental Rev Req'!$F$81*$B$90)</f>
        <v>117.15445</v>
      </c>
      <c r="Q93" s="172">
        <f>$D$34*MIN($M22,$B$90)+IF($B$90-$M22&gt;0,$D$35*($B$90-$M22))+('Incremental Rev Req'!$F$81*$B$90)</f>
        <v>109.42921000000001</v>
      </c>
      <c r="R93" s="172">
        <f>$E$31*MIN($L22,$B$90)+IF($B$90-$L22&gt;0,$E$32*($B$90-$L22))+('Incremental Rev Req'!$F$81*$B$90)</f>
        <v>119.48621687603887</v>
      </c>
      <c r="S93" s="172">
        <f>$E$34*MIN($M22,$B$90)+IF($B$90-$M22&gt;0,$E$35*($B$90-$M22))+('Incremental Rev Req'!$F$81*$B$90)</f>
        <v>111.60669188954412</v>
      </c>
      <c r="T93" s="172">
        <f>$F$31*MIN(L22,$B$90)+IF($B$90-L22&gt;0,$F$32*($B$90-L22))+('Incremental Rev Req'!$F$81*$B$90)</f>
        <v>129.33098126952646</v>
      </c>
      <c r="U93" s="172">
        <f>$F$34*MIN($M22,$B$90)+IF($B$90-$M22&gt;0,$F$35*($B$90-$M22))+('Incremental Rev Req'!$F$81*$B$90)</f>
        <v>120.80006211618716</v>
      </c>
    </row>
    <row r="94" spans="2:21">
      <c r="B94" s="149" t="s">
        <v>239</v>
      </c>
      <c r="C94" s="172">
        <f>$C$31*MIN(I23,$B$90)+IF($B$90-I23&gt;0,$C$32*($B$90-I23))+('Incremental Rev Req'!$F$81*$B$90)</f>
        <v>100.02000000000001</v>
      </c>
      <c r="D94" s="172">
        <f>$C$34*MIN(J23,$B$90)+IF($B$90-J23&gt;0,$C$35*($B$90-J23))+('Incremental Rev Req'!$F$81*$B$90)</f>
        <v>100.02000000000001</v>
      </c>
      <c r="E94" s="172">
        <f>$D$31*MIN(I23,$B$90)+IF($B$90-I23&gt;0,$D$32*($B$90-I23))+('Incremental Rev Req'!$F$81*$B$90)</f>
        <v>105.352</v>
      </c>
      <c r="F94" s="172">
        <f>$D$34*MIN(J23,$B$90)+IF($B$90-J23&gt;0,$D$35*($B$90-J23))+('Incremental Rev Req'!$F$81*$B$90)</f>
        <v>105.352</v>
      </c>
      <c r="G94" s="172">
        <f>$E$31*MIN(I23,$B$90)+IF($B$90-I23&gt;0,$E$32*($B$90-I23))+('Incremental Rev Req'!$F$81*$B$90)</f>
        <v>107.44805370222745</v>
      </c>
      <c r="H94" s="172">
        <f>$E$34*MIN(J23,$B$90)+IF($B$90-J23&gt;0,$E$35*($B$90-J23))+('Incremental Rev Req'!$F$81*$B$90)</f>
        <v>107.44805370222745</v>
      </c>
      <c r="I94" s="172">
        <f>$F$31*MIN(I23,$B$90)+IF($B$90-I23&gt;0,$F$32*($B$90-I23))+('Incremental Rev Req'!$F$81*$B$90)</f>
        <v>116.29763256303585</v>
      </c>
      <c r="J94" s="172">
        <f>$F$34*MIN(J23,$B$90)+IF($B$90-J23&gt;0,$F$35*($B$90-J23))+('Incremental Rev Req'!$F$81*$B$90)</f>
        <v>116.29763256303585</v>
      </c>
      <c r="M94" s="149" t="s">
        <v>239</v>
      </c>
      <c r="N94" s="172">
        <f>$C$31*MIN($L23,$M$90)+IF($M$90-$L23&gt;0,$C$32*($M$90-$L23))+('Incremental Rev Req'!$F$81*$M$90)</f>
        <v>100.02000000000001</v>
      </c>
      <c r="O94" s="172">
        <f>$C$34*MIN($M23,$M$90)+IF($M$90-$M23&gt;0,$C$35*($M$90-$M23))+('Incremental Rev Req'!$F$81*$M$90)</f>
        <v>100.02000000000001</v>
      </c>
      <c r="P94" s="172">
        <f>$D$31*MIN($L23,$B$90)+IF($B$90-$L23&gt;0,$D$32*($B$90-$L23))+('Incremental Rev Req'!$F$81*$B$90)</f>
        <v>105.352</v>
      </c>
      <c r="Q94" s="172">
        <f>$D$34*MIN($M23,$B$90)+IF($B$90-$M23&gt;0,$D$35*($B$90-$M23))+('Incremental Rev Req'!$F$81*$B$90)</f>
        <v>105.352</v>
      </c>
      <c r="R94" s="172">
        <f>$E$31*MIN($L23,$B$90)+IF($B$90-$L23&gt;0,$E$32*($B$90-$L23))+('Incremental Rev Req'!$F$81*$B$90)</f>
        <v>107.44805370222745</v>
      </c>
      <c r="S94" s="172">
        <f>$E$34*MIN($M23,$B$90)+IF($B$90-$M23&gt;0,$E$35*($B$90-$M23))+('Incremental Rev Req'!$F$81*$B$90)</f>
        <v>107.44805370222745</v>
      </c>
      <c r="T94" s="172">
        <f>$F$31*MIN(L23,$B$90)+IF($B$90-L23&gt;0,$F$32*($B$90-L23))+('Incremental Rev Req'!$F$81*$B$90)</f>
        <v>116.29763256303585</v>
      </c>
      <c r="U94" s="172">
        <f>$F$34*MIN($M23,$B$90)+IF($B$90-$M23&gt;0,$F$35*($B$90-$M23))+('Incremental Rev Req'!$F$81*$B$90)</f>
        <v>116.29763256303585</v>
      </c>
    </row>
    <row r="95" spans="2:21">
      <c r="B95" s="149" t="s">
        <v>236</v>
      </c>
      <c r="C95" s="172">
        <f>$C$31*MIN(I24,$B$90)+IF($B$90-I24&gt;0,$C$32*($B$90-I24))+('Incremental Rev Req'!$F$81*$B$90)</f>
        <v>100.02000000000001</v>
      </c>
      <c r="D95" s="172">
        <f>$C$34*MIN(J24,$B$90)+IF($B$90-J24&gt;0,$C$35*($B$90-J24))+('Incremental Rev Req'!$F$81*$B$90)</f>
        <v>100.02000000000001</v>
      </c>
      <c r="E95" s="172">
        <f>$D$31*MIN(I24,$B$90)+IF($B$90-I24&gt;0,$D$32*($B$90-I24))+('Incremental Rev Req'!$F$81*$B$90)</f>
        <v>105.352</v>
      </c>
      <c r="F95" s="172">
        <f>$D$34*MIN(J24,$B$90)+IF($B$90-J24&gt;0,$D$35*($B$90-J24))+('Incremental Rev Req'!$F$81*$B$90)</f>
        <v>105.352</v>
      </c>
      <c r="G95" s="172">
        <f>$E$31*MIN(I24,$B$90)+IF($B$90-I24&gt;0,$E$32*($B$90-I24))+('Incremental Rev Req'!$F$81*$B$90)</f>
        <v>107.44805370222745</v>
      </c>
      <c r="H95" s="172">
        <f>$E$34*MIN(J24,$B$90)+IF($B$90-J24&gt;0,$E$35*($B$90-J24))+('Incremental Rev Req'!$F$81*$B$90)</f>
        <v>107.44805370222745</v>
      </c>
      <c r="I95" s="172">
        <f>$F$31*MIN(I24,$B$90)+IF($B$90-I24&gt;0,$F$32*($B$90-I24))+('Incremental Rev Req'!$F$81*$B$90)</f>
        <v>116.29763256303585</v>
      </c>
      <c r="J95" s="172">
        <f>$F$34*MIN(J24,$B$90)+IF($B$90-J24&gt;0,$F$35*($B$90-J24))+('Incremental Rev Req'!$F$81*$B$90)</f>
        <v>116.29763256303585</v>
      </c>
      <c r="M95" s="149" t="s">
        <v>236</v>
      </c>
      <c r="N95" s="172">
        <f>$C$31*MIN($L24,$M$90)+IF($M$90-$L24&gt;0,$C$32*($M$90-$L24))+('Incremental Rev Req'!$F$81*$M$90)</f>
        <v>100.02000000000001</v>
      </c>
      <c r="O95" s="172">
        <f>$C$34*MIN($M24,$M$90)+IF($M$90-$M24&gt;0,$C$35*($M$90-$M24))+('Incremental Rev Req'!$F$81*$M$90)</f>
        <v>100.02000000000001</v>
      </c>
      <c r="P95" s="172">
        <f>$D$31*MIN($L24,$B$90)+IF($B$90-$L24&gt;0,$D$32*($B$90-$L24))+('Incremental Rev Req'!$F$81*$B$90)</f>
        <v>105.352</v>
      </c>
      <c r="Q95" s="172">
        <f>$D$34*MIN($M24,$B$90)+IF($B$90-$M24&gt;0,$D$35*($B$90-$M24))+('Incremental Rev Req'!$F$81*$B$90)</f>
        <v>105.352</v>
      </c>
      <c r="R95" s="172">
        <f>$E$31*MIN($L24,$B$90)+IF($B$90-$L24&gt;0,$E$32*($B$90-$L24))+('Incremental Rev Req'!$F$81*$B$90)</f>
        <v>107.44805370222745</v>
      </c>
      <c r="S95" s="172">
        <f>$E$34*MIN($M24,$B$90)+IF($B$90-$M24&gt;0,$E$35*($B$90-$M24))+('Incremental Rev Req'!$F$81*$B$90)</f>
        <v>107.44805370222745</v>
      </c>
      <c r="T95" s="172">
        <f>$F$31*MIN(L24,$B$90)+IF($B$90-L24&gt;0,$F$32*($B$90-L24))+('Incremental Rev Req'!$F$81*$B$90)</f>
        <v>116.29763256303585</v>
      </c>
      <c r="U95" s="172">
        <f>$F$34*MIN($M24,$B$90)+IF($B$90-$M24&gt;0,$F$35*($B$90-$M24))+('Incremental Rev Req'!$F$81*$B$90)</f>
        <v>116.29763256303585</v>
      </c>
    </row>
    <row r="96" spans="2:21">
      <c r="B96" s="152" t="s">
        <v>238</v>
      </c>
      <c r="C96" s="172">
        <f>$C$31*MIN(I25,$B$90)+IF($B$90-I25&gt;0,$C$32*($B$90-I25))+('Incremental Rev Req'!$F$81*$B$90)</f>
        <v>100.02000000000001</v>
      </c>
      <c r="D96" s="172">
        <f>$C$34*MIN(J25,$B$90)+IF($B$90-J25&gt;0,$C$35*($B$90-J25))+('Incremental Rev Req'!$F$81*$B$90)</f>
        <v>101.79008</v>
      </c>
      <c r="E96" s="172">
        <f>$D$31*MIN(I25,$B$90)+IF($B$90-I25&gt;0,$D$32*($B$90-I25))+('Incremental Rev Req'!$F$81*$B$90)</f>
        <v>105.352</v>
      </c>
      <c r="F96" s="172">
        <f>$D$34*MIN(J25,$B$90)+IF($B$90-J25&gt;0,$D$35*($B$90-J25))+('Incremental Rev Req'!$F$81*$B$90)</f>
        <v>107.21178</v>
      </c>
      <c r="G96" s="172">
        <f>$E$31*MIN(I25,$B$90)+IF($B$90-I25&gt;0,$E$32*($B$90-I25))+('Incremental Rev Req'!$F$81*$B$90)</f>
        <v>107.44805370222745</v>
      </c>
      <c r="H96" s="172">
        <f>$E$34*MIN(J25,$B$90)+IF($B$90-J25&gt;0,$E$35*($B$90-J25))+('Incremental Rev Req'!$F$81*$B$90)</f>
        <v>109.34497638416138</v>
      </c>
      <c r="I96" s="172">
        <f>$F$31*MIN(I25,$B$90)+IF($B$90-I25&gt;0,$F$32*($B$90-I25))+('Incremental Rev Req'!$F$81*$B$90)</f>
        <v>116.29763256303585</v>
      </c>
      <c r="J96" s="172">
        <f>$F$34*MIN(J25,$B$90)+IF($B$90-J25&gt;0,$F$35*($B$90-J25))+('Incremental Rev Req'!$F$81*$B$90)</f>
        <v>118.35137235921013</v>
      </c>
      <c r="M96" s="152" t="s">
        <v>238</v>
      </c>
      <c r="N96" s="172">
        <f>$C$31*MIN($L25,$M$90)+IF($M$90-$L25&gt;0,$C$32*($M$90-$L25))+('Incremental Rev Req'!$F$81*$M$90)</f>
        <v>104.03672</v>
      </c>
      <c r="O96" s="172">
        <f>$C$34*MIN($M25,$M$90)+IF($M$90-$M25&gt;0,$C$35*($M$90-$M25))+('Incremental Rev Req'!$F$81*$M$90)</f>
        <v>100.02000000000001</v>
      </c>
      <c r="P96" s="172">
        <f>$D$31*MIN($L25,$B$90)+IF($B$90-$L25&gt;0,$D$32*($B$90-$L25))+('Incremental Rev Req'!$F$81*$B$90)</f>
        <v>109.57227</v>
      </c>
      <c r="Q96" s="172">
        <f>$D$34*MIN($M25,$B$90)+IF($B$90-$M25&gt;0,$D$35*($B$90-$M25))+('Incremental Rev Req'!$F$81*$B$90)</f>
        <v>105.352</v>
      </c>
      <c r="R96" s="172">
        <f>$E$31*MIN($L25,$B$90)+IF($B$90-$L25&gt;0,$E$32*($B$90-$L25))+('Incremental Rev Req'!$F$81*$B$90)</f>
        <v>111.75260901892365</v>
      </c>
      <c r="S96" s="172">
        <f>$E$34*MIN($M25,$B$90)+IF($B$90-$M25&gt;0,$E$35*($B$90-$M25))+('Incremental Rev Req'!$F$81*$B$90)</f>
        <v>107.44805370222745</v>
      </c>
      <c r="T96" s="172">
        <f>$F$31*MIN(L25,$B$90)+IF($B$90-L25&gt;0,$F$32*($B$90-L25))+('Incremental Rev Req'!$F$81*$B$90)</f>
        <v>120.95804210050825</v>
      </c>
      <c r="U96" s="172">
        <f>$F$34*MIN($M25,$B$90)+IF($B$90-$M25&gt;0,$F$35*($B$90-$M25))+('Incremental Rev Req'!$F$81*$B$90)</f>
        <v>116.29763256303585</v>
      </c>
    </row>
    <row r="97" spans="2:21">
      <c r="B97" s="6" t="s">
        <v>116</v>
      </c>
      <c r="C97" s="170">
        <f>SUMPRODUCT(C93:C96,$V$22:$V$25)</f>
        <v>101.73126947534834</v>
      </c>
      <c r="D97" s="170">
        <f t="shared" ref="D97:J97" si="20">SUMPRODUCT(D93:D96,$V$22:$V$25)</f>
        <v>102.29710249913477</v>
      </c>
      <c r="E97" s="170">
        <f t="shared" si="20"/>
        <v>107.14998921227478</v>
      </c>
      <c r="F97" s="170">
        <f t="shared" si="20"/>
        <v>107.74449620686119</v>
      </c>
      <c r="G97" s="170">
        <f t="shared" si="20"/>
        <v>109.2819515388729</v>
      </c>
      <c r="H97" s="170">
        <f t="shared" si="20"/>
        <v>109.8883317572855</v>
      </c>
      <c r="I97" s="170">
        <f>SUMPRODUCT(I93:I96,$V$22:$V$25)</f>
        <v>118.28313729926312</v>
      </c>
      <c r="J97" s="170">
        <f t="shared" si="20"/>
        <v>118.9396464959886</v>
      </c>
      <c r="M97" s="6" t="s">
        <v>116</v>
      </c>
      <c r="N97" s="170">
        <f>SUMPRODUCT(N93:N96,$V$22:$V$25)</f>
        <v>107.70044624283778</v>
      </c>
      <c r="O97" s="170">
        <f t="shared" ref="O97:U97" si="21">SUMPRODUCT(O93:O96,$V$22:$V$25)</f>
        <v>102.01066041009909</v>
      </c>
      <c r="P97" s="170">
        <f t="shared" si="21"/>
        <v>113.4216580456843</v>
      </c>
      <c r="Q97" s="170">
        <f t="shared" si="21"/>
        <v>107.44353847142168</v>
      </c>
      <c r="R97" s="170">
        <f t="shared" si="21"/>
        <v>115.67887529527022</v>
      </c>
      <c r="S97" s="170">
        <f t="shared" si="21"/>
        <v>109.58136343057014</v>
      </c>
      <c r="T97" s="170">
        <f t="shared" si="21"/>
        <v>125.20888973858339</v>
      </c>
      <c r="U97" s="170">
        <f t="shared" si="21"/>
        <v>118.60730133783085</v>
      </c>
    </row>
  </sheetData>
  <mergeCells count="71">
    <mergeCell ref="C50:J50"/>
    <mergeCell ref="C40:J40"/>
    <mergeCell ref="C41:D41"/>
    <mergeCell ref="E41:F41"/>
    <mergeCell ref="G41:H41"/>
    <mergeCell ref="I41:J41"/>
    <mergeCell ref="B2:D2"/>
    <mergeCell ref="E3:K3"/>
    <mergeCell ref="P3:V3"/>
    <mergeCell ref="C39:J39"/>
    <mergeCell ref="R41:S41"/>
    <mergeCell ref="T41:U41"/>
    <mergeCell ref="U20:V20"/>
    <mergeCell ref="Q21:R21"/>
    <mergeCell ref="S21:T21"/>
    <mergeCell ref="S30:T30"/>
    <mergeCell ref="N50:U50"/>
    <mergeCell ref="U29:V29"/>
    <mergeCell ref="Q30:R30"/>
    <mergeCell ref="C61:D61"/>
    <mergeCell ref="E61:F61"/>
    <mergeCell ref="G61:H61"/>
    <mergeCell ref="I61:J61"/>
    <mergeCell ref="C51:D51"/>
    <mergeCell ref="E51:F51"/>
    <mergeCell ref="G51:H51"/>
    <mergeCell ref="I51:J51"/>
    <mergeCell ref="C60:J60"/>
    <mergeCell ref="N39:U39"/>
    <mergeCell ref="N40:U40"/>
    <mergeCell ref="N41:O41"/>
    <mergeCell ref="P41:Q41"/>
    <mergeCell ref="C70:J70"/>
    <mergeCell ref="C71:D71"/>
    <mergeCell ref="E71:F71"/>
    <mergeCell ref="G71:H71"/>
    <mergeCell ref="I71:J71"/>
    <mergeCell ref="C80:J80"/>
    <mergeCell ref="C81:D81"/>
    <mergeCell ref="E81:F81"/>
    <mergeCell ref="G81:H81"/>
    <mergeCell ref="I81:J81"/>
    <mergeCell ref="C90:J90"/>
    <mergeCell ref="C91:D91"/>
    <mergeCell ref="E91:F91"/>
    <mergeCell ref="G91:H91"/>
    <mergeCell ref="I91:J91"/>
    <mergeCell ref="R51:S51"/>
    <mergeCell ref="T51:U51"/>
    <mergeCell ref="R71:S71"/>
    <mergeCell ref="T71:U71"/>
    <mergeCell ref="N60:U60"/>
    <mergeCell ref="N61:O61"/>
    <mergeCell ref="P61:Q61"/>
    <mergeCell ref="R61:S61"/>
    <mergeCell ref="T61:U61"/>
    <mergeCell ref="N70:U70"/>
    <mergeCell ref="N71:O71"/>
    <mergeCell ref="P71:Q71"/>
    <mergeCell ref="N51:O51"/>
    <mergeCell ref="P51:Q51"/>
    <mergeCell ref="N90:U90"/>
    <mergeCell ref="N91:O91"/>
    <mergeCell ref="P91:Q91"/>
    <mergeCell ref="R91:S91"/>
    <mergeCell ref="T91:U91"/>
    <mergeCell ref="N80:U80"/>
    <mergeCell ref="N81:O81"/>
    <mergeCell ref="P81:Q81"/>
    <mergeCell ref="R81:S81"/>
    <mergeCell ref="T81:U8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19720-4F19-4227-95C9-1B60B672F29A}">
  <dimension ref="A1:AF84"/>
  <sheetViews>
    <sheetView workbookViewId="0"/>
  </sheetViews>
  <sheetFormatPr defaultColWidth="8.85546875" defaultRowHeight="15"/>
  <cols>
    <col min="1" max="1" width="3.5703125" style="6" customWidth="1"/>
    <col min="2" max="2" width="23.85546875" style="6" customWidth="1"/>
    <col min="3" max="3" width="19.42578125" style="6" customWidth="1"/>
    <col min="4" max="4" width="17.5703125" style="6" customWidth="1"/>
    <col min="5" max="6" width="16.28515625" style="6" customWidth="1"/>
    <col min="7" max="7" width="20.85546875" style="6" customWidth="1"/>
    <col min="8" max="8" width="16.5703125" style="6" customWidth="1"/>
    <col min="9" max="9" width="14.140625" style="6" customWidth="1"/>
    <col min="10" max="10" width="13.5703125" style="6" customWidth="1"/>
    <col min="11" max="11" width="15.140625" style="6" customWidth="1"/>
    <col min="12" max="12" width="14.85546875" style="6" customWidth="1"/>
    <col min="13" max="15" width="15.42578125" style="6" customWidth="1"/>
    <col min="16" max="16" width="13" style="6" customWidth="1"/>
    <col min="17" max="17" width="15.5703125" style="6" customWidth="1"/>
    <col min="18" max="18" width="17.5703125" style="6" customWidth="1"/>
    <col min="19" max="19" width="14.140625" style="6" customWidth="1"/>
    <col min="20" max="21" width="14" style="6" customWidth="1"/>
    <col min="22" max="22" width="15" style="6" customWidth="1"/>
    <col min="23" max="23" width="14.140625" style="6" customWidth="1"/>
    <col min="24" max="24" width="14.85546875" style="6" bestFit="1" customWidth="1"/>
    <col min="25" max="26" width="14.85546875" style="6" customWidth="1"/>
    <col min="27" max="27" width="19.42578125" style="6" customWidth="1"/>
    <col min="28" max="28" width="16.85546875" style="6" customWidth="1"/>
    <col min="29" max="30" width="20.140625" style="6" bestFit="1" customWidth="1"/>
    <col min="31" max="31" width="17.140625" style="6" bestFit="1" customWidth="1"/>
    <col min="32" max="16384" width="8.85546875" style="6"/>
  </cols>
  <sheetData>
    <row r="1" spans="1:32" s="184" customFormat="1" ht="25.5" customHeight="1">
      <c r="A1" s="468"/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</row>
    <row r="2" spans="1:32" ht="15.75">
      <c r="B2" s="84"/>
      <c r="C2" s="534" t="s">
        <v>170</v>
      </c>
      <c r="D2" s="53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</row>
    <row r="3" spans="1:32">
      <c r="B3" s="85"/>
      <c r="C3" s="86" t="s">
        <v>167</v>
      </c>
      <c r="D3" s="86" t="s">
        <v>171</v>
      </c>
      <c r="S3" s="87"/>
      <c r="T3" s="87"/>
      <c r="U3" s="87"/>
      <c r="V3" s="87"/>
      <c r="W3" s="87"/>
      <c r="X3" s="87"/>
      <c r="Y3" s="87"/>
      <c r="Z3" s="87"/>
      <c r="AA3" s="87"/>
    </row>
    <row r="4" spans="1:32" ht="15.75">
      <c r="B4" s="273" t="s">
        <v>3</v>
      </c>
      <c r="C4" s="167">
        <f>INDEX('Incremental Rev Req'!$N$8:$S$23,MATCH(B4,'Incremental Rev Req'!$N$8:$N$23,0),MATCH(Summary!$D$2,'Incremental Rev Req'!$N$8:$S$8,0))</f>
        <v>544345.88951319002</v>
      </c>
      <c r="D4" s="167">
        <f>INDEX('Incremental Rev Req'!$N$85:$S$99,MATCH(B4,'Incremental Rev Req'!$N$85:$N$99,0),MATCH(Summary!$D$2,'Incremental Rev Req'!$N$85:$S$85,0))</f>
        <v>568677.46638791985</v>
      </c>
      <c r="H4" s="540" t="s">
        <v>172</v>
      </c>
      <c r="I4" s="540"/>
      <c r="J4" s="540"/>
      <c r="K4" s="540"/>
      <c r="L4" s="540"/>
      <c r="M4" s="540"/>
      <c r="N4" s="540"/>
      <c r="O4" s="540"/>
      <c r="P4" s="540"/>
      <c r="Q4" s="540"/>
      <c r="R4" s="540"/>
      <c r="S4" s="540"/>
      <c r="T4" s="540"/>
      <c r="U4" s="540"/>
      <c r="V4" s="41"/>
      <c r="W4" s="41"/>
      <c r="X4" s="41"/>
      <c r="Y4" s="41"/>
      <c r="Z4" s="41"/>
      <c r="AA4" s="41"/>
      <c r="AB4" s="41"/>
      <c r="AC4" s="41"/>
      <c r="AD4" s="41"/>
    </row>
    <row r="5" spans="1:32" ht="31.5">
      <c r="B5" s="273" t="s">
        <v>433</v>
      </c>
      <c r="C5" s="167">
        <f>INDEX('Incremental Rev Req'!$N$8:$S$23,MATCH(B5,'Incremental Rev Req'!$N$8:$N$23,0),MATCH(Summary!$D$2,'Incremental Rev Req'!$N$8:$S$8,0))</f>
        <v>646.63774141190402</v>
      </c>
      <c r="D5" s="167">
        <f>INDEX('Incremental Rev Req'!$N$85:$S$99,MATCH(B5,'Incremental Rev Req'!$N$85:$N$99,0),MATCH(Summary!$D$2,'Incremental Rev Req'!$N$85:$S$85,0))</f>
        <v>646.63774141190402</v>
      </c>
      <c r="G5" s="1"/>
      <c r="H5" s="90" t="s">
        <v>3</v>
      </c>
      <c r="I5" s="90" t="s">
        <v>433</v>
      </c>
      <c r="J5" s="90" t="s">
        <v>60</v>
      </c>
      <c r="K5" s="90" t="s">
        <v>5</v>
      </c>
      <c r="L5" s="90" t="s">
        <v>100</v>
      </c>
      <c r="M5" s="90" t="s">
        <v>14</v>
      </c>
      <c r="N5" s="90" t="s">
        <v>81</v>
      </c>
      <c r="O5" s="90" t="s">
        <v>102</v>
      </c>
      <c r="P5" s="90" t="s">
        <v>98</v>
      </c>
      <c r="Q5" s="90" t="s">
        <v>79</v>
      </c>
      <c r="R5" s="90" t="s">
        <v>10</v>
      </c>
      <c r="S5" s="90" t="s">
        <v>235</v>
      </c>
      <c r="T5" s="90" t="s">
        <v>88</v>
      </c>
      <c r="U5" s="90" t="s">
        <v>267</v>
      </c>
      <c r="V5" s="6" t="s">
        <v>261</v>
      </c>
      <c r="AC5" s="292"/>
      <c r="AD5" s="51"/>
    </row>
    <row r="6" spans="1:32" ht="15.75">
      <c r="B6" s="274" t="s">
        <v>60</v>
      </c>
      <c r="C6" s="167">
        <f>INDEX('Incremental Rev Req'!$N$8:$S$23,MATCH(B6,'Incremental Rev Req'!$N$8:$N$23,0),MATCH(Summary!$D$2,'Incremental Rev Req'!$N$8:$S$8,0))</f>
        <v>368769.24400659313</v>
      </c>
      <c r="D6" s="167">
        <f>INDEX('Incremental Rev Req'!$N$85:$S$99,MATCH(B6,'Incremental Rev Req'!$N$85:$N$99,0),MATCH(Summary!$D$2,'Incremental Rev Req'!$N$85:$S$85,0))</f>
        <v>368769.24400659313</v>
      </c>
      <c r="G6" s="1" t="s">
        <v>449</v>
      </c>
      <c r="H6" s="91">
        <f>IF(Summary!$D$2=2024,'Sales Allocations'!C10,'Sales Allocations'!C11)</f>
        <v>0.11954875500949963</v>
      </c>
      <c r="I6" s="91">
        <f>IF(Summary!$D$2=2024,'Sales Allocations'!D10,'Sales Allocations'!D11)</f>
        <v>0.13851677628572273</v>
      </c>
      <c r="J6" s="91">
        <f>IF(Summary!$D$2=2024,'Sales Allocations'!E10,'Sales Allocations'!E11)</f>
        <v>0.11084737412205574</v>
      </c>
      <c r="K6" s="91">
        <f>IF(Summary!$D$2=2024,'Sales Allocations'!F10,'Sales Allocations'!F11)</f>
        <v>0.15934999890001589</v>
      </c>
      <c r="L6" s="91">
        <f>IF(Summary!$D$2=2024,'Sales Allocations'!G10,'Sales Allocations'!G11)</f>
        <v>6.1411071196190617E-2</v>
      </c>
      <c r="M6" s="91">
        <f>IF(Summary!$D$2=2024,'Sales Allocations'!H10,'Sales Allocations'!H11)</f>
        <v>0.12511843262201919</v>
      </c>
      <c r="N6" s="91">
        <f>IF(Summary!$D$2=2024,'Sales Allocations'!I10,'Sales Allocations'!I11)</f>
        <v>0.11931503905843863</v>
      </c>
      <c r="O6" s="91">
        <f>IF(Summary!$D$2=2024,'Sales Allocations'!J10,'Sales Allocations'!J11)</f>
        <v>0.11647502243016955</v>
      </c>
      <c r="P6" s="91">
        <f>IF(Summary!$D$2=2024,'Sales Allocations'!K10,'Sales Allocations'!K11)</f>
        <v>0</v>
      </c>
      <c r="Q6" s="91">
        <f>IF(Summary!$D$2=2024,'Sales Allocations'!L10,'Sales Allocations'!L11)</f>
        <v>0</v>
      </c>
      <c r="R6" s="91">
        <f>IF(Summary!$D$2=2024,'Sales Allocations'!M10,'Sales Allocations'!M11)</f>
        <v>9.6437944900238021E-2</v>
      </c>
      <c r="S6" s="91">
        <f>IF(Summary!$D$2=2024,'Sales Allocations'!N10,'Sales Allocations'!N11)</f>
        <v>0.15567477264143847</v>
      </c>
      <c r="T6" s="91">
        <f>IF(Summary!$D$2=2024,'Sales Allocations'!O10,'Sales Allocations'!O11)</f>
        <v>0.12696685729281706</v>
      </c>
      <c r="U6" s="91">
        <f>IF(Summary!$D$2=2024,'Sales Allocations'!P10,'Sales Allocations'!P11)</f>
        <v>0.12123216117474646</v>
      </c>
      <c r="V6" s="265">
        <f>'Sales Allocations'!R3</f>
        <v>1E-3</v>
      </c>
      <c r="AD6" s="293"/>
    </row>
    <row r="7" spans="1:32" ht="15.75">
      <c r="B7" s="274" t="s">
        <v>5</v>
      </c>
      <c r="C7" s="167">
        <f>INDEX('Incremental Rev Req'!$N$8:$S$23,MATCH(B7,'Incremental Rev Req'!$N$8:$N$23,0),MATCH(Summary!$D$2,'Incremental Rev Req'!$N$8:$S$8,0))</f>
        <v>2348308.8303103489</v>
      </c>
      <c r="D7" s="167">
        <f>INDEX('Incremental Rev Req'!$N$85:$S$99,MATCH(B7,'Incremental Rev Req'!$N$85:$N$99,0),MATCH(Summary!$D$2,'Incremental Rev Req'!$N$85:$S$85,0))</f>
        <v>2705897.3758437061</v>
      </c>
      <c r="G7" s="1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AD7" s="259"/>
    </row>
    <row r="8" spans="1:32" ht="15.6" customHeight="1">
      <c r="B8" s="274" t="s">
        <v>100</v>
      </c>
      <c r="C8" s="167">
        <f>INDEX('Incremental Rev Req'!$N$8:$S$23,MATCH(B8,'Incremental Rev Req'!$N$8:$N$23,0),MATCH(Summary!$D$2,'Incremental Rev Req'!$N$8:$S$8,0))</f>
        <v>-232593.89170328664</v>
      </c>
      <c r="D8" s="167">
        <f>INDEX('Incremental Rev Req'!$N$85:$S$99,MATCH(B8,'Incremental Rev Req'!$N$85:$N$99,0),MATCH(Summary!$D$2,'Incremental Rev Req'!$N$85:$S$85,0))</f>
        <v>-232593.89170328664</v>
      </c>
      <c r="G8" s="93"/>
      <c r="H8" s="540" t="s">
        <v>173</v>
      </c>
      <c r="I8" s="540"/>
      <c r="J8" s="540"/>
      <c r="K8" s="540"/>
      <c r="L8" s="540"/>
      <c r="M8" s="540"/>
      <c r="N8" s="540"/>
      <c r="O8" s="540"/>
      <c r="P8" s="540"/>
      <c r="Q8" s="540"/>
      <c r="R8" s="540"/>
      <c r="S8" s="540"/>
      <c r="T8" s="540"/>
      <c r="U8" s="540"/>
      <c r="AD8" s="259"/>
    </row>
    <row r="9" spans="1:32" ht="15.75" customHeight="1">
      <c r="B9" s="274" t="s">
        <v>14</v>
      </c>
      <c r="C9" s="167">
        <f>INDEX('Incremental Rev Req'!$N$8:$S$23,MATCH(B9,'Incremental Rev Req'!$N$8:$N$23,0),MATCH(Summary!$D$2,'Incremental Rev Req'!$N$8:$S$8,0))</f>
        <v>9899.0440657074287</v>
      </c>
      <c r="D9" s="167">
        <f>INDEX('Incremental Rev Req'!$N$85:$S$99,MATCH(B9,'Incremental Rev Req'!$N$85:$N$99,0),MATCH(Summary!$D$2,'Incremental Rev Req'!$N$85:$S$85,0))</f>
        <v>9899.0440657074287</v>
      </c>
      <c r="G9" s="94" t="s">
        <v>167</v>
      </c>
      <c r="H9" s="90" t="s">
        <v>3</v>
      </c>
      <c r="I9" s="90" t="s">
        <v>433</v>
      </c>
      <c r="J9" s="90" t="s">
        <v>60</v>
      </c>
      <c r="K9" s="90" t="s">
        <v>5</v>
      </c>
      <c r="L9" s="90" t="s">
        <v>100</v>
      </c>
      <c r="M9" s="90" t="s">
        <v>14</v>
      </c>
      <c r="N9" s="90" t="s">
        <v>81</v>
      </c>
      <c r="O9" s="90" t="s">
        <v>102</v>
      </c>
      <c r="P9" s="90" t="s">
        <v>98</v>
      </c>
      <c r="Q9" s="90" t="s">
        <v>79</v>
      </c>
      <c r="R9" s="90" t="s">
        <v>10</v>
      </c>
      <c r="S9" s="90" t="s">
        <v>235</v>
      </c>
      <c r="T9" s="90" t="s">
        <v>88</v>
      </c>
      <c r="U9" s="90" t="s">
        <v>267</v>
      </c>
      <c r="AD9" s="259"/>
    </row>
    <row r="10" spans="1:32" ht="15.75">
      <c r="B10" s="274" t="s">
        <v>81</v>
      </c>
      <c r="C10" s="167">
        <f>INDEX('Incremental Rev Req'!$N$8:$S$23,MATCH(B10,'Incremental Rev Req'!$N$8:$N$23,0),MATCH(Summary!$D$2,'Incremental Rev Req'!$N$8:$S$8,0))</f>
        <v>1442.708990029</v>
      </c>
      <c r="D10" s="167">
        <f>INDEX('Incremental Rev Req'!$N$85:$S$99,MATCH(B10,'Incremental Rev Req'!$N$85:$N$99,0),MATCH(Summary!$D$2,'Incremental Rev Req'!$N$85:$S$85,0))</f>
        <v>1442.708990029</v>
      </c>
      <c r="G10" s="1" t="s">
        <v>449</v>
      </c>
      <c r="H10" s="95">
        <f>H6*H11</f>
        <v>65075.87338584051</v>
      </c>
      <c r="I10" s="95">
        <f>I6*I11</f>
        <v>89.570175365057736</v>
      </c>
      <c r="J10" s="95">
        <f>J6*J11</f>
        <v>40877.102355106486</v>
      </c>
      <c r="K10" s="95">
        <f>K6*K11</f>
        <v>374203.0095268517</v>
      </c>
      <c r="L10" s="95">
        <f t="shared" ref="L10:T10" si="0">L6*L11</f>
        <v>-14283.840043189586</v>
      </c>
      <c r="M10" s="95">
        <f t="shared" si="0"/>
        <v>1238.5528779576139</v>
      </c>
      <c r="N10" s="95">
        <f t="shared" si="0"/>
        <v>172.13687949527068</v>
      </c>
      <c r="O10" s="95">
        <f t="shared" si="0"/>
        <v>36226.879881418899</v>
      </c>
      <c r="P10" s="95">
        <f t="shared" si="0"/>
        <v>0</v>
      </c>
      <c r="Q10" s="95">
        <f t="shared" si="0"/>
        <v>0</v>
      </c>
      <c r="R10" s="95">
        <f t="shared" si="0"/>
        <v>66070.067423410335</v>
      </c>
      <c r="S10" s="95">
        <f>S6*S11</f>
        <v>13181.651009213276</v>
      </c>
      <c r="T10" s="95">
        <f t="shared" si="0"/>
        <v>17.904230900410607</v>
      </c>
      <c r="U10" s="95">
        <f>U6*U11</f>
        <v>12359.170406544245</v>
      </c>
      <c r="V10" s="95">
        <f>SUM(H10:U10)</f>
        <v>595228.07810891431</v>
      </c>
      <c r="W10" s="190"/>
      <c r="X10" s="194"/>
      <c r="AB10" s="106"/>
      <c r="AD10" s="259"/>
    </row>
    <row r="11" spans="1:32" ht="15.75">
      <c r="B11" s="275" t="s">
        <v>102</v>
      </c>
      <c r="C11" s="167">
        <f>INDEX('Incremental Rev Req'!$N$8:$S$23,MATCH(B11,'Incremental Rev Req'!$N$8:$N$23,0),MATCH(Summary!$D$2,'Incremental Rev Req'!$N$8:$S$8,0))</f>
        <v>311027.02644370002</v>
      </c>
      <c r="D11" s="167">
        <f>INDEX('Incremental Rev Req'!$N$85:$S$99,MATCH(B11,'Incremental Rev Req'!$N$85:$N$99,0),MATCH(Summary!$D$2,'Incremental Rev Req'!$N$85:$S$85,0))</f>
        <v>311027.02644370002</v>
      </c>
      <c r="G11" s="1" t="s">
        <v>174</v>
      </c>
      <c r="H11" s="96">
        <f>C4</f>
        <v>544345.88951319002</v>
      </c>
      <c r="I11" s="96">
        <f>C5</f>
        <v>646.63774141190402</v>
      </c>
      <c r="J11" s="96">
        <f>C6</f>
        <v>368769.24400659313</v>
      </c>
      <c r="K11" s="96">
        <f>C7</f>
        <v>2348308.8303103489</v>
      </c>
      <c r="L11" s="96">
        <f>C8</f>
        <v>-232593.89170328664</v>
      </c>
      <c r="M11" s="96">
        <f>C9</f>
        <v>9899.0440657074287</v>
      </c>
      <c r="N11" s="96">
        <f>C10</f>
        <v>1442.708990029</v>
      </c>
      <c r="O11" s="96">
        <f>C11</f>
        <v>311027.02644370002</v>
      </c>
      <c r="P11" s="96">
        <f>C12</f>
        <v>0</v>
      </c>
      <c r="Q11" s="96">
        <f>C16</f>
        <v>9000</v>
      </c>
      <c r="R11" s="96">
        <f>C14</f>
        <v>685104.47305526584</v>
      </c>
      <c r="S11" s="96">
        <f>C17</f>
        <v>84674.29105918284</v>
      </c>
      <c r="T11" s="96">
        <f>C15</f>
        <v>141.01499621368913</v>
      </c>
      <c r="U11" s="96">
        <f>C13</f>
        <v>101946.30110346289</v>
      </c>
      <c r="V11" s="95">
        <f>SUM(H11:U11)</f>
        <v>4232711.5695818188</v>
      </c>
      <c r="W11" s="189"/>
      <c r="X11" s="194"/>
      <c r="AB11" s="106"/>
      <c r="AC11" s="106"/>
    </row>
    <row r="12" spans="1:32" ht="15.75">
      <c r="B12" s="274" t="s">
        <v>98</v>
      </c>
      <c r="C12" s="167">
        <f>INDEX('Incremental Rev Req'!$N$8:$S$23,MATCH(B12,'Incremental Rev Req'!$N$8:$N$23,0),MATCH(Summary!$D$2,'Incremental Rev Req'!$N$8:$S$8,0))</f>
        <v>0</v>
      </c>
      <c r="D12" s="167">
        <f>INDEX('Incremental Rev Req'!$N$85:$S$99,MATCH(B12,'Incremental Rev Req'!$N$85:$N$99,0),MATCH(Summary!$D$2,'Incremental Rev Req'!$N$85:$S$85,0))</f>
        <v>0</v>
      </c>
      <c r="G12" s="94" t="s">
        <v>175</v>
      </c>
      <c r="V12" s="95"/>
      <c r="X12" s="194"/>
      <c r="AC12" s="194"/>
      <c r="AD12" s="180"/>
    </row>
    <row r="13" spans="1:32" ht="15.75" customHeight="1">
      <c r="B13" s="274" t="s">
        <v>267</v>
      </c>
      <c r="C13" s="167">
        <f>INDEX('Incremental Rev Req'!$N$8:$S$23,MATCH(B13,'Incremental Rev Req'!$N$8:$N$23,0),MATCH(Summary!$D$2,'Incremental Rev Req'!$N$8:$S$8,0))</f>
        <v>101946.30110346289</v>
      </c>
      <c r="D13" s="167">
        <f>INDEX('Incremental Rev Req'!$N$85:$S$99,MATCH(B13,'Incremental Rev Req'!$N$85:$N$99,0),MATCH(Summary!$D$2,'Incremental Rev Req'!$N$85:$S$85,0))</f>
        <v>101946.30110346289</v>
      </c>
      <c r="G13" s="1" t="s">
        <v>449</v>
      </c>
      <c r="H13" s="95">
        <f>H6*H14</f>
        <v>67984.683108632395</v>
      </c>
      <c r="I13" s="95">
        <f>I6*I14</f>
        <v>89.570175365057736</v>
      </c>
      <c r="J13" s="95">
        <f t="shared" ref="J13:T13" si="1">J6*J14</f>
        <v>40877.102355106486</v>
      </c>
      <c r="K13" s="95">
        <f t="shared" si="1"/>
        <v>431184.74386425043</v>
      </c>
      <c r="L13" s="95">
        <f t="shared" si="1"/>
        <v>-14283.840043189586</v>
      </c>
      <c r="M13" s="95">
        <f t="shared" si="1"/>
        <v>1238.5528779576139</v>
      </c>
      <c r="N13" s="95">
        <f t="shared" si="1"/>
        <v>172.13687949527068</v>
      </c>
      <c r="O13" s="95">
        <f t="shared" si="1"/>
        <v>36226.879881418899</v>
      </c>
      <c r="P13" s="95">
        <f t="shared" si="1"/>
        <v>0</v>
      </c>
      <c r="Q13" s="95">
        <f t="shared" si="1"/>
        <v>0</v>
      </c>
      <c r="R13" s="95">
        <f t="shared" si="1"/>
        <v>66070.067423410335</v>
      </c>
      <c r="S13" s="95">
        <f>S6*S14</f>
        <v>13181.651009213276</v>
      </c>
      <c r="T13" s="95">
        <f t="shared" si="1"/>
        <v>17.904230900410607</v>
      </c>
      <c r="U13" s="95">
        <f>U6*U14</f>
        <v>12359.170406544245</v>
      </c>
      <c r="V13" s="95">
        <f>SUM(H13:U13)</f>
        <v>655118.62216910487</v>
      </c>
      <c r="W13" s="190"/>
      <c r="X13" s="194"/>
      <c r="AC13" s="106"/>
      <c r="AD13" s="106"/>
    </row>
    <row r="14" spans="1:32" ht="15.75" customHeight="1">
      <c r="B14" s="274" t="s">
        <v>10</v>
      </c>
      <c r="C14" s="167">
        <f>INDEX('Incremental Rev Req'!$N$8:$S$23,MATCH(B14,'Incremental Rev Req'!$N$8:$N$23,0),MATCH(Summary!$D$2,'Incremental Rev Req'!$N$8:$S$8,0))</f>
        <v>685104.47305526584</v>
      </c>
      <c r="D14" s="167">
        <f>INDEX('Incremental Rev Req'!$N$85:$S$99,MATCH(B14,'Incremental Rev Req'!$N$85:$N$99,0),MATCH(Summary!$D$2,'Incremental Rev Req'!$N$85:$S$85,0))</f>
        <v>685104.47305526584</v>
      </c>
      <c r="G14" s="1" t="s">
        <v>174</v>
      </c>
      <c r="H14" s="96">
        <f>D4</f>
        <v>568677.46638791985</v>
      </c>
      <c r="I14" s="96">
        <f>D5</f>
        <v>646.63774141190402</v>
      </c>
      <c r="J14" s="96">
        <f>D6</f>
        <v>368769.24400659313</v>
      </c>
      <c r="K14" s="96">
        <f>D7</f>
        <v>2705897.3758437061</v>
      </c>
      <c r="L14" s="96">
        <f>D8</f>
        <v>-232593.89170328664</v>
      </c>
      <c r="M14" s="96">
        <f>D9</f>
        <v>9899.0440657074287</v>
      </c>
      <c r="N14" s="96">
        <f>D10</f>
        <v>1442.708990029</v>
      </c>
      <c r="O14" s="96">
        <f>D11</f>
        <v>311027.02644370002</v>
      </c>
      <c r="P14" s="96">
        <f>D12</f>
        <v>0</v>
      </c>
      <c r="Q14" s="96">
        <f>D16</f>
        <v>9000</v>
      </c>
      <c r="R14" s="96">
        <f>D14</f>
        <v>685104.47305526584</v>
      </c>
      <c r="S14" s="96">
        <f>D17</f>
        <v>84674.29105918284</v>
      </c>
      <c r="T14" s="96">
        <f>D15</f>
        <v>141.01499621368913</v>
      </c>
      <c r="U14" s="96">
        <f>D13</f>
        <v>101946.30110346289</v>
      </c>
      <c r="V14" s="95">
        <f>SUM(H14:U14)</f>
        <v>4614631.6919899052</v>
      </c>
      <c r="W14" s="189"/>
      <c r="X14" s="194"/>
      <c r="AC14" s="106"/>
      <c r="AD14" s="388"/>
    </row>
    <row r="15" spans="1:32" ht="15.75">
      <c r="B15" s="274" t="s">
        <v>88</v>
      </c>
      <c r="C15" s="167">
        <f>INDEX('Incremental Rev Req'!$N$8:$S$23,MATCH(B15,'Incremental Rev Req'!$N$8:$N$23,0),MATCH(Summary!$D$2,'Incremental Rev Req'!$N$8:$S$8,0))</f>
        <v>141.01499621368913</v>
      </c>
      <c r="D15" s="167">
        <f>INDEX('Incremental Rev Req'!$N$85:$S$99,MATCH(B15,'Incremental Rev Req'!$N$85:$N$99,0),MATCH(Summary!$D$2,'Incremental Rev Req'!$N$85:$S$85,0))</f>
        <v>141.01499621368913</v>
      </c>
      <c r="G15" s="97"/>
      <c r="H15" s="39"/>
      <c r="I15" s="39"/>
      <c r="J15" s="39"/>
      <c r="K15" s="39"/>
      <c r="L15" s="93"/>
      <c r="AC15" s="1"/>
    </row>
    <row r="16" spans="1:32" ht="15.75">
      <c r="B16" s="274" t="s">
        <v>79</v>
      </c>
      <c r="C16" s="167">
        <f>INDEX('Incremental Rev Req'!$N$8:$S$23,MATCH(B16,'Incremental Rev Req'!$N$8:$N$23,0),MATCH(Summary!$D$2,'Incremental Rev Req'!$N$8:$S$8,0))</f>
        <v>9000</v>
      </c>
      <c r="D16" s="167">
        <f>INDEX('Incremental Rev Req'!$N$85:$S$99,MATCH(B16,'Incremental Rev Req'!$N$85:$N$99,0),MATCH(Summary!$D$2,'Incremental Rev Req'!$N$85:$S$85,0))</f>
        <v>9000</v>
      </c>
      <c r="V16" s="526" t="s">
        <v>277</v>
      </c>
      <c r="W16" s="527"/>
      <c r="X16" s="526" t="s">
        <v>269</v>
      </c>
      <c r="Y16" s="527"/>
      <c r="Z16" s="535" t="s">
        <v>270</v>
      </c>
      <c r="AA16" s="535" t="s">
        <v>271</v>
      </c>
      <c r="AC16" s="235"/>
      <c r="AD16" s="389"/>
      <c r="AE16" s="352"/>
      <c r="AF16" s="180"/>
    </row>
    <row r="17" spans="2:32" ht="15.75">
      <c r="B17" s="1" t="s">
        <v>235</v>
      </c>
      <c r="C17" s="167">
        <f>INDEX('Incremental Rev Req'!$N$8:$S$23,MATCH(B17,'Incremental Rev Req'!$N$8:$N$23,0),MATCH(Summary!$D$2,'Incremental Rev Req'!$N$8:$S$8,0))</f>
        <v>84674.29105918284</v>
      </c>
      <c r="D17" s="167">
        <f>INDEX('Incremental Rev Req'!$N$85:$S$99,MATCH(B17,'Incremental Rev Req'!$N$85:$N$99,0),MATCH(Summary!$D$2,'Incremental Rev Req'!$N$85:$S$85,0))</f>
        <v>84674.29105918284</v>
      </c>
      <c r="G17" s="93"/>
      <c r="H17" s="533" t="s">
        <v>265</v>
      </c>
      <c r="I17" s="533"/>
      <c r="J17" s="533"/>
      <c r="K17" s="533"/>
      <c r="L17" s="533"/>
      <c r="M17" s="533"/>
      <c r="N17" s="533"/>
      <c r="O17" s="533"/>
      <c r="P17" s="533"/>
      <c r="Q17" s="533"/>
      <c r="R17" s="533"/>
      <c r="S17" s="533"/>
      <c r="T17" s="533"/>
      <c r="U17" s="529"/>
      <c r="V17" s="528" t="s">
        <v>178</v>
      </c>
      <c r="W17" s="529"/>
      <c r="X17" s="528" t="s">
        <v>178</v>
      </c>
      <c r="Y17" s="529"/>
      <c r="Z17" s="536"/>
      <c r="AA17" s="536"/>
      <c r="AC17" s="235"/>
      <c r="AD17" s="98" t="s">
        <v>167</v>
      </c>
      <c r="AE17" s="98" t="s">
        <v>175</v>
      </c>
    </row>
    <row r="18" spans="2:32" ht="31.5">
      <c r="B18" s="2" t="s">
        <v>272</v>
      </c>
      <c r="C18" s="88">
        <f>SUM(C4:C17)</f>
        <v>4232711.5695818188</v>
      </c>
      <c r="D18" s="88">
        <f>SUM(D4:D17)</f>
        <v>4614631.6919899061</v>
      </c>
      <c r="F18" s="313"/>
      <c r="H18" s="90" t="s">
        <v>3</v>
      </c>
      <c r="I18" s="90" t="s">
        <v>433</v>
      </c>
      <c r="J18" s="90" t="s">
        <v>60</v>
      </c>
      <c r="K18" s="90" t="s">
        <v>5</v>
      </c>
      <c r="L18" s="90" t="s">
        <v>100</v>
      </c>
      <c r="M18" s="90" t="s">
        <v>14</v>
      </c>
      <c r="N18" s="90" t="s">
        <v>81</v>
      </c>
      <c r="O18" s="90" t="s">
        <v>102</v>
      </c>
      <c r="P18" s="90" t="s">
        <v>98</v>
      </c>
      <c r="Q18" s="90" t="s">
        <v>79</v>
      </c>
      <c r="R18" s="90" t="s">
        <v>10</v>
      </c>
      <c r="S18" s="90" t="s">
        <v>235</v>
      </c>
      <c r="T18" s="90" t="s">
        <v>88</v>
      </c>
      <c r="U18" s="90" t="s">
        <v>267</v>
      </c>
      <c r="V18" s="100" t="s">
        <v>116</v>
      </c>
      <c r="W18" s="20"/>
      <c r="X18" s="101" t="s">
        <v>116</v>
      </c>
      <c r="Y18" s="102"/>
      <c r="Z18" s="100" t="s">
        <v>3</v>
      </c>
      <c r="AA18" s="270" t="s">
        <v>3</v>
      </c>
      <c r="AC18" s="235" t="s">
        <v>260</v>
      </c>
      <c r="AD18" s="96">
        <f>IF(Summary!D2=2024,C33,C34)</f>
        <v>178549.47569957716</v>
      </c>
      <c r="AE18" s="96">
        <f>AD18</f>
        <v>178549.47569957716</v>
      </c>
      <c r="AF18" s="106"/>
    </row>
    <row r="19" spans="2:32" ht="15.75">
      <c r="C19" s="194"/>
      <c r="D19" s="194"/>
      <c r="E19" s="313"/>
      <c r="G19" s="1" t="s">
        <v>449</v>
      </c>
      <c r="H19" s="91">
        <v>1</v>
      </c>
      <c r="I19" s="91">
        <v>0</v>
      </c>
      <c r="J19" s="91">
        <v>1</v>
      </c>
      <c r="K19" s="91">
        <v>1</v>
      </c>
      <c r="L19" s="91">
        <v>1</v>
      </c>
      <c r="M19" s="91">
        <v>1</v>
      </c>
      <c r="N19" s="91">
        <v>1</v>
      </c>
      <c r="O19" s="91">
        <v>1</v>
      </c>
      <c r="P19" s="91">
        <v>1</v>
      </c>
      <c r="Q19" s="91">
        <v>1</v>
      </c>
      <c r="R19" s="91">
        <v>1</v>
      </c>
      <c r="S19" s="91">
        <v>1</v>
      </c>
      <c r="T19" s="91">
        <v>1</v>
      </c>
      <c r="U19" s="91">
        <v>0</v>
      </c>
      <c r="V19" s="103">
        <f>SUMPRODUCT(J10:T10,J19:T19)</f>
        <v>517703.4641411645</v>
      </c>
      <c r="W19" s="107"/>
      <c r="X19" s="103">
        <f>SUMPRODUCT(J13:T13,J19:T19)</f>
        <v>574685.19847856322</v>
      </c>
      <c r="Y19" s="390"/>
      <c r="Z19" s="103">
        <f>SUMPRODUCT(H10,H19)</f>
        <v>65075.87338584051</v>
      </c>
      <c r="AA19" s="271">
        <f>SUMPRODUCT(H13,H19)</f>
        <v>67984.683108632395</v>
      </c>
      <c r="AC19" s="235"/>
      <c r="AD19" s="95"/>
      <c r="AE19" s="95"/>
    </row>
    <row r="20" spans="2:32" ht="15.75">
      <c r="B20" s="2" t="s">
        <v>261</v>
      </c>
      <c r="C20" s="264">
        <f>'Sales Allocations'!R3</f>
        <v>1E-3</v>
      </c>
      <c r="D20" s="264">
        <f>'Sales Allocations'!R3</f>
        <v>1E-3</v>
      </c>
      <c r="G20" s="1" t="s">
        <v>174</v>
      </c>
      <c r="H20" s="91">
        <v>1</v>
      </c>
      <c r="I20" s="91">
        <v>0</v>
      </c>
      <c r="J20" s="91">
        <v>1</v>
      </c>
      <c r="K20" s="91">
        <v>1</v>
      </c>
      <c r="L20" s="91">
        <v>1</v>
      </c>
      <c r="M20" s="91">
        <v>1</v>
      </c>
      <c r="N20" s="91">
        <v>1</v>
      </c>
      <c r="O20" s="91">
        <v>1</v>
      </c>
      <c r="P20" s="91">
        <v>1</v>
      </c>
      <c r="Q20" s="91">
        <v>1</v>
      </c>
      <c r="R20" s="91">
        <v>1</v>
      </c>
      <c r="S20" s="91">
        <v>1</v>
      </c>
      <c r="T20" s="91">
        <v>1</v>
      </c>
      <c r="U20" s="91">
        <v>0</v>
      </c>
      <c r="V20" s="103">
        <f>SUMPRODUCT(J11:T11,J20:T20)</f>
        <v>3585772.7412237544</v>
      </c>
      <c r="W20" s="107"/>
      <c r="X20" s="103">
        <f>SUMPRODUCT(J14:T14,J20:T20)</f>
        <v>3943361.2867571115</v>
      </c>
      <c r="Y20" s="390"/>
      <c r="Z20" s="103">
        <f>SUMPRODUCT(H11,H20)</f>
        <v>544345.88951319002</v>
      </c>
      <c r="AA20" s="271">
        <f>SUMPRODUCT(H14,H20)</f>
        <v>568677.46638791985</v>
      </c>
      <c r="AC20" s="235"/>
      <c r="AD20" s="353"/>
      <c r="AE20" s="353"/>
      <c r="AF20" s="1"/>
    </row>
    <row r="21" spans="2:32" ht="15.75">
      <c r="B21" s="2"/>
      <c r="C21" s="264"/>
      <c r="D21" s="264"/>
      <c r="G21" s="1"/>
      <c r="H21" s="352"/>
      <c r="I21" s="352"/>
      <c r="J21" s="352"/>
      <c r="K21" s="352"/>
      <c r="L21" s="352"/>
      <c r="M21" s="352"/>
      <c r="N21" s="352"/>
      <c r="O21" s="352"/>
      <c r="P21" s="352"/>
      <c r="Q21" s="352"/>
      <c r="R21" s="352"/>
      <c r="S21" s="352"/>
      <c r="T21" s="352"/>
      <c r="U21" s="107"/>
      <c r="V21" s="107"/>
      <c r="W21" s="107"/>
      <c r="X21" s="107"/>
      <c r="Y21" s="107"/>
      <c r="Z21" s="107"/>
      <c r="AB21" s="235"/>
      <c r="AC21" s="353"/>
      <c r="AD21" s="353"/>
      <c r="AE21" s="1"/>
    </row>
    <row r="22" spans="2:32" ht="15.75">
      <c r="B22" s="2"/>
      <c r="C22" s="264"/>
      <c r="D22" s="264"/>
      <c r="G22" s="530" t="s">
        <v>181</v>
      </c>
      <c r="H22" s="531"/>
      <c r="I22" s="531"/>
      <c r="J22" s="531"/>
      <c r="K22" s="531"/>
      <c r="L22" s="532"/>
      <c r="P22" s="1"/>
      <c r="Q22" s="530" t="s">
        <v>182</v>
      </c>
      <c r="R22" s="531"/>
      <c r="S22" s="531"/>
      <c r="T22" s="531"/>
      <c r="U22" s="531"/>
      <c r="V22" s="531"/>
      <c r="W22" s="532"/>
      <c r="X22" s="113"/>
      <c r="AB22" s="99"/>
      <c r="AC22" s="96"/>
      <c r="AD22" s="96"/>
      <c r="AE22" s="181"/>
    </row>
    <row r="23" spans="2:32" ht="63">
      <c r="C23" s="391"/>
      <c r="D23" s="384" t="s">
        <v>409</v>
      </c>
      <c r="E23" s="392"/>
      <c r="F23" s="89"/>
      <c r="G23" s="89" t="str">
        <f>Summary!D2&amp;" SALES DETERMINANTS BUNDLED"</f>
        <v>2024 SALES DETERMINANTS BUNDLED</v>
      </c>
      <c r="H23" s="393" t="str">
        <f>Summary!I2&amp;" Avg Rates"&amp;"(sales adj.)"</f>
        <v>3/1/2024 Avg Rates(sales adj.)</v>
      </c>
      <c r="I23" s="89" t="s">
        <v>183</v>
      </c>
      <c r="J23" s="89" t="s">
        <v>184</v>
      </c>
      <c r="K23" s="89" t="s">
        <v>185</v>
      </c>
      <c r="L23" s="89" t="s">
        <v>186</v>
      </c>
      <c r="Q23" s="1"/>
      <c r="R23" s="89" t="str">
        <f>C24</f>
        <v>SYSTEM NET</v>
      </c>
      <c r="S23" s="89" t="str">
        <f>H23</f>
        <v>3/1/2024 Avg Rates(sales adj.)</v>
      </c>
      <c r="T23" s="89" t="s">
        <v>183</v>
      </c>
      <c r="U23" s="89" t="s">
        <v>184</v>
      </c>
      <c r="V23" s="89" t="s">
        <v>185</v>
      </c>
      <c r="W23" s="89" t="s">
        <v>186</v>
      </c>
      <c r="X23" s="113"/>
      <c r="AC23" s="108"/>
    </row>
    <row r="24" spans="2:32" ht="31.5">
      <c r="B24" s="1"/>
      <c r="C24" s="89" t="s">
        <v>364</v>
      </c>
      <c r="D24" s="89" t="s">
        <v>365</v>
      </c>
      <c r="E24" s="89" t="s">
        <v>366</v>
      </c>
      <c r="F24" s="114" t="s">
        <v>449</v>
      </c>
      <c r="G24" s="269">
        <f>IF(Summary!D2=2024,E25,E38)</f>
        <v>506275.86907375313</v>
      </c>
      <c r="H24" s="165">
        <v>34.765999999999998</v>
      </c>
      <c r="I24" s="272">
        <f>((SUM($J10:$L10,$Q10:$R10,$T10))/IF(Summary!D2=2024,$C25,$C38)*100)+(SUM($M10:$P10,$S10)/IF(Summary!D2=2024,$D25,$D38)*100)+($H10/IF(Summary!D2=2024,$E25,$E38)*100)</f>
        <v>35.10705298468018</v>
      </c>
      <c r="J24" s="272">
        <f>((SUM($J13:$L13,$Q13:$R13,$T13))/IF(Summary!D2=2024,$C25,$C38)*100)+(SUM($M13:$P13,$S13)/IF(Summary!D2=2024,$D25,$D38)*100)+($H13/IF(Summary!D2=2024,$E25,$E38)*100)</f>
        <v>38.135316862043702</v>
      </c>
      <c r="K24" s="115">
        <f>I24/H24-1</f>
        <v>9.8099575642922598E-3</v>
      </c>
      <c r="L24" s="115">
        <f>J24/H24-1</f>
        <v>9.6914136283831942E-2</v>
      </c>
      <c r="O24" s="318"/>
      <c r="Q24" s="114" t="s">
        <v>449</v>
      </c>
      <c r="R24" s="105">
        <f>IF(Summary!D2=2024,C25,C38)</f>
        <v>2322265.1483130348</v>
      </c>
      <c r="S24" s="166">
        <v>35.451507382902832</v>
      </c>
      <c r="T24" s="183">
        <f>I24+($U10/(IF(Summary!D2=2024,$C25,$C38)-IF(Summary!D2=2024,$E25,$E38))*100)+($I10/(IF(Summary!D2=2024,$C25,$C38)-IF(Summary!D2=2024,$E25,$E38))*100)</f>
        <v>35.792560367583015</v>
      </c>
      <c r="U24" s="183">
        <f>J24+($U13/(IF(Summary!D2=2024,$C25,$C38)-IF(Summary!D2=2024,$E25,$E38))*100)+($I13/(IF(Summary!D2=2024,$C25,$C38)-IF(Summary!D2=2024,$E25,$E38))*100)</f>
        <v>38.820824244946536</v>
      </c>
      <c r="V24" s="115">
        <f>T24/S24-1</f>
        <v>9.6202675106746849E-3</v>
      </c>
      <c r="W24" s="115">
        <f>U24/S24-1</f>
        <v>9.5040157972764217E-2</v>
      </c>
      <c r="X24" s="113"/>
      <c r="Y24" s="1"/>
      <c r="Z24" s="1"/>
      <c r="AB24" s="1"/>
      <c r="AC24" s="1"/>
    </row>
    <row r="25" spans="2:32" ht="15.75">
      <c r="B25" s="114" t="s">
        <v>449</v>
      </c>
      <c r="C25" s="269">
        <v>2322265.1483130348</v>
      </c>
      <c r="D25" s="269">
        <v>2365307.5942632677</v>
      </c>
      <c r="E25" s="4">
        <v>506275.86907375313</v>
      </c>
      <c r="F25" s="114" t="s">
        <v>174</v>
      </c>
      <c r="G25" s="269">
        <f>IF(Summary!D2=2024,E26,E39)</f>
        <v>3624964.0447133603</v>
      </c>
      <c r="H25" s="165">
        <v>33.097999999999999</v>
      </c>
      <c r="I25" s="272">
        <f>((SUM($J11:$L11,$Q11:$R11,$T11)-$AD$18)/IF(Summary!D2=2024,$C26,$C39)*100)+(SUM($M11:$P11,$S11)/IF(Summary!D2=2024,$D26,$D39)*100)+($H11/IF(Summary!D2=2024,$E26,$E39)*100)</f>
        <v>33.472857695229415</v>
      </c>
      <c r="J25" s="272">
        <f>((SUM($J14:$L14,$Q14:$R14,$T14)-$AE$18)/IF(Summary!D2=2024,$C26,$C39)*100)+(SUM($M14:$P14,$S14)/IF(Summary!D2=2024,$D26,$D39)*100)+($H14/IF(Summary!D2=2024,$E26,$E39)*100)</f>
        <v>36.099136967667853</v>
      </c>
      <c r="K25" s="115">
        <f>I25/H25-1</f>
        <v>1.1325690229905705E-2</v>
      </c>
      <c r="L25" s="115">
        <f>J25/H25-1</f>
        <v>9.0674269371800564E-2</v>
      </c>
      <c r="Q25" s="114" t="s">
        <v>174</v>
      </c>
      <c r="R25" s="105">
        <f>IF(Summary!D2=2024,C26,C39)</f>
        <v>18290443.717099715</v>
      </c>
      <c r="S25" s="166">
        <v>33.797553926204316</v>
      </c>
      <c r="T25" s="183">
        <f>I25+($U11/(IF(Summary!D2=2024,$C26,$C39)-IF(Summary!D2=2024,$E26,$E39))*100)+($I11/(IF(Summary!D2=2024,$C26,$C39)-IF(Summary!D2=2024,$E26,$E39))*100)</f>
        <v>34.172411621433731</v>
      </c>
      <c r="U25" s="183">
        <f>J25+($U14/(IF(Summary!D2=2024,$C26,$C39)-IF(Summary!D2=2024,$E26,$E39))*100)+($I14/(IF(Summary!D2=2024,$C26,$C39)-IF(Summary!D2=2024,$E26,$E39))*100)</f>
        <v>36.79869089387217</v>
      </c>
      <c r="V25" s="115">
        <f>T25/S25-1</f>
        <v>1.1091267020326478E-2</v>
      </c>
      <c r="W25" s="115">
        <f>U25/S25-1</f>
        <v>8.8797460734014066E-2</v>
      </c>
      <c r="X25" s="117"/>
      <c r="Y25" s="110"/>
      <c r="Z25" s="110"/>
      <c r="AB25" s="1"/>
      <c r="AC25" s="1"/>
    </row>
    <row r="26" spans="2:32" ht="15.75">
      <c r="B26" s="114" t="s">
        <v>174</v>
      </c>
      <c r="C26" s="269">
        <v>18290443.717099715</v>
      </c>
      <c r="D26" s="269">
        <v>19824065.592477757</v>
      </c>
      <c r="E26" s="4">
        <v>3624964.0447133603</v>
      </c>
      <c r="F26" s="20"/>
      <c r="S26" s="1"/>
      <c r="T26" s="1"/>
      <c r="U26" s="111"/>
      <c r="V26" s="112"/>
      <c r="W26" s="111"/>
      <c r="X26" s="113"/>
      <c r="Y26" s="112"/>
      <c r="Z26" s="112"/>
      <c r="AB26" s="1"/>
      <c r="AC26" s="266"/>
    </row>
    <row r="27" spans="2:32" ht="15.75">
      <c r="B27" s="316"/>
      <c r="C27" s="2"/>
      <c r="E27" s="20"/>
      <c r="F27" s="1"/>
      <c r="H27" s="4"/>
      <c r="I27" s="4"/>
      <c r="J27" s="4"/>
      <c r="Q27" s="1"/>
      <c r="R27" s="1"/>
      <c r="S27" s="1"/>
      <c r="T27" s="1"/>
      <c r="U27" s="1"/>
      <c r="V27" s="1"/>
      <c r="W27" s="1"/>
      <c r="X27" s="117"/>
      <c r="Y27" s="113"/>
      <c r="Z27" s="113"/>
      <c r="AC27" s="106"/>
      <c r="AD27" s="1"/>
      <c r="AE27" s="1"/>
    </row>
    <row r="28" spans="2:32" ht="15.75">
      <c r="D28" s="1"/>
      <c r="E28" s="1"/>
      <c r="F28" s="1"/>
      <c r="G28" s="320"/>
      <c r="H28" s="4"/>
      <c r="I28" s="4"/>
      <c r="J28" s="4"/>
      <c r="K28" s="20"/>
      <c r="L28" s="20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17"/>
      <c r="Y28" s="113"/>
      <c r="Z28" s="113"/>
      <c r="AD28" s="1"/>
      <c r="AE28" s="1"/>
    </row>
    <row r="29" spans="2:32" ht="15.75">
      <c r="B29" s="98" t="s">
        <v>260</v>
      </c>
      <c r="C29" s="3"/>
      <c r="D29" s="1"/>
      <c r="E29" s="1"/>
      <c r="G29" s="89"/>
      <c r="H29" s="356"/>
      <c r="I29" s="356"/>
      <c r="J29" s="356"/>
      <c r="K29" s="364"/>
      <c r="L29" s="364"/>
      <c r="M29" s="1"/>
      <c r="N29" s="1"/>
      <c r="O29" s="1"/>
      <c r="P29" s="1"/>
      <c r="Q29" s="114"/>
      <c r="R29" s="1"/>
      <c r="S29" s="1"/>
      <c r="T29" s="1"/>
      <c r="U29" s="1"/>
      <c r="V29" s="1"/>
      <c r="W29" s="1"/>
      <c r="X29" s="113"/>
      <c r="Y29" s="113"/>
      <c r="Z29" s="113"/>
      <c r="AB29" s="116"/>
    </row>
    <row r="30" spans="2:32" ht="15.75">
      <c r="B30" s="1">
        <v>2020</v>
      </c>
      <c r="C30" s="96">
        <f>107338668/1000</f>
        <v>107338.66800000001</v>
      </c>
      <c r="D30" s="20"/>
      <c r="G30" s="89"/>
      <c r="H30" s="356"/>
      <c r="I30" s="356"/>
      <c r="J30" s="356"/>
      <c r="K30" s="364"/>
      <c r="L30" s="364"/>
      <c r="M30" s="357"/>
      <c r="N30" s="357"/>
      <c r="O30" s="1"/>
      <c r="P30" s="1"/>
      <c r="Q30" s="114"/>
      <c r="R30" s="1"/>
      <c r="S30" s="1"/>
      <c r="T30" s="1"/>
      <c r="U30" s="1"/>
      <c r="V30" s="1"/>
      <c r="W30" s="1"/>
      <c r="X30" s="110"/>
      <c r="Y30" s="117"/>
      <c r="Z30" s="117"/>
    </row>
    <row r="31" spans="2:32" ht="15.75">
      <c r="B31" s="1">
        <v>2021</v>
      </c>
      <c r="C31" s="95">
        <v>121030.0901203955</v>
      </c>
      <c r="D31" s="51"/>
      <c r="G31" s="269"/>
      <c r="H31" s="356"/>
      <c r="I31" s="356"/>
      <c r="J31" s="356"/>
      <c r="K31" s="364"/>
      <c r="L31" s="364"/>
      <c r="M31" s="357"/>
      <c r="N31" s="357"/>
      <c r="O31" s="1"/>
      <c r="P31" s="1"/>
      <c r="Q31" s="1"/>
      <c r="R31" s="1"/>
      <c r="S31" s="1"/>
      <c r="T31" s="1"/>
      <c r="U31" s="1"/>
      <c r="V31" s="1"/>
      <c r="W31" s="1"/>
      <c r="X31" s="113"/>
      <c r="Y31" s="113"/>
      <c r="Z31" s="113"/>
    </row>
    <row r="32" spans="2:32" ht="15.75">
      <c r="B32" s="1">
        <v>2022</v>
      </c>
      <c r="C32" s="95">
        <v>139027.87909804762</v>
      </c>
      <c r="D32" s="51"/>
      <c r="G32" s="269"/>
      <c r="H32" s="4"/>
      <c r="I32" s="5"/>
      <c r="J32" s="20"/>
      <c r="K32" s="20"/>
      <c r="L32" s="20"/>
      <c r="M32" s="1"/>
      <c r="N32" s="1"/>
      <c r="O32" s="1"/>
      <c r="P32" s="1"/>
      <c r="Q32" s="1"/>
      <c r="R32" s="2"/>
      <c r="S32" s="2"/>
      <c r="T32" s="2"/>
      <c r="U32" s="2"/>
      <c r="V32" s="2"/>
      <c r="W32" s="2"/>
      <c r="X32" s="2"/>
      <c r="Y32" s="117"/>
      <c r="Z32" s="117"/>
      <c r="AA32" s="117"/>
    </row>
    <row r="33" spans="2:28" ht="15.75">
      <c r="B33" s="1">
        <v>2023</v>
      </c>
      <c r="C33" s="95">
        <v>178549.47569957716</v>
      </c>
      <c r="D33" s="51"/>
      <c r="F33" s="1"/>
      <c r="G33" s="3"/>
      <c r="H33" s="4"/>
      <c r="I33" s="5"/>
      <c r="J33" s="20"/>
      <c r="K33" s="20"/>
      <c r="L33" s="20"/>
      <c r="M33" s="1"/>
      <c r="N33" s="1"/>
      <c r="O33" s="1"/>
      <c r="P33" s="1"/>
      <c r="Q33" s="1"/>
      <c r="R33" s="2"/>
      <c r="S33" s="2"/>
      <c r="T33" s="2"/>
      <c r="U33" s="2"/>
      <c r="V33" s="2"/>
      <c r="W33" s="2"/>
      <c r="X33" s="2"/>
      <c r="Y33" s="117"/>
      <c r="Z33" s="117"/>
      <c r="AA33" s="117"/>
      <c r="AB33" s="113"/>
    </row>
    <row r="34" spans="2:28" ht="15.75">
      <c r="B34" s="1">
        <v>2024</v>
      </c>
      <c r="C34" s="95">
        <v>212554.30469994951</v>
      </c>
      <c r="D34" s="1"/>
      <c r="E34" s="1"/>
      <c r="F34" s="20"/>
      <c r="G34" s="3"/>
      <c r="H34" s="4"/>
      <c r="I34" s="5"/>
      <c r="J34" s="20"/>
      <c r="K34" s="20"/>
      <c r="L34" s="20"/>
      <c r="M34" s="1"/>
      <c r="N34" s="1"/>
      <c r="O34" s="1"/>
      <c r="P34" s="1"/>
      <c r="Q34" s="1"/>
      <c r="R34" s="2"/>
      <c r="S34" s="2"/>
      <c r="T34" s="2"/>
      <c r="U34" s="2"/>
      <c r="V34" s="2"/>
      <c r="W34" s="2"/>
      <c r="X34" s="2"/>
      <c r="Y34" s="113"/>
      <c r="Z34" s="113"/>
      <c r="AA34" s="117"/>
      <c r="AB34" s="113"/>
    </row>
    <row r="35" spans="2:28" ht="15.75">
      <c r="B35" s="2"/>
      <c r="C35" s="2"/>
      <c r="D35" s="1"/>
      <c r="E35" s="20"/>
      <c r="F35" s="1"/>
      <c r="G35" s="3"/>
      <c r="H35" s="4"/>
      <c r="I35" s="355"/>
      <c r="J35" s="20"/>
      <c r="K35" s="20"/>
      <c r="L35" s="20"/>
      <c r="M35" s="1"/>
      <c r="N35" s="1"/>
      <c r="O35" s="1"/>
      <c r="P35" s="1"/>
      <c r="Q35" s="1"/>
      <c r="R35" s="2"/>
      <c r="S35" s="2"/>
      <c r="T35" s="2"/>
      <c r="U35" s="2"/>
      <c r="V35" s="2"/>
      <c r="W35" s="2"/>
      <c r="X35" s="2"/>
      <c r="Y35" s="110"/>
      <c r="Z35" s="110"/>
      <c r="AA35" s="117"/>
      <c r="AB35" s="113"/>
    </row>
    <row r="36" spans="2:28" ht="15.75">
      <c r="C36" s="537" t="s">
        <v>516</v>
      </c>
      <c r="D36" s="538"/>
      <c r="E36" s="539"/>
      <c r="F36" s="114"/>
      <c r="G36" s="3"/>
      <c r="H36" s="4"/>
      <c r="I36" s="355"/>
      <c r="J36" s="20"/>
      <c r="K36" s="20"/>
      <c r="L36" s="20"/>
      <c r="M36" s="1"/>
      <c r="N36" s="1"/>
      <c r="O36" s="1"/>
      <c r="P36" s="1"/>
      <c r="Q36" s="1"/>
      <c r="R36" s="2"/>
      <c r="S36" s="2"/>
      <c r="T36" s="2"/>
      <c r="U36" s="2"/>
      <c r="V36" s="2"/>
      <c r="W36" s="2"/>
      <c r="X36" s="2"/>
      <c r="Y36" s="113"/>
      <c r="Z36" s="113"/>
      <c r="AA36" s="117"/>
      <c r="AB36" s="117"/>
    </row>
    <row r="37" spans="2:28" ht="31.5">
      <c r="B37" s="1"/>
      <c r="C37" s="89" t="s">
        <v>364</v>
      </c>
      <c r="D37" s="89" t="s">
        <v>365</v>
      </c>
      <c r="E37" s="89" t="s">
        <v>366</v>
      </c>
      <c r="F37" s="114"/>
      <c r="G37" s="20"/>
      <c r="H37" s="20"/>
      <c r="I37" s="20"/>
      <c r="J37" s="20"/>
      <c r="K37" s="20"/>
      <c r="L37" s="20"/>
      <c r="M37" s="1"/>
      <c r="N37" s="1"/>
      <c r="O37" s="1"/>
      <c r="P37" s="1"/>
      <c r="Q37" s="1"/>
      <c r="R37" s="2"/>
      <c r="S37" s="2"/>
      <c r="T37" s="2"/>
      <c r="U37" s="2"/>
      <c r="V37" s="2"/>
      <c r="W37" s="2"/>
      <c r="X37" s="2"/>
      <c r="Y37" s="2"/>
      <c r="Z37" s="112"/>
      <c r="AA37" s="112"/>
      <c r="AB37" s="113"/>
    </row>
    <row r="38" spans="2:28" ht="15.75">
      <c r="B38" s="114" t="s">
        <v>449</v>
      </c>
      <c r="C38" s="269">
        <v>2428289.2411020878</v>
      </c>
      <c r="D38" s="269">
        <v>2465317.8217447591</v>
      </c>
      <c r="E38" s="4">
        <v>502540.6164810523</v>
      </c>
      <c r="F38" s="1"/>
      <c r="G38" s="20"/>
      <c r="H38" s="20"/>
      <c r="I38" s="20"/>
      <c r="J38" s="20"/>
      <c r="K38" s="20"/>
      <c r="L38" s="20"/>
      <c r="M38" s="1"/>
      <c r="N38" s="1"/>
      <c r="O38" s="1"/>
      <c r="P38" s="1"/>
      <c r="Q38" s="1"/>
      <c r="R38" s="2"/>
      <c r="S38" s="2"/>
      <c r="T38" s="2"/>
      <c r="U38" s="2"/>
      <c r="V38" s="2"/>
      <c r="W38" s="2"/>
      <c r="X38" s="2"/>
      <c r="Y38" s="2"/>
      <c r="Z38" s="112"/>
      <c r="AA38" s="117"/>
      <c r="AB38" s="112"/>
    </row>
    <row r="39" spans="2:28" ht="15.75">
      <c r="B39" s="114" t="s">
        <v>174</v>
      </c>
      <c r="C39" s="269">
        <v>18290445.652985182</v>
      </c>
      <c r="D39" s="269">
        <v>20272867.503732543</v>
      </c>
      <c r="E39" s="4">
        <v>3877834.6865865677</v>
      </c>
      <c r="F39" s="1"/>
      <c r="G39" s="20"/>
      <c r="H39" s="20"/>
      <c r="I39" s="20"/>
      <c r="J39" s="20"/>
      <c r="K39" s="20"/>
      <c r="L39" s="20"/>
      <c r="M39" s="1"/>
      <c r="N39" s="1"/>
      <c r="O39" s="1"/>
      <c r="P39" s="1"/>
      <c r="Q39" s="1"/>
      <c r="R39" s="2"/>
      <c r="S39" s="2"/>
      <c r="T39" s="2"/>
      <c r="U39" s="2"/>
      <c r="V39" s="2"/>
      <c r="W39" s="2"/>
      <c r="X39" s="2"/>
      <c r="Y39" s="2"/>
      <c r="Z39" s="117"/>
      <c r="AA39" s="113"/>
      <c r="AB39" s="113"/>
    </row>
    <row r="40" spans="2:28" ht="15.75">
      <c r="B40" s="2"/>
      <c r="C40" s="2"/>
      <c r="E40" s="1"/>
      <c r="F40" s="1"/>
      <c r="G40" s="20"/>
      <c r="H40" s="20"/>
      <c r="I40" s="20"/>
      <c r="J40" s="20"/>
      <c r="K40" s="20"/>
      <c r="L40" s="20"/>
      <c r="M40" s="1"/>
      <c r="N40" s="1"/>
      <c r="O40" s="1"/>
      <c r="P40" s="1"/>
      <c r="Q40" s="1"/>
      <c r="R40" s="2"/>
      <c r="S40" s="2"/>
      <c r="T40" s="2"/>
      <c r="U40" s="2"/>
      <c r="V40" s="2"/>
      <c r="W40" s="2"/>
      <c r="X40" s="2"/>
      <c r="Y40" s="2"/>
      <c r="Z40" s="117"/>
      <c r="AA40" s="117"/>
      <c r="AB40" s="113"/>
    </row>
    <row r="41" spans="2:28" ht="15.75">
      <c r="B41" s="2"/>
      <c r="C41" s="2"/>
      <c r="E41" s="1"/>
      <c r="F41" s="1"/>
      <c r="G41" s="20"/>
      <c r="H41" s="20"/>
      <c r="I41" s="20"/>
      <c r="J41" s="20"/>
      <c r="K41" s="20"/>
      <c r="L41" s="20"/>
      <c r="M41" s="1"/>
      <c r="N41" s="1"/>
      <c r="O41" s="1"/>
      <c r="P41" s="1"/>
      <c r="Q41" s="1"/>
      <c r="R41" s="2"/>
      <c r="S41" s="2"/>
      <c r="T41" s="2"/>
      <c r="U41" s="2"/>
      <c r="V41" s="2"/>
      <c r="W41" s="2"/>
      <c r="X41" s="2"/>
      <c r="Y41" s="2"/>
      <c r="Z41" s="117"/>
      <c r="AA41" s="117"/>
      <c r="AB41" s="117"/>
    </row>
    <row r="42" spans="2:28" ht="15.75">
      <c r="B42" s="2"/>
      <c r="C42" s="2"/>
      <c r="E42" s="1"/>
      <c r="F42" s="1"/>
      <c r="G42" s="20"/>
      <c r="H42" s="20"/>
      <c r="I42" s="20"/>
      <c r="J42" s="20"/>
      <c r="K42" s="20"/>
      <c r="L42" s="20"/>
      <c r="M42" s="1"/>
      <c r="N42" s="1"/>
      <c r="O42" s="1"/>
      <c r="P42" s="1"/>
      <c r="Q42" s="1"/>
      <c r="R42" s="1"/>
      <c r="S42" s="1"/>
      <c r="T42" s="1"/>
      <c r="U42" s="111"/>
      <c r="V42" s="112"/>
      <c r="W42" s="112"/>
      <c r="X42" s="112"/>
      <c r="Y42" s="2"/>
      <c r="Z42" s="117"/>
      <c r="AA42" s="113"/>
      <c r="AB42" s="113"/>
    </row>
    <row r="43" spans="2:28" ht="15.75">
      <c r="B43" s="2"/>
      <c r="C43" s="2"/>
      <c r="D43" s="1"/>
      <c r="E43" s="1"/>
      <c r="F43" s="1"/>
      <c r="G43" s="20"/>
      <c r="H43" s="20"/>
      <c r="I43" s="20"/>
      <c r="J43" s="20"/>
      <c r="K43" s="20"/>
      <c r="L43" s="20"/>
      <c r="M43" s="1"/>
      <c r="N43" s="1"/>
      <c r="O43" s="1"/>
      <c r="P43" s="1"/>
      <c r="Q43" s="1"/>
      <c r="R43" s="1"/>
      <c r="S43" s="1"/>
      <c r="T43" s="1"/>
      <c r="U43" s="111"/>
      <c r="V43" s="525"/>
      <c r="W43" s="525"/>
      <c r="X43" s="112"/>
      <c r="Y43" s="2"/>
      <c r="Z43" s="117"/>
      <c r="AA43" s="110"/>
      <c r="AB43" s="113"/>
    </row>
    <row r="44" spans="2:28" ht="15.75">
      <c r="B44" s="2"/>
      <c r="C44" s="2"/>
      <c r="D44" s="1"/>
      <c r="E44" s="1"/>
      <c r="F44" s="1"/>
      <c r="G44" s="20"/>
      <c r="H44" s="20"/>
      <c r="I44" s="20"/>
      <c r="J44" s="20"/>
      <c r="K44" s="20"/>
      <c r="L44" s="20"/>
      <c r="M44" s="1"/>
      <c r="N44" s="1"/>
      <c r="O44" s="1"/>
      <c r="P44" s="1"/>
      <c r="Q44" s="1"/>
      <c r="R44" s="1"/>
      <c r="S44" s="1"/>
      <c r="T44" s="1"/>
      <c r="U44" s="111"/>
      <c r="V44" s="112"/>
      <c r="W44" s="111"/>
      <c r="X44" s="117"/>
      <c r="Y44" s="2"/>
      <c r="Z44" s="117"/>
      <c r="AA44" s="113"/>
      <c r="AB44" s="110"/>
    </row>
    <row r="45" spans="2:28" ht="15.75">
      <c r="B45" s="2"/>
      <c r="C45" s="2"/>
      <c r="D45" s="1"/>
      <c r="E45" s="1"/>
      <c r="F45" s="1"/>
      <c r="G45" s="20"/>
      <c r="H45" s="20"/>
      <c r="I45" s="20"/>
      <c r="J45" s="20"/>
      <c r="K45" s="20"/>
      <c r="L45" s="20"/>
      <c r="M45" s="1"/>
      <c r="N45" s="1"/>
      <c r="O45" s="1"/>
      <c r="P45" s="1"/>
      <c r="Q45" s="1"/>
      <c r="R45" s="1"/>
      <c r="S45" s="1"/>
      <c r="T45" s="1"/>
      <c r="U45" s="111"/>
      <c r="V45" s="112"/>
      <c r="W45" s="111"/>
      <c r="X45" s="117"/>
      <c r="Y45" s="2"/>
      <c r="Z45" s="110"/>
      <c r="AA45" s="112"/>
      <c r="AB45" s="113"/>
    </row>
    <row r="46" spans="2:28" ht="15.75">
      <c r="B46" s="2"/>
      <c r="C46" s="2"/>
      <c r="D46" s="1"/>
      <c r="E46" s="1"/>
      <c r="F46" s="1"/>
      <c r="G46" s="20"/>
      <c r="H46" s="20"/>
      <c r="I46" s="20"/>
      <c r="J46" s="20"/>
      <c r="K46" s="20"/>
      <c r="L46" s="20"/>
      <c r="M46" s="1"/>
      <c r="N46" s="1"/>
      <c r="O46" s="1"/>
      <c r="P46" s="1"/>
      <c r="Q46" s="1"/>
      <c r="R46" s="1"/>
      <c r="S46" s="1"/>
      <c r="T46" s="1"/>
      <c r="U46" s="111"/>
      <c r="V46" s="112"/>
      <c r="W46" s="112"/>
      <c r="X46" s="110"/>
      <c r="Y46" s="2"/>
      <c r="Z46" s="117"/>
      <c r="AA46" s="112"/>
      <c r="AB46" s="112"/>
    </row>
    <row r="47" spans="2:28" ht="15.75">
      <c r="B47" s="2"/>
      <c r="C47" s="2"/>
      <c r="D47" s="1"/>
      <c r="E47" s="1"/>
      <c r="F47" s="1"/>
      <c r="G47" s="20"/>
      <c r="H47" s="20"/>
      <c r="I47" s="20"/>
      <c r="J47" s="20"/>
      <c r="K47" s="20"/>
      <c r="L47" s="20"/>
      <c r="M47" s="1"/>
      <c r="N47" s="1"/>
      <c r="O47" s="1"/>
      <c r="P47" s="1"/>
      <c r="Q47" s="1"/>
      <c r="R47" s="1"/>
      <c r="S47" s="1"/>
      <c r="T47" s="1"/>
      <c r="U47" s="111"/>
      <c r="V47" s="112"/>
      <c r="W47" s="111"/>
      <c r="X47" s="117"/>
      <c r="Y47" s="112"/>
      <c r="Z47" s="112"/>
      <c r="AA47" s="113"/>
      <c r="AB47" s="112"/>
    </row>
    <row r="48" spans="2:28" ht="15.75">
      <c r="B48" s="2"/>
      <c r="C48" s="2"/>
      <c r="D48" s="1"/>
      <c r="E48" s="1"/>
      <c r="F48" s="1"/>
      <c r="G48" s="20"/>
      <c r="H48" s="20"/>
      <c r="I48" s="20"/>
      <c r="J48" s="20"/>
      <c r="K48" s="20"/>
      <c r="L48" s="20"/>
      <c r="M48" s="1"/>
      <c r="N48" s="1"/>
      <c r="O48" s="1"/>
      <c r="P48" s="1"/>
      <c r="Q48" s="1"/>
      <c r="R48" s="1"/>
      <c r="S48" s="1"/>
      <c r="T48" s="1"/>
      <c r="U48" s="111"/>
      <c r="V48" s="112"/>
      <c r="W48" s="112"/>
      <c r="X48" s="112"/>
      <c r="Y48" s="112"/>
      <c r="Z48" s="112"/>
      <c r="AA48" s="113"/>
      <c r="AB48" s="113"/>
    </row>
    <row r="49" spans="2:28" ht="15.75">
      <c r="B49" s="2"/>
      <c r="C49" s="2"/>
      <c r="D49" s="1"/>
      <c r="E49" s="1"/>
      <c r="F49" s="1"/>
      <c r="G49" s="20"/>
      <c r="H49" s="20"/>
      <c r="I49" s="20"/>
      <c r="J49" s="20"/>
      <c r="K49" s="20"/>
      <c r="L49" s="20"/>
      <c r="M49" s="1"/>
      <c r="N49" s="1"/>
      <c r="O49" s="1"/>
      <c r="P49" s="1"/>
      <c r="Q49" s="1"/>
      <c r="R49" s="1"/>
      <c r="S49" s="1"/>
      <c r="T49" s="1"/>
      <c r="U49" s="111"/>
      <c r="V49" s="525"/>
      <c r="W49" s="525"/>
      <c r="X49" s="112"/>
      <c r="Y49" s="117"/>
      <c r="Z49" s="117"/>
      <c r="AA49" s="113"/>
      <c r="AB49" s="113"/>
    </row>
    <row r="50" spans="2:28" ht="15.75">
      <c r="B50" s="2"/>
      <c r="C50" s="2"/>
      <c r="D50" s="1"/>
      <c r="E50" s="1"/>
      <c r="F50" s="1"/>
      <c r="G50" s="20"/>
      <c r="H50" s="20"/>
      <c r="I50" s="20"/>
      <c r="J50" s="20"/>
      <c r="K50" s="20"/>
      <c r="L50" s="20"/>
      <c r="M50" s="1"/>
      <c r="N50" s="1"/>
      <c r="O50" s="1"/>
      <c r="P50" s="1"/>
      <c r="Q50" s="1"/>
      <c r="R50" s="1"/>
      <c r="S50" s="1"/>
      <c r="T50" s="1"/>
      <c r="U50" s="111"/>
      <c r="V50" s="112"/>
      <c r="W50" s="111"/>
      <c r="X50" s="117"/>
      <c r="Y50" s="117"/>
      <c r="Z50" s="117"/>
      <c r="AA50" s="117"/>
      <c r="AB50" s="113"/>
    </row>
    <row r="51" spans="2:28" ht="15.75">
      <c r="B51" s="2"/>
      <c r="C51" s="2"/>
      <c r="D51" s="1"/>
      <c r="E51" s="1"/>
      <c r="F51" s="1"/>
      <c r="G51" s="20"/>
      <c r="H51" s="20"/>
      <c r="I51" s="20"/>
      <c r="J51" s="20"/>
      <c r="K51" s="20"/>
      <c r="L51" s="20"/>
      <c r="M51" s="1"/>
      <c r="N51" s="1"/>
      <c r="O51" s="1"/>
      <c r="P51" s="1"/>
      <c r="Q51" s="1"/>
      <c r="R51" s="1"/>
      <c r="S51" s="1"/>
      <c r="T51" s="1"/>
      <c r="U51" s="111"/>
      <c r="V51" s="112"/>
      <c r="W51" s="111"/>
      <c r="X51" s="117"/>
      <c r="Y51" s="110"/>
      <c r="Z51" s="110"/>
      <c r="AA51" s="117"/>
      <c r="AB51" s="113"/>
    </row>
    <row r="52" spans="2:28" ht="15.75">
      <c r="B52" s="2"/>
      <c r="C52" s="2"/>
      <c r="D52" s="1"/>
      <c r="E52" s="1"/>
      <c r="F52" s="1"/>
      <c r="G52" s="20"/>
      <c r="H52" s="20"/>
      <c r="I52" s="20"/>
      <c r="J52" s="20"/>
      <c r="K52" s="20"/>
      <c r="L52" s="20"/>
      <c r="M52" s="1"/>
      <c r="N52" s="1"/>
      <c r="O52" s="1"/>
      <c r="P52" s="1"/>
      <c r="Q52" s="1"/>
      <c r="R52" s="1"/>
      <c r="S52" s="1"/>
      <c r="T52" s="1"/>
      <c r="U52" s="111"/>
      <c r="V52" s="112"/>
      <c r="W52" s="111"/>
      <c r="X52" s="113"/>
      <c r="Y52" s="117"/>
      <c r="Z52" s="117"/>
      <c r="AA52" s="113"/>
      <c r="AB52" s="113"/>
    </row>
    <row r="53" spans="2:28" ht="15.75">
      <c r="B53" s="2"/>
      <c r="C53" s="2"/>
      <c r="D53" s="1"/>
      <c r="E53" s="1"/>
      <c r="F53" s="1"/>
      <c r="G53" s="20"/>
      <c r="H53" s="20"/>
      <c r="I53" s="20"/>
      <c r="J53" s="20"/>
      <c r="K53" s="20"/>
      <c r="L53" s="20"/>
      <c r="M53" s="1"/>
      <c r="N53" s="1"/>
      <c r="O53" s="1"/>
      <c r="P53" s="1"/>
      <c r="Q53" s="1"/>
      <c r="R53" s="1"/>
      <c r="S53" s="1"/>
      <c r="T53" s="1"/>
      <c r="U53" s="111"/>
      <c r="V53" s="112"/>
      <c r="W53" s="111"/>
      <c r="X53" s="117"/>
      <c r="Y53" s="112"/>
      <c r="Z53" s="112"/>
      <c r="AA53" s="110"/>
      <c r="AB53" s="113"/>
    </row>
    <row r="54" spans="2:28" ht="15.75">
      <c r="B54" s="2"/>
      <c r="C54" s="2"/>
      <c r="D54" s="1"/>
      <c r="E54" s="1"/>
      <c r="F54" s="1"/>
      <c r="G54" s="20"/>
      <c r="H54" s="20"/>
      <c r="I54" s="20"/>
      <c r="J54" s="20"/>
      <c r="K54" s="20"/>
      <c r="L54" s="20"/>
      <c r="M54" s="1"/>
      <c r="N54" s="1"/>
      <c r="O54" s="1"/>
      <c r="P54" s="1"/>
      <c r="Q54" s="1"/>
      <c r="R54" s="1"/>
      <c r="S54" s="1"/>
      <c r="T54" s="1"/>
      <c r="U54" s="111"/>
      <c r="V54" s="112"/>
      <c r="W54" s="111"/>
      <c r="X54" s="117"/>
      <c r="Y54" s="112"/>
      <c r="Z54" s="112"/>
      <c r="AA54" s="113"/>
      <c r="AB54" s="110"/>
    </row>
    <row r="55" spans="2:28" ht="15.75">
      <c r="B55" s="2"/>
      <c r="C55" s="2"/>
      <c r="D55" s="1"/>
      <c r="E55" s="1"/>
      <c r="F55" s="1"/>
      <c r="G55" s="20"/>
      <c r="H55" s="20"/>
      <c r="I55" s="20"/>
      <c r="J55" s="20"/>
      <c r="K55" s="20"/>
      <c r="L55" s="20"/>
      <c r="M55" s="1"/>
      <c r="N55" s="1"/>
      <c r="O55" s="1"/>
      <c r="P55" s="1"/>
      <c r="Q55" s="1"/>
      <c r="R55" s="1"/>
      <c r="S55" s="1"/>
      <c r="T55" s="1"/>
      <c r="U55" s="111"/>
      <c r="V55" s="112"/>
      <c r="W55" s="112"/>
      <c r="X55" s="110"/>
      <c r="Y55" s="117"/>
      <c r="Z55" s="117"/>
      <c r="AA55" s="112"/>
      <c r="AB55" s="113"/>
    </row>
    <row r="56" spans="2:28" ht="15.75">
      <c r="B56" s="1"/>
      <c r="C56" s="1"/>
      <c r="D56" s="1"/>
      <c r="E56" s="1"/>
      <c r="F56" s="1"/>
      <c r="G56" s="20"/>
      <c r="H56" s="20"/>
      <c r="I56" s="20"/>
      <c r="J56" s="20"/>
      <c r="K56" s="20"/>
      <c r="L56" s="20"/>
      <c r="M56" s="1"/>
      <c r="N56" s="1"/>
      <c r="O56" s="1"/>
      <c r="P56" s="1"/>
      <c r="Q56" s="1"/>
      <c r="R56" s="1"/>
      <c r="S56" s="1"/>
      <c r="T56" s="1"/>
      <c r="U56" s="111"/>
      <c r="V56" s="112"/>
      <c r="W56" s="111"/>
      <c r="X56" s="113"/>
      <c r="Y56" s="117"/>
      <c r="Z56" s="117"/>
      <c r="AA56" s="112"/>
      <c r="AB56" s="112"/>
    </row>
    <row r="57" spans="2:28" ht="15.75">
      <c r="B57" s="1"/>
      <c r="C57" s="1"/>
      <c r="D57" s="1"/>
      <c r="E57" s="1"/>
      <c r="F57" s="1"/>
      <c r="G57" s="20"/>
      <c r="H57" s="20"/>
      <c r="I57" s="20"/>
      <c r="J57" s="20"/>
      <c r="K57" s="20"/>
      <c r="L57" s="20"/>
      <c r="M57" s="1"/>
      <c r="N57" s="1"/>
      <c r="O57" s="1"/>
      <c r="P57" s="1"/>
      <c r="Q57" s="1"/>
      <c r="R57" s="1"/>
      <c r="S57" s="1"/>
      <c r="T57" s="1"/>
      <c r="U57" s="111"/>
      <c r="V57" s="112"/>
      <c r="W57" s="112"/>
      <c r="X57" s="112"/>
      <c r="Y57" s="113"/>
      <c r="Z57" s="113"/>
      <c r="AA57" s="117"/>
      <c r="AB57" s="112"/>
    </row>
    <row r="58" spans="2:28" ht="15.75">
      <c r="B58" s="1"/>
      <c r="C58" s="1"/>
      <c r="D58" s="1"/>
      <c r="E58" s="1"/>
      <c r="F58" s="1"/>
      <c r="G58" s="20"/>
      <c r="H58" s="20"/>
      <c r="I58" s="20"/>
      <c r="J58" s="20"/>
      <c r="K58" s="20"/>
      <c r="L58" s="20"/>
      <c r="M58" s="1"/>
      <c r="N58" s="1"/>
      <c r="O58" s="1"/>
      <c r="P58" s="1"/>
      <c r="Q58" s="1"/>
      <c r="R58" s="1"/>
      <c r="S58" s="1"/>
      <c r="T58" s="1"/>
      <c r="U58" s="111"/>
      <c r="V58" s="112"/>
      <c r="W58" s="112"/>
      <c r="X58" s="112"/>
      <c r="Y58" s="117"/>
      <c r="Z58" s="117"/>
      <c r="AA58" s="117"/>
      <c r="AB58" s="113"/>
    </row>
    <row r="59" spans="2:28" ht="15.75">
      <c r="B59" s="1"/>
      <c r="C59" s="1"/>
      <c r="D59" s="1"/>
      <c r="E59" s="1"/>
      <c r="F59" s="1"/>
      <c r="G59" s="20"/>
      <c r="H59" s="20"/>
      <c r="I59" s="20"/>
      <c r="J59" s="20"/>
      <c r="K59" s="20"/>
      <c r="L59" s="20"/>
      <c r="M59" s="1"/>
      <c r="N59" s="1"/>
      <c r="O59" s="1"/>
      <c r="P59" s="1"/>
      <c r="Q59" s="1"/>
      <c r="R59" s="1"/>
      <c r="S59" s="1"/>
      <c r="T59" s="1"/>
      <c r="U59" s="111"/>
      <c r="V59" s="112"/>
      <c r="W59" s="111"/>
      <c r="X59" s="113"/>
      <c r="Y59" s="117"/>
      <c r="Z59" s="117"/>
      <c r="AA59" s="110"/>
      <c r="AB59" s="113"/>
    </row>
    <row r="60" spans="2:28" ht="15.75">
      <c r="B60" s="1"/>
      <c r="C60" s="1"/>
      <c r="D60" s="1"/>
      <c r="E60" s="1"/>
      <c r="F60" s="1"/>
      <c r="G60" s="20"/>
      <c r="H60" s="20"/>
      <c r="I60" s="20"/>
      <c r="J60" s="20"/>
      <c r="K60" s="20"/>
      <c r="L60" s="20"/>
      <c r="M60" s="1"/>
      <c r="N60" s="1"/>
      <c r="O60" s="1"/>
      <c r="P60" s="1"/>
      <c r="Q60" s="1"/>
      <c r="R60" s="1"/>
      <c r="S60" s="1"/>
      <c r="T60" s="1"/>
      <c r="U60" s="111"/>
      <c r="V60" s="112"/>
      <c r="W60" s="112"/>
      <c r="X60" s="110"/>
      <c r="Y60" s="110"/>
      <c r="Z60" s="110"/>
      <c r="AA60" s="117"/>
      <c r="AB60" s="110"/>
    </row>
    <row r="61" spans="2:28" ht="15.75">
      <c r="B61" s="1"/>
      <c r="C61" s="1"/>
      <c r="D61" s="1"/>
      <c r="E61" s="1"/>
      <c r="F61" s="1"/>
      <c r="G61" s="20"/>
      <c r="H61" s="20"/>
      <c r="I61" s="20"/>
      <c r="J61" s="20"/>
      <c r="K61" s="20"/>
      <c r="L61" s="20"/>
      <c r="M61" s="1"/>
      <c r="N61" s="1"/>
      <c r="O61" s="1"/>
      <c r="P61" s="1"/>
      <c r="Q61" s="1"/>
      <c r="R61" s="1"/>
      <c r="S61" s="1"/>
      <c r="T61" s="1"/>
      <c r="U61" s="111"/>
      <c r="V61" s="525"/>
      <c r="W61" s="525"/>
      <c r="X61" s="112"/>
      <c r="Y61" s="113"/>
      <c r="Z61" s="113"/>
      <c r="AA61" s="112"/>
      <c r="AB61" s="113"/>
    </row>
    <row r="62" spans="2:28" ht="15.75">
      <c r="B62" s="1"/>
      <c r="C62" s="1"/>
      <c r="D62" s="1"/>
      <c r="E62" s="1"/>
      <c r="F62" s="1"/>
      <c r="G62" s="20"/>
      <c r="H62" s="20"/>
      <c r="I62" s="20"/>
      <c r="J62" s="20"/>
      <c r="K62" s="20"/>
      <c r="L62" s="20"/>
      <c r="M62" s="1"/>
      <c r="N62" s="1"/>
      <c r="O62" s="1"/>
      <c r="P62" s="1"/>
      <c r="Q62" s="1"/>
      <c r="R62" s="1"/>
      <c r="S62" s="1"/>
      <c r="T62" s="1"/>
      <c r="U62" s="111"/>
      <c r="V62" s="112"/>
      <c r="W62" s="112"/>
      <c r="X62" s="112"/>
      <c r="Y62" s="112"/>
      <c r="Z62" s="112"/>
      <c r="AA62" s="112"/>
      <c r="AB62" s="112"/>
    </row>
    <row r="63" spans="2:28" ht="15.75">
      <c r="B63" s="1"/>
      <c r="C63" s="1"/>
      <c r="D63" s="1"/>
      <c r="E63" s="1"/>
      <c r="F63" s="1"/>
      <c r="G63" s="20"/>
      <c r="H63" s="20"/>
      <c r="I63" s="20"/>
      <c r="J63" s="20"/>
      <c r="K63" s="20"/>
      <c r="L63" s="20"/>
      <c r="M63" s="1"/>
      <c r="N63" s="1"/>
      <c r="O63" s="1"/>
      <c r="P63" s="1"/>
      <c r="Q63" s="1"/>
      <c r="R63" s="1"/>
      <c r="S63" s="1"/>
      <c r="T63" s="1"/>
      <c r="U63" s="111"/>
      <c r="V63" s="112"/>
      <c r="W63" s="111"/>
      <c r="X63" s="112"/>
      <c r="Y63" s="112"/>
      <c r="Z63" s="112"/>
      <c r="AA63" s="117"/>
      <c r="AB63" s="112"/>
    </row>
    <row r="64" spans="2:28" ht="15.75">
      <c r="B64" s="1"/>
      <c r="C64" s="1"/>
      <c r="D64" s="1"/>
      <c r="E64" s="1"/>
      <c r="F64" s="1"/>
      <c r="G64" s="20"/>
      <c r="H64" s="20"/>
      <c r="I64" s="20"/>
      <c r="J64" s="20"/>
      <c r="K64" s="20"/>
      <c r="L64" s="20"/>
      <c r="M64" s="1"/>
      <c r="N64" s="1"/>
      <c r="O64" s="1"/>
      <c r="P64" s="1"/>
      <c r="Q64" s="1"/>
      <c r="R64" s="1"/>
      <c r="S64" s="1"/>
      <c r="T64" s="1"/>
      <c r="U64" s="111"/>
      <c r="V64" s="112"/>
      <c r="W64" s="112"/>
      <c r="X64" s="110"/>
      <c r="Y64" s="113"/>
      <c r="Z64" s="113"/>
      <c r="AA64" s="117"/>
      <c r="AB64" s="113"/>
    </row>
    <row r="65" spans="2:28" ht="15.75">
      <c r="B65" s="1"/>
      <c r="C65" s="1"/>
      <c r="D65" s="1"/>
      <c r="E65" s="1"/>
      <c r="F65" s="1"/>
      <c r="G65" s="20"/>
      <c r="H65" s="20"/>
      <c r="I65" s="20"/>
      <c r="J65" s="20"/>
      <c r="K65" s="20"/>
      <c r="L65" s="20"/>
      <c r="M65" s="1"/>
      <c r="N65" s="1"/>
      <c r="O65" s="1"/>
      <c r="P65" s="1"/>
      <c r="Q65" s="1"/>
      <c r="R65" s="1"/>
      <c r="S65" s="1"/>
      <c r="T65" s="1"/>
      <c r="U65" s="111"/>
      <c r="V65" s="112"/>
      <c r="W65" s="111"/>
      <c r="X65" s="112"/>
      <c r="Y65" s="110"/>
      <c r="Z65" s="110"/>
      <c r="AA65" s="117"/>
      <c r="AB65" s="113"/>
    </row>
    <row r="66" spans="2:28" ht="15.75">
      <c r="B66" s="1"/>
      <c r="C66" s="1"/>
      <c r="D66" s="1"/>
      <c r="E66" s="1"/>
      <c r="F66" s="1"/>
      <c r="G66" s="20"/>
      <c r="H66" s="20"/>
      <c r="I66" s="20"/>
      <c r="J66" s="20"/>
      <c r="K66" s="20"/>
      <c r="L66" s="20"/>
      <c r="M66" s="1"/>
      <c r="N66" s="1"/>
      <c r="O66" s="1"/>
      <c r="P66" s="1"/>
      <c r="Q66" s="1"/>
      <c r="R66" s="1"/>
      <c r="S66" s="1"/>
      <c r="T66" s="1"/>
      <c r="U66" s="111"/>
      <c r="V66" s="112"/>
      <c r="W66" s="112"/>
      <c r="X66" s="112"/>
      <c r="Y66" s="112"/>
      <c r="Z66" s="112"/>
      <c r="AA66" s="117"/>
      <c r="AB66" s="113"/>
    </row>
    <row r="67" spans="2:28" ht="15.75">
      <c r="B67" s="1"/>
      <c r="C67" s="1"/>
      <c r="D67" s="1"/>
      <c r="E67" s="1"/>
      <c r="F67" s="1"/>
      <c r="G67" s="20"/>
      <c r="H67" s="20"/>
      <c r="I67" s="20"/>
      <c r="J67" s="20"/>
      <c r="K67" s="20"/>
      <c r="L67" s="20"/>
      <c r="M67" s="1"/>
      <c r="N67" s="1"/>
      <c r="O67" s="1"/>
      <c r="P67" s="1"/>
      <c r="Q67" s="1"/>
      <c r="R67" s="1"/>
      <c r="S67" s="1"/>
      <c r="T67" s="1"/>
      <c r="U67" s="111"/>
      <c r="V67" s="112"/>
      <c r="W67" s="112"/>
      <c r="X67" s="110"/>
      <c r="Y67" s="112"/>
      <c r="Z67" s="112"/>
      <c r="AA67" s="117"/>
      <c r="AB67" s="117"/>
    </row>
    <row r="68" spans="2:28" ht="15.75">
      <c r="B68" s="1"/>
      <c r="C68" s="1"/>
      <c r="D68" s="1"/>
      <c r="E68" s="1"/>
      <c r="F68" s="1"/>
      <c r="G68" s="20"/>
      <c r="H68" s="20"/>
      <c r="I68" s="20"/>
      <c r="J68" s="20"/>
      <c r="K68" s="20"/>
      <c r="L68" s="20"/>
      <c r="M68" s="1"/>
      <c r="N68" s="1"/>
      <c r="O68" s="1"/>
      <c r="P68" s="1"/>
      <c r="Q68" s="1"/>
      <c r="R68" s="1"/>
      <c r="S68" s="1"/>
      <c r="T68" s="1"/>
      <c r="U68" s="111"/>
      <c r="V68" s="525"/>
      <c r="W68" s="525"/>
      <c r="X68" s="113"/>
      <c r="Y68" s="112"/>
      <c r="Z68" s="112"/>
      <c r="AA68" s="110"/>
      <c r="AB68" s="117"/>
    </row>
    <row r="69" spans="2:28" ht="15.75">
      <c r="B69" s="1"/>
      <c r="C69" s="1"/>
      <c r="D69" s="1"/>
      <c r="E69" s="1"/>
      <c r="F69" s="1"/>
      <c r="G69" s="20"/>
      <c r="H69" s="20"/>
      <c r="I69" s="20"/>
      <c r="J69" s="20"/>
      <c r="K69" s="20"/>
      <c r="L69" s="20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10"/>
      <c r="Z69" s="110"/>
      <c r="AA69" s="117"/>
      <c r="AB69" s="110"/>
    </row>
    <row r="70" spans="2:28" ht="15.75">
      <c r="B70" s="1"/>
      <c r="C70" s="1"/>
      <c r="D70" s="1"/>
      <c r="E70" s="1"/>
      <c r="F70" s="1"/>
      <c r="Y70" s="112"/>
      <c r="Z70" s="112"/>
      <c r="AA70" s="112"/>
      <c r="AB70" s="113"/>
    </row>
    <row r="71" spans="2:28" ht="15.75">
      <c r="B71" s="1"/>
      <c r="C71" s="1"/>
      <c r="D71" s="1"/>
      <c r="E71" s="1"/>
      <c r="F71" s="1"/>
      <c r="Y71" s="112"/>
      <c r="Z71" s="112"/>
      <c r="AA71" s="112"/>
      <c r="AB71" s="112"/>
    </row>
    <row r="72" spans="2:28" ht="15.75">
      <c r="B72" s="1"/>
      <c r="C72" s="1"/>
      <c r="D72" s="1"/>
      <c r="E72" s="1"/>
      <c r="F72" s="1"/>
      <c r="Y72" s="110"/>
      <c r="Z72" s="110"/>
      <c r="AA72" s="113"/>
      <c r="AB72" s="112"/>
    </row>
    <row r="73" spans="2:28" ht="15.75">
      <c r="B73" s="1"/>
      <c r="C73" s="1"/>
      <c r="D73" s="1"/>
      <c r="E73" s="1"/>
      <c r="F73" s="1"/>
      <c r="Y73" s="113"/>
      <c r="Z73" s="113"/>
      <c r="AA73" s="110"/>
      <c r="AB73" s="113"/>
    </row>
    <row r="74" spans="2:28" ht="15.75">
      <c r="B74" s="1"/>
      <c r="C74" s="1"/>
      <c r="D74" s="1"/>
      <c r="E74" s="1"/>
      <c r="F74" s="1"/>
      <c r="Y74" s="1"/>
      <c r="Z74" s="1"/>
      <c r="AA74" s="112"/>
      <c r="AB74" s="110"/>
    </row>
    <row r="75" spans="2:28" ht="15.75">
      <c r="B75" s="1"/>
      <c r="C75" s="1"/>
      <c r="D75" s="1"/>
      <c r="E75" s="1"/>
      <c r="AA75" s="112"/>
      <c r="AB75" s="112"/>
    </row>
    <row r="76" spans="2:28" ht="15.75">
      <c r="B76" s="1"/>
      <c r="C76" s="1"/>
      <c r="D76" s="1"/>
      <c r="AA76" s="112"/>
      <c r="AB76" s="112"/>
    </row>
    <row r="77" spans="2:28" ht="15.75">
      <c r="B77" s="1"/>
      <c r="C77" s="1"/>
      <c r="D77" s="1"/>
      <c r="AA77" s="110"/>
      <c r="AB77" s="112"/>
    </row>
    <row r="78" spans="2:28" ht="15.75">
      <c r="B78" s="1"/>
      <c r="C78" s="1"/>
      <c r="D78" s="1"/>
      <c r="AA78" s="112"/>
      <c r="AB78" s="110"/>
    </row>
    <row r="79" spans="2:28" ht="15.75">
      <c r="B79" s="1"/>
      <c r="C79" s="1"/>
      <c r="D79" s="1"/>
      <c r="AA79" s="112"/>
      <c r="AB79" s="112"/>
    </row>
    <row r="80" spans="2:28" ht="15.75">
      <c r="B80" s="1"/>
      <c r="C80" s="1"/>
      <c r="D80" s="1"/>
      <c r="AA80" s="110"/>
      <c r="AB80" s="112"/>
    </row>
    <row r="81" spans="2:28" ht="15.75">
      <c r="B81" s="1"/>
      <c r="C81" s="1"/>
      <c r="D81" s="1"/>
      <c r="AA81" s="113"/>
      <c r="AB81" s="110"/>
    </row>
    <row r="82" spans="2:28" ht="15.75">
      <c r="B82" s="1"/>
      <c r="C82" s="1"/>
      <c r="D82" s="1"/>
      <c r="AA82" s="1"/>
      <c r="AB82" s="113"/>
    </row>
    <row r="83" spans="2:28" ht="15.75">
      <c r="B83" s="1"/>
      <c r="C83" s="1"/>
      <c r="D83" s="1"/>
      <c r="AB83" s="1"/>
    </row>
    <row r="84" spans="2:28" ht="15.75">
      <c r="B84" s="1"/>
      <c r="C84" s="1"/>
      <c r="D84" s="1"/>
    </row>
  </sheetData>
  <autoFilter ref="A1:AE83" xr:uid="{D2A1145E-5B3D-42A6-AF79-8205DD936E88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hiddenButton="1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</autoFilter>
  <mergeCells count="17">
    <mergeCell ref="C36:E36"/>
    <mergeCell ref="V43:W43"/>
    <mergeCell ref="V49:W49"/>
    <mergeCell ref="C2:D2"/>
    <mergeCell ref="V16:W16"/>
    <mergeCell ref="X16:Y16"/>
    <mergeCell ref="Z16:Z17"/>
    <mergeCell ref="AA16:AA17"/>
    <mergeCell ref="V17:W17"/>
    <mergeCell ref="H4:U4"/>
    <mergeCell ref="H8:U8"/>
    <mergeCell ref="V61:W61"/>
    <mergeCell ref="V68:W68"/>
    <mergeCell ref="X17:Y17"/>
    <mergeCell ref="G22:L22"/>
    <mergeCell ref="Q22:W22"/>
    <mergeCell ref="H17:U1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0D443-B89B-4C0D-A76B-F85E3BB6BDB0}">
  <dimension ref="A1:AE40"/>
  <sheetViews>
    <sheetView workbookViewId="0">
      <selection activeCell="X7" sqref="X7:AC16"/>
    </sheetView>
  </sheetViews>
  <sheetFormatPr defaultColWidth="8.85546875" defaultRowHeight="15"/>
  <cols>
    <col min="1" max="1" width="7.42578125" style="6" customWidth="1"/>
    <col min="2" max="2" width="18.7109375" style="6" customWidth="1"/>
    <col min="3" max="3" width="15.28515625" style="6" customWidth="1"/>
    <col min="4" max="4" width="16" style="6" customWidth="1"/>
    <col min="5" max="5" width="18" style="6" bestFit="1" customWidth="1"/>
    <col min="6" max="6" width="15.28515625" style="6" customWidth="1"/>
    <col min="7" max="7" width="16.5703125" style="6" customWidth="1"/>
    <col min="8" max="8" width="16.140625" style="6" customWidth="1"/>
    <col min="9" max="9" width="15" style="6" customWidth="1"/>
    <col min="10" max="10" width="16" style="6" customWidth="1"/>
    <col min="11" max="11" width="15" style="6" bestFit="1" customWidth="1"/>
    <col min="12" max="12" width="13" style="6" customWidth="1"/>
    <col min="13" max="13" width="14.140625" style="6" customWidth="1"/>
    <col min="14" max="14" width="17.7109375" style="6" customWidth="1"/>
    <col min="15" max="15" width="19.28515625" style="6" customWidth="1"/>
    <col min="16" max="16" width="13.28515625" style="6" bestFit="1" customWidth="1"/>
    <col min="17" max="17" width="13" style="6" customWidth="1"/>
    <col min="18" max="18" width="13.5703125" style="6" customWidth="1"/>
    <col min="19" max="19" width="14" style="6" customWidth="1"/>
    <col min="20" max="20" width="15.5703125" style="6" customWidth="1"/>
    <col min="21" max="21" width="16.5703125" style="6" customWidth="1"/>
    <col min="22" max="23" width="14" style="6" customWidth="1"/>
    <col min="24" max="24" width="31.85546875" style="6" customWidth="1"/>
    <col min="25" max="25" width="14.85546875" style="6" bestFit="1" customWidth="1"/>
    <col min="26" max="26" width="13.5703125" style="6" bestFit="1" customWidth="1"/>
    <col min="27" max="27" width="13.5703125" style="6" customWidth="1"/>
    <col min="28" max="28" width="8.85546875" style="6"/>
    <col min="29" max="31" width="20.5703125" style="6" customWidth="1"/>
    <col min="32" max="16384" width="8.85546875" style="6"/>
  </cols>
  <sheetData>
    <row r="1" spans="1:31" s="184" customFormat="1" ht="25.5" customHeight="1">
      <c r="A1" s="469"/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</row>
    <row r="2" spans="1:31">
      <c r="A2" s="93"/>
      <c r="B2" s="549"/>
      <c r="C2" s="549"/>
      <c r="D2" s="549"/>
      <c r="F2" s="93"/>
    </row>
    <row r="3" spans="1:31">
      <c r="E3" s="550" t="s">
        <v>450</v>
      </c>
      <c r="F3" s="550"/>
      <c r="G3" s="550"/>
      <c r="H3" s="550"/>
      <c r="I3" s="550"/>
      <c r="J3" s="550"/>
      <c r="K3" s="550"/>
      <c r="M3" s="118"/>
      <c r="N3" s="118"/>
      <c r="O3" s="118"/>
      <c r="P3" s="288"/>
      <c r="Q3" s="288"/>
      <c r="R3" s="288"/>
      <c r="S3" s="288"/>
      <c r="T3" s="288"/>
      <c r="U3" s="288"/>
      <c r="V3" s="288"/>
    </row>
    <row r="4" spans="1:31" ht="15.75" customHeight="1">
      <c r="D4" s="156"/>
      <c r="E4" s="156">
        <v>2024</v>
      </c>
      <c r="F4" s="191">
        <v>45352</v>
      </c>
      <c r="G4" s="191">
        <f>F4</f>
        <v>45352</v>
      </c>
      <c r="H4" s="119" t="s">
        <v>187</v>
      </c>
      <c r="I4" s="119" t="s">
        <v>187</v>
      </c>
      <c r="J4" s="119" t="s">
        <v>187</v>
      </c>
      <c r="K4" s="119" t="s">
        <v>187</v>
      </c>
      <c r="L4" s="20"/>
      <c r="O4" s="1"/>
      <c r="P4" s="156"/>
      <c r="Q4" s="191"/>
      <c r="R4" s="191"/>
      <c r="S4" s="119"/>
      <c r="T4" s="119"/>
      <c r="U4" s="119"/>
      <c r="V4" s="119"/>
    </row>
    <row r="5" spans="1:31" ht="30.75" customHeight="1">
      <c r="E5" s="119" t="s">
        <v>281</v>
      </c>
      <c r="F5" s="119" t="s">
        <v>188</v>
      </c>
      <c r="G5" s="119" t="s">
        <v>189</v>
      </c>
      <c r="H5" s="119" t="s">
        <v>190</v>
      </c>
      <c r="I5" s="119" t="s">
        <v>191</v>
      </c>
      <c r="J5" s="119" t="s">
        <v>192</v>
      </c>
      <c r="K5" s="119" t="s">
        <v>193</v>
      </c>
      <c r="L5" s="89"/>
      <c r="M5" s="120"/>
      <c r="N5" s="120"/>
      <c r="O5" s="89"/>
      <c r="P5" s="119"/>
      <c r="Q5" s="119"/>
      <c r="R5" s="119"/>
      <c r="S5" s="119"/>
      <c r="T5" s="119"/>
      <c r="U5" s="119"/>
      <c r="V5" s="119"/>
    </row>
    <row r="6" spans="1:31" ht="42" customHeight="1">
      <c r="B6" s="121"/>
      <c r="D6" s="121"/>
      <c r="E6" s="1"/>
      <c r="F6" s="1"/>
      <c r="G6" s="1"/>
      <c r="J6" s="20"/>
      <c r="K6" s="20"/>
      <c r="L6" s="20"/>
      <c r="O6" s="121"/>
      <c r="P6" s="1"/>
      <c r="Q6" s="1"/>
      <c r="R6" s="1"/>
      <c r="U6" s="20"/>
      <c r="V6" s="20"/>
      <c r="AD6" s="51"/>
      <c r="AE6" s="51"/>
    </row>
    <row r="7" spans="1:31" ht="15.4" customHeight="1">
      <c r="D7" s="122" t="s">
        <v>451</v>
      </c>
      <c r="E7" s="284">
        <v>164065696.31929633</v>
      </c>
      <c r="F7" s="123">
        <v>0.49441000000000002</v>
      </c>
      <c r="G7" s="124">
        <f>F7*E7</f>
        <v>81115720.917223305</v>
      </c>
      <c r="H7" s="186">
        <f t="shared" ref="H7:H13" si="0">F7+(F7*$AD$16)</f>
        <v>0.49917698388564563</v>
      </c>
      <c r="I7" s="124">
        <f>E7*H7</f>
        <v>81897819.44776462</v>
      </c>
      <c r="J7" s="186">
        <f t="shared" ref="J7:J13" si="1">F7+(F7*$AE$16)</f>
        <v>0.54149359290199062</v>
      </c>
      <c r="K7" s="124">
        <f t="shared" ref="K7:K13" si="2">E7*J7</f>
        <v>88840523.371902674</v>
      </c>
      <c r="L7" s="125"/>
      <c r="O7" s="122"/>
      <c r="P7" s="394"/>
      <c r="Q7" s="129"/>
      <c r="R7" s="395"/>
      <c r="S7" s="186"/>
      <c r="T7" s="395"/>
      <c r="U7" s="186"/>
      <c r="V7" s="395"/>
      <c r="W7" s="125"/>
      <c r="X7" s="6" t="s">
        <v>452</v>
      </c>
      <c r="Y7" s="307" t="s">
        <v>116</v>
      </c>
      <c r="Z7" s="307" t="s">
        <v>351</v>
      </c>
      <c r="AA7" s="307" t="s">
        <v>3</v>
      </c>
      <c r="AC7" s="51"/>
      <c r="AD7" s="51"/>
      <c r="AE7" s="51"/>
    </row>
    <row r="8" spans="1:31" ht="15.75">
      <c r="D8" s="396"/>
      <c r="E8" s="284"/>
      <c r="F8" s="123"/>
      <c r="G8" s="124"/>
      <c r="H8" s="186"/>
      <c r="I8" s="124"/>
      <c r="J8" s="186"/>
      <c r="K8" s="124"/>
      <c r="L8" s="125"/>
      <c r="O8" s="126"/>
      <c r="P8" s="394"/>
      <c r="Q8" s="129"/>
      <c r="R8" s="395"/>
      <c r="S8" s="186"/>
      <c r="T8" s="395"/>
      <c r="U8" s="186"/>
      <c r="V8" s="395"/>
      <c r="W8" s="125"/>
      <c r="X8" s="6" t="s">
        <v>197</v>
      </c>
      <c r="Y8" s="127">
        <v>589212392</v>
      </c>
      <c r="Z8" s="127">
        <v>524136519</v>
      </c>
      <c r="AA8" s="127">
        <v>65075873</v>
      </c>
      <c r="AC8" s="106"/>
      <c r="AD8" s="106"/>
      <c r="AE8" s="106"/>
    </row>
    <row r="9" spans="1:31" ht="15.75">
      <c r="D9" s="122" t="s">
        <v>453</v>
      </c>
      <c r="E9" s="284">
        <v>547294554.08251476</v>
      </c>
      <c r="F9" s="123">
        <v>0.37191000000000002</v>
      </c>
      <c r="G9" s="124">
        <f>F9*E9</f>
        <v>203544317.60882807</v>
      </c>
      <c r="H9" s="186">
        <f t="shared" si="0"/>
        <v>0.37549586795758677</v>
      </c>
      <c r="I9" s="124">
        <f>E9*H9</f>
        <v>205506843.61367428</v>
      </c>
      <c r="J9" s="186">
        <f t="shared" si="1"/>
        <v>0.40732768782221102</v>
      </c>
      <c r="K9" s="124">
        <f t="shared" si="2"/>
        <v>222928225.27211875</v>
      </c>
      <c r="L9" s="125"/>
      <c r="O9" s="122"/>
      <c r="P9" s="394"/>
      <c r="Q9" s="129"/>
      <c r="R9" s="395"/>
      <c r="S9" s="186"/>
      <c r="T9" s="395"/>
      <c r="U9" s="186"/>
      <c r="V9" s="395"/>
      <c r="W9" s="125"/>
      <c r="X9" s="6" t="s">
        <v>199</v>
      </c>
      <c r="Y9" s="185">
        <f>SUM('SAR and RAR (TOU-A)'!V19+'SAR and RAR (TOU-A)'!Z19-'SAR and RAR (TOU-A)'!L10)*1000-Y8</f>
        <v>7850785.570194602</v>
      </c>
      <c r="Z9" s="185">
        <f>(('SAR and RAR (TOU-A)'!V19-'SAR and RAR (TOU-A)'!L10)*1000)-Z8</f>
        <v>7850785.1843541265</v>
      </c>
      <c r="AA9" s="185">
        <f>('SAR and RAR (TOU-A)'!Z19*1000)-AA8</f>
        <v>0.3858405128121376</v>
      </c>
      <c r="AD9" s="51"/>
      <c r="AE9" s="51"/>
    </row>
    <row r="10" spans="1:31" ht="15.75">
      <c r="D10" s="396"/>
      <c r="E10" s="284"/>
      <c r="F10" s="123"/>
      <c r="G10" s="124"/>
      <c r="H10" s="186"/>
      <c r="I10" s="124"/>
      <c r="J10" s="186"/>
      <c r="K10" s="124"/>
      <c r="L10" s="125"/>
      <c r="O10" s="126"/>
      <c r="P10" s="394"/>
      <c r="Q10" s="129"/>
      <c r="R10" s="395"/>
      <c r="S10" s="186"/>
      <c r="T10" s="395"/>
      <c r="U10" s="186"/>
      <c r="V10" s="395"/>
      <c r="W10" s="125"/>
      <c r="X10" s="6" t="s">
        <v>200</v>
      </c>
      <c r="Y10" s="127">
        <f>Y8+Y9</f>
        <v>597063177.5701946</v>
      </c>
      <c r="Z10" s="127">
        <f>Z8+Z9</f>
        <v>531987304.18435413</v>
      </c>
      <c r="AA10" s="127">
        <f>AA8+AA9</f>
        <v>65075873.385840513</v>
      </c>
      <c r="AC10" s="51"/>
      <c r="AD10" s="51"/>
      <c r="AE10" s="51"/>
    </row>
    <row r="11" spans="1:31" ht="15.75">
      <c r="D11" s="122" t="s">
        <v>454</v>
      </c>
      <c r="E11" s="284">
        <v>195109129.46482858</v>
      </c>
      <c r="F11" s="123">
        <v>0.38228000000000001</v>
      </c>
      <c r="G11" s="124">
        <f>F11*E11</f>
        <v>74586318.011814669</v>
      </c>
      <c r="H11" s="186">
        <f t="shared" si="0"/>
        <v>0.38596585303655795</v>
      </c>
      <c r="I11" s="124">
        <f>E11*H11</f>
        <v>75305461.589112788</v>
      </c>
      <c r="J11" s="186">
        <f t="shared" si="1"/>
        <v>0.41868524239916866</v>
      </c>
      <c r="K11" s="124">
        <f t="shared" si="2"/>
        <v>81689313.164272532</v>
      </c>
      <c r="L11" s="125"/>
      <c r="O11" s="122"/>
      <c r="P11" s="394"/>
      <c r="Q11" s="129"/>
      <c r="R11" s="395"/>
      <c r="S11" s="186"/>
      <c r="T11" s="395"/>
      <c r="U11" s="186"/>
      <c r="V11" s="395"/>
      <c r="W11" s="125"/>
      <c r="X11" s="6" t="s">
        <v>202</v>
      </c>
      <c r="Y11" s="245">
        <f>SUM('SAR and RAR (TOU-A)'!X19+'SAR and RAR (TOU-A)'!AA19-'SAR and RAR (TOU-A)'!L13)*1000-Y8</f>
        <v>67741329.63038528</v>
      </c>
      <c r="Z11" s="245">
        <f>(('SAR and RAR (TOU-A)'!X19-'SAR and RAR (TOU-A)'!L13)*1000)-Z8</f>
        <v>64832519.521752834</v>
      </c>
      <c r="AA11" s="245">
        <f>('SAR and RAR (TOU-A)'!AA19*1000)-AA8</f>
        <v>2908810.1086324006</v>
      </c>
      <c r="AC11" s="106"/>
      <c r="AD11" s="309"/>
      <c r="AE11" s="310"/>
    </row>
    <row r="12" spans="1:31" ht="15.75">
      <c r="D12" s="396"/>
      <c r="E12" s="284"/>
      <c r="F12" s="123"/>
      <c r="G12" s="124"/>
      <c r="H12" s="186"/>
      <c r="I12" s="124"/>
      <c r="J12" s="186"/>
      <c r="K12" s="124"/>
      <c r="L12" s="125"/>
      <c r="O12" s="126"/>
      <c r="P12" s="394"/>
      <c r="Q12" s="129"/>
      <c r="R12" s="395"/>
      <c r="S12" s="186"/>
      <c r="T12" s="395"/>
      <c r="U12" s="186"/>
      <c r="V12" s="395"/>
      <c r="W12" s="125"/>
      <c r="X12" s="6" t="s">
        <v>203</v>
      </c>
      <c r="Y12" s="127">
        <f>Y8+Y11</f>
        <v>656953721.63038528</v>
      </c>
      <c r="Z12" s="127">
        <f>Z8+Z11</f>
        <v>588969038.52175283</v>
      </c>
      <c r="AA12" s="127">
        <f>AA8+AA11</f>
        <v>67984683.108632401</v>
      </c>
    </row>
    <row r="13" spans="1:31" ht="15.75">
      <c r="D13" s="122" t="s">
        <v>455</v>
      </c>
      <c r="E13" s="284">
        <v>666193713.30724621</v>
      </c>
      <c r="F13" s="123">
        <v>0.30032000000000003</v>
      </c>
      <c r="G13" s="124">
        <f>F13*E13</f>
        <v>200071295.98043221</v>
      </c>
      <c r="H13" s="186">
        <f t="shared" si="0"/>
        <v>0.30321561416746651</v>
      </c>
      <c r="I13" s="124">
        <f>E13*H13</f>
        <v>202000335.93496177</v>
      </c>
      <c r="J13" s="186">
        <f t="shared" si="1"/>
        <v>0.32892003766170957</v>
      </c>
      <c r="K13" s="124">
        <f t="shared" si="2"/>
        <v>219124461.27101359</v>
      </c>
      <c r="L13" s="125"/>
      <c r="O13" s="126"/>
      <c r="P13" s="130"/>
      <c r="Q13" s="129"/>
      <c r="R13" s="130"/>
      <c r="S13" s="1"/>
      <c r="T13" s="131"/>
      <c r="U13" s="1"/>
      <c r="V13" s="131"/>
      <c r="Z13" s="358"/>
    </row>
    <row r="14" spans="1:31" ht="15.75">
      <c r="D14" s="396"/>
      <c r="E14" s="284"/>
      <c r="F14" s="123"/>
      <c r="G14" s="124"/>
      <c r="H14" s="186"/>
      <c r="I14" s="124"/>
      <c r="J14" s="186"/>
      <c r="K14" s="124"/>
      <c r="L14" s="125"/>
      <c r="O14" s="126"/>
      <c r="P14" s="130"/>
      <c r="Q14" s="129"/>
      <c r="R14" s="130"/>
      <c r="S14" s="311"/>
      <c r="T14" s="130"/>
      <c r="U14" s="130"/>
      <c r="V14" s="130"/>
      <c r="X14" s="6" t="s">
        <v>456</v>
      </c>
      <c r="Y14" s="307" t="s">
        <v>116</v>
      </c>
      <c r="Z14" s="307" t="s">
        <v>351</v>
      </c>
      <c r="AA14" s="307" t="s">
        <v>3</v>
      </c>
      <c r="AD14" s="51" t="s">
        <v>353</v>
      </c>
      <c r="AE14" s="51" t="s">
        <v>355</v>
      </c>
    </row>
    <row r="15" spans="1:31" ht="15.75">
      <c r="D15" s="126"/>
      <c r="E15" s="128"/>
      <c r="F15" s="129"/>
      <c r="G15" s="130"/>
      <c r="H15" s="283"/>
      <c r="I15" s="130"/>
      <c r="J15" s="282"/>
      <c r="K15" s="130"/>
      <c r="L15" s="125"/>
      <c r="O15" s="132"/>
      <c r="P15" s="130"/>
      <c r="Q15" s="129"/>
      <c r="R15" s="130"/>
      <c r="S15" s="130"/>
      <c r="T15" s="130"/>
      <c r="U15" s="130"/>
      <c r="V15" s="130"/>
      <c r="X15" s="6" t="s">
        <v>411</v>
      </c>
      <c r="Y15" s="358">
        <f>+Z15+AA15</f>
        <v>35.380999999999993</v>
      </c>
      <c r="Z15" s="358">
        <v>22.526999999999997</v>
      </c>
      <c r="AA15" s="358">
        <v>12.853999999999997</v>
      </c>
      <c r="AC15" s="141" t="s">
        <v>352</v>
      </c>
      <c r="AD15" s="307" t="s">
        <v>354</v>
      </c>
      <c r="AE15" s="307" t="s">
        <v>354</v>
      </c>
    </row>
    <row r="16" spans="1:31" ht="15.75">
      <c r="E16" s="285"/>
      <c r="P16" s="130"/>
      <c r="Q16" s="129"/>
      <c r="X16" s="6" t="s">
        <v>200</v>
      </c>
      <c r="Y16" s="358">
        <f>+Z16+AA16</f>
        <v>35.722135205311432</v>
      </c>
      <c r="Z16" s="358">
        <f>((SUM('SAR and RAR (TOU-A)'!$J$10:$K$10,'SAR and RAR (TOU-A)'!$Q$10:$R$10,'SAR and RAR (TOU-A)'!$T$10))/IF(Summary!$D$2=2024,'SAR and RAR (TOU-A)'!$C$25,'SAR and RAR (TOU-A)'!$C$38)*100)+(SUM('SAR and RAR (TOU-A)'!$M$10:$P$10,'SAR and RAR (TOU-A)'!$S$10)/IF(Summary!$D$2=2024,'SAR and RAR (TOU-A)'!$D$25,'SAR and RAR (TOU-A)'!$D$38)*100)</f>
        <v>22.868298520403112</v>
      </c>
      <c r="AA16" s="358">
        <f>+('SAR and RAR (TOU-A)'!$H$10/IF(Summary!$D$2=2024,'SAR and RAR (TOU-A)'!$E$25,'SAR and RAR (TOU-A)'!$E$38)*100)</f>
        <v>12.853836684908323</v>
      </c>
      <c r="AC16" s="6">
        <v>0.35381000000000001</v>
      </c>
      <c r="AD16" s="362">
        <f>$Y17/100/$AC$16</f>
        <v>9.6417626780316689E-3</v>
      </c>
      <c r="AE16" s="362">
        <f>$Y19/100/$AC$16</f>
        <v>9.5231878202282766E-2</v>
      </c>
    </row>
    <row r="17" spans="1:31" ht="15.75">
      <c r="O17" s="133"/>
      <c r="X17" s="6" t="s">
        <v>199</v>
      </c>
      <c r="Y17" s="358">
        <f>+Y16-Y15</f>
        <v>0.34113520531143848</v>
      </c>
      <c r="Z17" s="358">
        <f>+Z16-Z15</f>
        <v>0.34129852040311448</v>
      </c>
      <c r="AA17" s="358">
        <f>+AA16-AA15</f>
        <v>-1.6331509167422098E-4</v>
      </c>
      <c r="AC17" s="397"/>
      <c r="AD17" s="180"/>
      <c r="AE17" s="180"/>
    </row>
    <row r="18" spans="1:31">
      <c r="X18" s="6" t="s">
        <v>203</v>
      </c>
      <c r="Y18" s="358">
        <f>+Z18+AA18</f>
        <v>38.75039908267496</v>
      </c>
      <c r="Z18" s="358">
        <f>((SUM('SAR and RAR (TOU-A)'!$J$13:$K$13,'SAR and RAR (TOU-A)'!$Q$13:$R$13,'SAR and RAR (TOU-A)'!$T$10))/IF(Summary!$D$2=2024,'SAR and RAR (TOU-A)'!$C$25,'SAR and RAR (TOU-A)'!$C$38)*100)+(SUM('SAR and RAR (TOU-A)'!$M$13:$P$13,'SAR and RAR (TOU-A)'!$S$13)/IF(Summary!$D$2=2024,'SAR and RAR (TOU-A)'!$D$25,'SAR and RAR (TOU-A)'!$D$38)*100)</f>
        <v>25.322012058617819</v>
      </c>
      <c r="AA18" s="358">
        <f>+('SAR and RAR (TOU-A)'!$H$13/IF(Summary!$D$2=2024,'SAR and RAR (TOU-A)'!$E$25,'SAR and RAR (TOU-A)'!$E$38)*100)</f>
        <v>13.428387024057143</v>
      </c>
      <c r="AD18" s="180"/>
      <c r="AE18" s="180"/>
    </row>
    <row r="19" spans="1:31">
      <c r="B19" s="7"/>
      <c r="P19" s="398"/>
      <c r="Q19" s="398"/>
      <c r="R19" s="398"/>
      <c r="S19" s="398"/>
      <c r="T19" s="398"/>
      <c r="U19" s="398"/>
      <c r="V19" s="398"/>
      <c r="X19" s="6" t="s">
        <v>202</v>
      </c>
      <c r="Y19" s="358">
        <f>+Y18-Y15</f>
        <v>3.3693990826749669</v>
      </c>
      <c r="Z19" s="358">
        <f>+Z18-Z15</f>
        <v>2.7950120586178215</v>
      </c>
      <c r="AA19" s="358">
        <f>+AA18-AA15</f>
        <v>0.57438702405714537</v>
      </c>
      <c r="AD19" s="180"/>
      <c r="AE19" s="180"/>
    </row>
    <row r="20" spans="1:31">
      <c r="B20" s="134" t="s">
        <v>457</v>
      </c>
      <c r="C20" s="134"/>
      <c r="E20" s="135" t="s">
        <v>187</v>
      </c>
      <c r="F20" s="135" t="s">
        <v>187</v>
      </c>
      <c r="H20" s="134"/>
      <c r="I20" s="6" t="s">
        <v>477</v>
      </c>
      <c r="P20" s="399"/>
      <c r="Q20" s="400"/>
      <c r="R20" s="400"/>
      <c r="S20" s="400"/>
      <c r="T20" s="400"/>
      <c r="U20" s="551"/>
      <c r="V20" s="551"/>
      <c r="AD20" s="180"/>
      <c r="AE20" s="180"/>
    </row>
    <row r="21" spans="1:31">
      <c r="B21" s="138" t="s">
        <v>188</v>
      </c>
      <c r="C21" s="426" t="str">
        <f>'Res Bill Impact'!C21</f>
        <v>1/1/2024</v>
      </c>
      <c r="D21" s="387" t="str">
        <f>'Res Bill Impact'!D21</f>
        <v>3/1/2024</v>
      </c>
      <c r="E21" s="140" t="s">
        <v>167</v>
      </c>
      <c r="F21" s="140" t="s">
        <v>175</v>
      </c>
      <c r="I21" s="136" t="s">
        <v>459</v>
      </c>
      <c r="J21" s="552" t="s">
        <v>205</v>
      </c>
      <c r="K21" s="553"/>
      <c r="L21" s="552" t="s">
        <v>206</v>
      </c>
      <c r="M21" s="553"/>
      <c r="P21" s="398"/>
      <c r="Q21" s="551"/>
      <c r="R21" s="551"/>
      <c r="S21" s="551"/>
      <c r="T21" s="551"/>
      <c r="U21" s="401"/>
      <c r="V21" s="401"/>
    </row>
    <row r="22" spans="1:31">
      <c r="A22" s="6" t="s">
        <v>205</v>
      </c>
      <c r="B22" s="142" t="s">
        <v>460</v>
      </c>
      <c r="C22" s="256">
        <v>0.47221000000000002</v>
      </c>
      <c r="D22" s="144">
        <f>F7</f>
        <v>0.49441000000000002</v>
      </c>
      <c r="E22" s="145">
        <f>H7</f>
        <v>0.49917698388564563</v>
      </c>
      <c r="F22" s="145">
        <f>J7</f>
        <v>0.54149359290199062</v>
      </c>
      <c r="I22" s="391" t="s">
        <v>461</v>
      </c>
      <c r="J22" s="402" t="s">
        <v>462</v>
      </c>
      <c r="K22" s="402" t="s">
        <v>463</v>
      </c>
      <c r="L22" s="402" t="s">
        <v>462</v>
      </c>
      <c r="M22" s="402" t="s">
        <v>463</v>
      </c>
      <c r="N22" s="402" t="s">
        <v>209</v>
      </c>
      <c r="O22" s="402" t="s">
        <v>464</v>
      </c>
      <c r="P22" s="403"/>
      <c r="Q22" s="404"/>
      <c r="R22" s="404"/>
      <c r="S22" s="404"/>
      <c r="T22" s="404"/>
      <c r="U22" s="405"/>
      <c r="V22" s="405"/>
    </row>
    <row r="23" spans="1:31">
      <c r="B23" s="142" t="s">
        <v>465</v>
      </c>
      <c r="C23" s="143">
        <v>0.34994000000000003</v>
      </c>
      <c r="D23" s="144">
        <f>F9</f>
        <v>0.37191000000000002</v>
      </c>
      <c r="E23" s="145">
        <f>H9</f>
        <v>0.37549586795758677</v>
      </c>
      <c r="F23" s="145">
        <f>J9</f>
        <v>0.40732768782221102</v>
      </c>
      <c r="I23" s="406" t="s">
        <v>466</v>
      </c>
      <c r="J23" s="407">
        <v>182.06311299999999</v>
      </c>
      <c r="K23" s="407">
        <v>952.22142799999995</v>
      </c>
      <c r="L23" s="407">
        <v>178.11451400000001</v>
      </c>
      <c r="M23" s="407">
        <v>933.29038800000001</v>
      </c>
      <c r="N23" s="408">
        <v>0.5613711977186312</v>
      </c>
      <c r="O23" s="409">
        <v>5</v>
      </c>
      <c r="P23" s="403"/>
      <c r="Q23" s="404"/>
      <c r="R23" s="404"/>
      <c r="S23" s="404"/>
      <c r="T23" s="404"/>
      <c r="U23" s="405"/>
      <c r="V23" s="405"/>
    </row>
    <row r="24" spans="1:31">
      <c r="A24" s="182" t="s">
        <v>206</v>
      </c>
      <c r="B24" s="187" t="s">
        <v>460</v>
      </c>
      <c r="C24" s="188">
        <v>0.36029</v>
      </c>
      <c r="D24" s="188">
        <f>F11</f>
        <v>0.38228000000000001</v>
      </c>
      <c r="E24" s="188">
        <f>H11</f>
        <v>0.38596585303655795</v>
      </c>
      <c r="F24" s="188">
        <f>J11</f>
        <v>0.41868524239916866</v>
      </c>
      <c r="I24" s="406" t="s">
        <v>467</v>
      </c>
      <c r="J24" s="410">
        <v>191.339494</v>
      </c>
      <c r="K24" s="410">
        <v>1007.805268</v>
      </c>
      <c r="L24" s="410">
        <v>154.16395</v>
      </c>
      <c r="M24" s="410">
        <v>887.34284500000001</v>
      </c>
      <c r="N24" s="408">
        <v>0.2069272813688213</v>
      </c>
      <c r="O24" s="409">
        <v>7</v>
      </c>
      <c r="P24" s="403"/>
      <c r="Q24" s="404"/>
      <c r="R24" s="404"/>
      <c r="S24" s="404"/>
      <c r="T24" s="404"/>
      <c r="U24" s="405"/>
      <c r="V24" s="405"/>
    </row>
    <row r="25" spans="1:31">
      <c r="A25" s="182"/>
      <c r="B25" s="187" t="s">
        <v>465</v>
      </c>
      <c r="C25" s="188">
        <v>0.27849000000000002</v>
      </c>
      <c r="D25" s="188">
        <f>F13</f>
        <v>0.30032000000000003</v>
      </c>
      <c r="E25" s="188">
        <f>H13</f>
        <v>0.30321561416746651</v>
      </c>
      <c r="F25" s="188">
        <f>J13</f>
        <v>0.32892003766170957</v>
      </c>
      <c r="I25" s="411" t="s">
        <v>468</v>
      </c>
      <c r="J25" s="412">
        <v>563.62654699999996</v>
      </c>
      <c r="K25" s="412">
        <v>2463.1669910000001</v>
      </c>
      <c r="L25" s="412">
        <v>462.33417800000001</v>
      </c>
      <c r="M25" s="412">
        <v>2042.219701</v>
      </c>
      <c r="N25" s="413">
        <v>0.23170152091254753</v>
      </c>
      <c r="O25" s="414">
        <v>10</v>
      </c>
      <c r="P25" s="403"/>
      <c r="Q25" s="404"/>
      <c r="R25" s="404"/>
      <c r="S25" s="404"/>
      <c r="T25" s="404"/>
      <c r="U25" s="405"/>
      <c r="V25" s="405"/>
    </row>
    <row r="26" spans="1:31">
      <c r="I26" s="127"/>
      <c r="J26" s="127"/>
      <c r="L26" s="127"/>
      <c r="M26" s="127"/>
      <c r="N26" s="127"/>
      <c r="P26" s="403"/>
      <c r="Q26" s="404"/>
      <c r="R26" s="404"/>
      <c r="S26" s="404"/>
      <c r="T26" s="404"/>
      <c r="U26" s="405"/>
      <c r="V26" s="405"/>
    </row>
    <row r="27" spans="1:31">
      <c r="B27" s="415"/>
      <c r="C27" s="289"/>
      <c r="D27" s="144"/>
      <c r="E27" s="145"/>
      <c r="F27" s="145"/>
      <c r="I27" s="127"/>
      <c r="J27" s="127"/>
      <c r="M27" s="127"/>
      <c r="N27" s="127"/>
      <c r="Q27" s="158"/>
      <c r="R27" s="158"/>
      <c r="S27" s="158"/>
      <c r="T27" s="158"/>
      <c r="U27" s="148"/>
      <c r="V27" s="148"/>
    </row>
    <row r="28" spans="1:31">
      <c r="I28" s="127"/>
      <c r="J28" s="127"/>
      <c r="M28" s="127"/>
      <c r="N28" s="127"/>
      <c r="Q28" s="158"/>
      <c r="R28" s="158"/>
      <c r="S28" s="158"/>
      <c r="T28" s="158"/>
      <c r="U28" s="148"/>
      <c r="V28" s="148"/>
    </row>
    <row r="29" spans="1:31">
      <c r="B29" s="415"/>
      <c r="C29" s="289"/>
      <c r="D29" s="144"/>
      <c r="E29" s="145"/>
      <c r="F29" s="145"/>
      <c r="I29" s="127"/>
      <c r="J29" s="127"/>
      <c r="M29" s="127"/>
      <c r="N29" s="127"/>
      <c r="Q29" s="158"/>
      <c r="R29" s="158"/>
      <c r="S29" s="158"/>
      <c r="T29" s="158"/>
      <c r="U29" s="148"/>
      <c r="V29" s="148"/>
    </row>
    <row r="30" spans="1:31">
      <c r="B30" s="7"/>
      <c r="C30" s="8"/>
      <c r="D30" s="151"/>
      <c r="E30" s="9"/>
      <c r="F30" s="9"/>
      <c r="I30" s="127"/>
      <c r="J30" s="127"/>
      <c r="M30" s="127"/>
      <c r="N30" s="127"/>
      <c r="Q30" s="158"/>
      <c r="R30" s="158"/>
      <c r="S30" s="158"/>
      <c r="T30" s="158"/>
      <c r="U30" s="148"/>
      <c r="V30" s="150"/>
    </row>
    <row r="31" spans="1:31">
      <c r="B31" s="7"/>
      <c r="C31" s="8"/>
      <c r="D31" s="8"/>
      <c r="E31" s="9"/>
      <c r="F31" s="9"/>
    </row>
    <row r="32" spans="1:31" ht="27">
      <c r="B32" s="281"/>
      <c r="C32" s="548" t="s">
        <v>469</v>
      </c>
      <c r="D32" s="548"/>
      <c r="E32" s="548"/>
      <c r="F32" s="548"/>
      <c r="G32" s="548"/>
      <c r="H32" s="548"/>
      <c r="I32" s="548"/>
      <c r="J32" s="548"/>
      <c r="L32" s="135" t="s">
        <v>470</v>
      </c>
      <c r="Q32" s="416"/>
      <c r="R32" s="417"/>
      <c r="S32" s="416"/>
      <c r="T32" s="418"/>
      <c r="U32" s="418"/>
      <c r="V32" s="418"/>
    </row>
    <row r="33" spans="2:22">
      <c r="B33" s="7"/>
      <c r="C33" s="541" t="s">
        <v>424</v>
      </c>
      <c r="D33" s="541"/>
      <c r="E33" s="541"/>
      <c r="F33" s="541"/>
      <c r="G33" s="541"/>
      <c r="H33" s="541"/>
      <c r="I33" s="541"/>
      <c r="J33" s="541"/>
      <c r="L33" s="142" t="s">
        <v>471</v>
      </c>
      <c r="M33" s="419" t="str">
        <f>C21</f>
        <v>1/1/2024</v>
      </c>
      <c r="N33" s="139" t="str">
        <f>D21</f>
        <v>3/1/2024</v>
      </c>
      <c r="Q33" s="416"/>
      <c r="R33" s="417"/>
      <c r="S33" s="420"/>
      <c r="T33" s="421"/>
      <c r="U33" s="421"/>
      <c r="V33" s="422"/>
    </row>
    <row r="34" spans="2:22">
      <c r="B34" s="7"/>
      <c r="C34" s="542" t="str">
        <f>C21</f>
        <v>1/1/2024</v>
      </c>
      <c r="D34" s="542"/>
      <c r="E34" s="543" t="str">
        <f>D21</f>
        <v>3/1/2024</v>
      </c>
      <c r="F34" s="542"/>
      <c r="G34" s="542" t="str">
        <f>E21</f>
        <v>Authorized</v>
      </c>
      <c r="H34" s="542"/>
      <c r="I34" s="543" t="str">
        <f>F21</f>
        <v>w/Pending</v>
      </c>
      <c r="J34" s="542"/>
      <c r="L34" s="142" t="s">
        <v>472</v>
      </c>
      <c r="M34" s="423">
        <v>11.45</v>
      </c>
      <c r="N34" s="423">
        <v>11.45</v>
      </c>
      <c r="Q34" s="416"/>
      <c r="R34" s="417"/>
      <c r="S34" s="420"/>
      <c r="T34" s="421"/>
      <c r="U34" s="422"/>
      <c r="V34" s="421"/>
    </row>
    <row r="35" spans="2:22">
      <c r="B35" s="7"/>
      <c r="C35" s="8" t="s">
        <v>205</v>
      </c>
      <c r="D35" s="8" t="s">
        <v>206</v>
      </c>
      <c r="E35" s="8" t="s">
        <v>205</v>
      </c>
      <c r="F35" s="8" t="s">
        <v>206</v>
      </c>
      <c r="G35" s="8" t="s">
        <v>205</v>
      </c>
      <c r="H35" s="8" t="s">
        <v>206</v>
      </c>
      <c r="I35" s="8" t="s">
        <v>205</v>
      </c>
      <c r="J35" s="8" t="s">
        <v>206</v>
      </c>
      <c r="L35" s="142" t="s">
        <v>473</v>
      </c>
      <c r="M35" s="423">
        <v>18.32</v>
      </c>
      <c r="N35" s="423">
        <v>18.32</v>
      </c>
      <c r="Q35" s="416"/>
      <c r="R35" s="420"/>
      <c r="S35" s="424"/>
      <c r="T35" s="421"/>
      <c r="U35" s="421"/>
      <c r="V35" s="421"/>
    </row>
    <row r="36" spans="2:22">
      <c r="B36" s="146" t="s">
        <v>466</v>
      </c>
      <c r="C36" s="172">
        <f>((C22*$J$23)+(C23*$K$23))+IF($O23&lt;5.1,$M$34,IF(AND($O23&gt;5,$O23&lt;20.1),$M$35,IF(AND($O23&gt;20,$O23&lt;50.1),$M$36,IF($O23&gt;50,$M$37))))+('Incremental Rev Req'!F81*$J$23+'Incremental Rev Req'!F81*$K$23)</f>
        <v>431.77667364504998</v>
      </c>
      <c r="D36" s="172">
        <f>((C24*$L$23)+(C25*$M$23))+IF($O23&lt;5.1,$M$34,IF(AND($O23&gt;5,$O23&lt;20.1),$M$35,IF(AND($O23&gt;20,$O23&lt;50.1),$M$36,IF($O23&gt;50,$M$37))))+('Incremental Rev Req'!F81*$L$23+'Incremental Rev Req'!F81*$M$23)</f>
        <v>336.64632330518003</v>
      </c>
      <c r="E36" s="172">
        <f>((D22*$J$23)+(D23*$K$23))+IF($O23&lt;5.1,$N$34,IF(AND($O23&gt;5,$O23&lt;20.1),$N$35,IF(AND($O23&gt;20,$O23&lt;50.1),$N$36,IF($O23&gt;50,$N$37))))+('Incremental Rev Req'!F81*$J$23+'Incremental Rev Req'!F81*$K$23)</f>
        <v>456.73877952680999</v>
      </c>
      <c r="F36" s="172">
        <f>((D24*$L$23)+(D25*$M$23))+IF($O23&lt;5.1,$N$34,IF(AND($O23&gt;5,$O23&lt;20.1),$N$35,IF(AND($O23&gt;20,$O23&lt;50.1),$N$36,IF($O23&gt;50,$N$37))))+('Incremental Rev Req'!F81*$L$23+'Incremental Rev Req'!F81*$M$23)</f>
        <v>360.93679063808003</v>
      </c>
      <c r="G36" s="172">
        <f>((E22*J23)+(E23*K23))+IF($O23&lt;5.1,$N$34,IF(AND($O23&gt;5,$O23&lt;20.1),$N$35,IF(AND($O23&gt;20,$O23&lt;50.1),$N$36,IF($O23&gt;50,$N$37))))+('Incremental Rev Req'!F81*$J$23+'Incremental Rev Req'!F81*$K$23)</f>
        <v>461.02121175984416</v>
      </c>
      <c r="H36" s="172">
        <f>((E24*L23)+(E25*M23))+IF($O23&lt;5.1,$N$34,IF(AND($O23&gt;5,$O23&lt;20.1),$N$35,IF(AND($O23&gt;20,$O23&lt;50.1),$N$36,IF($O23&gt;50,$N$37))))+('Incremental Rev Req'!F81*$L$23+'Incremental Rev Req'!F81*$M$23)</f>
        <v>364.29574343021505</v>
      </c>
      <c r="I36" s="172">
        <f>((F22*J23)+(F23*K23))+IF($O23&lt;5.1,$N$34,IF(AND($O23&gt;5,$O23&lt;20.1),$N$35,IF(AND($O23&gt;20,$O23&lt;50.1),$N$36,IF($O23&gt;50,$N$37))))+('Incremental Rev Req'!F81*$J$23+'Incremental Rev Req'!F81*$K$23)</f>
        <v>499.03644629629503</v>
      </c>
      <c r="J36" s="172">
        <f>((F24*L23)+(F25*M23))+IF($O23&lt;5.1,$N$34,IF(AND($O23&gt;5,$O23&lt;20.1),$N$35,IF(AND($O23&gt;20,$O23&lt;50.1),$N$36,IF($O23&gt;50,$N$37))))+('Incremental Rev Req'!F81*$L$23+'Incremental Rev Req'!F81*$M$23)</f>
        <v>394.1132329411717</v>
      </c>
      <c r="L36" s="142" t="s">
        <v>474</v>
      </c>
      <c r="M36" s="423">
        <v>34.35</v>
      </c>
      <c r="N36" s="423">
        <v>34.35</v>
      </c>
      <c r="Q36" s="416"/>
      <c r="R36" s="417"/>
      <c r="S36" s="424"/>
      <c r="T36" s="421"/>
      <c r="U36" s="421"/>
      <c r="V36" s="421"/>
    </row>
    <row r="37" spans="2:22">
      <c r="B37" s="149" t="s">
        <v>467</v>
      </c>
      <c r="C37" s="172">
        <f>((C22*$J$24)+(C23*$K$24))+IF($O24&lt;5.1,$M$34,IF(AND($O24&gt;5,$O24&lt;20.1),$M$35,IF(AND($O24&gt;20,$O24&lt;50.1),$M$36,IF($O24&gt;50,$M$37))))+('Incremental Rev Req'!F81*$J$24+'Incremental Rev Req'!F81*$K$24)</f>
        <v>462.54294270766002</v>
      </c>
      <c r="D37" s="172">
        <f>((C24*$L$24)+(C25*$M$24))+IF($O24&lt;5.1,$M$34,IF(AND($O24&gt;5,$O24&lt;20.1),$M$35,IF(AND($O24&gt;20,$O24&lt;50.1),$M$36,IF($O24&gt;50,$M$37))))+('Incremental Rev Req'!F81*$L$24+'Incremental Rev Req'!F81*$M$24)</f>
        <v>322.02134524454999</v>
      </c>
      <c r="E37" s="172">
        <f>((D22*$J$24)+(D23*$K$24))+IF($O24&lt;5.1,$N$34,IF(AND($O24&gt;5,$O24&lt;20.1),$N$35,IF(AND($O24&gt;20,$O24&lt;50.1),$N$36,IF($O24&gt;50,$N$37))))+('Incremental Rev Req'!F81*$J$24+'Incremental Rev Req'!F81*$K$24)</f>
        <v>488.93216121242</v>
      </c>
      <c r="F37" s="172">
        <f>((D24*$L$24)+(D25*$M$24))+IF($O24&lt;5.1,$N$34,IF(AND($O24&gt;5,$O24&lt;20.1),$N$35,IF(AND($O24&gt;20,$O24&lt;50.1),$N$36,IF($O24&gt;50,$N$37))))+('Incremental Rev Req'!F81*$L$24+'Incremental Rev Req'!F81*$M$24)</f>
        <v>344.78210481139996</v>
      </c>
      <c r="G37" s="172">
        <f>((E22*J24)+(E23*K24))+IF($O24&lt;5.1,$N$34,IF(AND($O24&gt;5,$O24&lt;20.1),$N$35,IF(AND($O24&gt;20,$O24&lt;50.1),$N$36,IF($O24&gt;50,$N$37))))+('Incremental Rev Req'!F81*$J$24+'Incremental Rev Req'!F81*$K$24)</f>
        <v>493.45813011501394</v>
      </c>
      <c r="H37" s="172">
        <f>((E24*L24)+(E25*M24))+IF($O24&lt;5.1,$N$34,IF(AND($O24&gt;5,$O24&lt;20.1),$N$35,IF(AND($O24&gt;20,$O24&lt;50.1),$N$36,IF($O24&gt;50,$N$37))))+('Incremental Rev Req'!F81*$L$24+'Incremental Rev Req'!F81*$M$24)</f>
        <v>347.9197329880173</v>
      </c>
      <c r="I37" s="172">
        <f>((F22*J24)+(F23*K24))+IF($O24&lt;5.1,$N$34,IF(AND($O24&gt;5,$O24&lt;20.1),$N$35,IF(AND($O24&gt;20,$O24&lt;50.1),$N$36,IF($O24&gt;50,$N$37))))+('Incremental Rev Req'!F81*$J$24+'Incremental Rev Req'!F81*$K$24)</f>
        <v>533.63524442159257</v>
      </c>
      <c r="J37" s="172">
        <f>((F24*L24)+(F25*M24))+IF($O24&lt;5.1,$N$34,IF(AND($O24&gt;5,$O24&lt;20.1),$N$35,IF(AND($O24&gt;20,$O24&lt;50.1),$N$36,IF($O24&gt;50,$N$37))))+('Incremental Rev Req'!F81*$L$24+'Incremental Rev Req'!F81*$M$24)</f>
        <v>375.77251956621183</v>
      </c>
      <c r="L37" s="142" t="s">
        <v>475</v>
      </c>
      <c r="M37" s="423">
        <v>85.87</v>
      </c>
      <c r="N37" s="423">
        <v>85.87</v>
      </c>
      <c r="Q37" s="416"/>
      <c r="R37" s="417"/>
      <c r="S37" s="420"/>
      <c r="T37" s="421"/>
      <c r="U37" s="421"/>
      <c r="V37" s="422"/>
    </row>
    <row r="38" spans="2:22">
      <c r="B38" s="152" t="s">
        <v>468</v>
      </c>
      <c r="C38" s="172">
        <f>((C22*$J$25)+(C23*$K$25))+IF($O25&lt;5.1,$M$34,IF(AND($O25&gt;5,$O25&lt;20.1),$M$35,IF(AND($O25&gt;20,$O25&lt;50.1),$M$36,IF($O25&gt;50,$M$37))))+('Incremental Rev Req'!F81*$J$25+'Incremental Rev Req'!F81*$K$25)</f>
        <v>1149.4575421274101</v>
      </c>
      <c r="D38" s="172">
        <f>((C24*$L$25)+(C25*$M$25))+IF($O25&lt;5.1,$M$34,IF(AND($O25&gt;5,$O25&lt;20.1),$M$35,IF(AND($O25&gt;20,$O25&lt;50.1),$M$36,IF($O25&gt;50,$M$37))))+('Incremental Rev Req'!F81*$L$25+'Incremental Rev Req'!F81*$M$25)</f>
        <v>756.13669940211014</v>
      </c>
      <c r="E38" s="172">
        <f>((D22*$J$25)+(D23*$K$25))+IF($O25&lt;5.1,$N$34,IF(AND($O25&gt;5,$O25&lt;20.1),$N$35,IF(AND($O25&gt;20,$O25&lt;50.1),$N$36,IF($O25&gt;50,$N$37))))+('Incremental Rev Req'!F81*$J$25+'Incremental Rev Req'!F81*$K$25)</f>
        <v>1216.08583026308</v>
      </c>
      <c r="F38" s="172">
        <f>((D24*$L$25)+(D25*$M$25))+IF($O25&lt;5.1,$N$34,IF(AND($O25&gt;5,$O25&lt;20.1),$N$35,IF(AND($O25&gt;20,$O25&lt;50.1),$N$36,IF($O25&gt;50,$N$37))))+('Incremental Rev Req'!F81*$L$25+'Incremental Rev Req'!F81*$M$25)</f>
        <v>810.88508404916013</v>
      </c>
      <c r="G38" s="172">
        <f>((E22*J25)+(E23*K25))+IF($O25&lt;5.1,$N$34,IF(AND($O25&gt;5,$O25&lt;20.1),$N$35,IF(AND($O25&gt;20,$O25&lt;50.1),$N$36,IF($O25&gt;50,$N$37))))+('Incremental Rev Req'!F81*$J$25+'Incremental Rev Req'!F81*$K$25)</f>
        <v>1227.6052205173633</v>
      </c>
      <c r="H38" s="172">
        <f>((E24*L25)+(E25*M25))+IF($O25&lt;5.1,$N$34,IF(AND($O25&gt;5,$O25&lt;20.1),$N$35,IF(AND($O25&gt;20,$O25&lt;50.1),$N$36,IF($O25&gt;50,$N$37))))+('Incremental Rev Req'!F81*$L$25+'Incremental Rev Req'!F81*$M$25)</f>
        <v>818.50266018234072</v>
      </c>
      <c r="I38" s="172">
        <f>((F22*J25)+(F23*K25))+IF($O25&lt;5.1,$N$34,IF(AND($O25&gt;5,$O25&lt;20.1),$N$35,IF(AND($O25&gt;20,$O25&lt;50.1),$N$36,IF($O25&gt;50,$N$37))))+('Incremental Rev Req'!F81*$J$25+'Incremental Rev Req'!F81*$K$25)</f>
        <v>1329.8630726919955</v>
      </c>
      <c r="J38" s="172">
        <f>((F24*L25)+(F25*M25))+IF($O25&lt;5.1,$N$34,IF(AND($O25&gt;5,$O25&lt;20.1),$N$35,IF(AND($O25&gt;20,$O25&lt;50.1),$N$36,IF($O25&gt;50,$N$37))))+('Incremental Rev Req'!F81*$L$25+'Incremental Rev Req'!F81*$M$25)</f>
        <v>886.12403223075569</v>
      </c>
      <c r="L38" s="10"/>
      <c r="M38" s="10"/>
      <c r="N38" s="10"/>
      <c r="Q38" s="416"/>
      <c r="R38" s="417"/>
      <c r="S38" s="420"/>
      <c r="T38" s="421"/>
      <c r="U38" s="422"/>
      <c r="V38" s="421"/>
    </row>
    <row r="39" spans="2:22" s="10" customFormat="1">
      <c r="B39" s="6" t="s">
        <v>116</v>
      </c>
      <c r="C39" s="170">
        <f t="shared" ref="C39:J39" si="3">SUMPRODUCT(C36:C38,$N$23:$N$25)</f>
        <v>604.43080281723837</v>
      </c>
      <c r="D39" s="170">
        <f t="shared" si="3"/>
        <v>430.81657450485045</v>
      </c>
      <c r="E39" s="170">
        <f t="shared" si="3"/>
        <v>639.34233503313317</v>
      </c>
      <c r="F39" s="170">
        <f t="shared" si="3"/>
        <v>461.84764933395013</v>
      </c>
      <c r="G39" s="170">
        <f t="shared" si="3"/>
        <v>645.35197582741671</v>
      </c>
      <c r="H39" s="170">
        <f t="shared" si="3"/>
        <v>466.14753353021007</v>
      </c>
      <c r="I39" s="170">
        <f t="shared" si="3"/>
        <v>698.69967448151624</v>
      </c>
      <c r="J39" s="170">
        <f t="shared" si="3"/>
        <v>504.31768948492129</v>
      </c>
      <c r="L39" s="6"/>
      <c r="M39" s="6"/>
      <c r="N39" s="6"/>
      <c r="O39" s="6"/>
      <c r="P39" s="424"/>
      <c r="Q39" s="416"/>
      <c r="S39" s="424"/>
      <c r="T39" s="421"/>
      <c r="U39" s="421"/>
      <c r="V39" s="421"/>
    </row>
    <row r="40" spans="2:22">
      <c r="P40" s="420"/>
      <c r="Q40" s="416"/>
      <c r="S40" s="420"/>
      <c r="T40" s="425"/>
      <c r="U40" s="425"/>
      <c r="V40" s="425"/>
    </row>
  </sheetData>
  <mergeCells count="13">
    <mergeCell ref="B2:D2"/>
    <mergeCell ref="E3:K3"/>
    <mergeCell ref="U20:V20"/>
    <mergeCell ref="J21:K21"/>
    <mergeCell ref="L21:M21"/>
    <mergeCell ref="Q21:R21"/>
    <mergeCell ref="S21:T21"/>
    <mergeCell ref="C32:J32"/>
    <mergeCell ref="C33:J33"/>
    <mergeCell ref="C34:D34"/>
    <mergeCell ref="E34:F34"/>
    <mergeCell ref="G34:H34"/>
    <mergeCell ref="I34:J3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5DC67-FE27-45CE-929F-9CCB6CAE3578}">
  <sheetPr codeName="Sheet8">
    <tabColor rgb="FF92D050"/>
  </sheetPr>
  <dimension ref="A1:AA104"/>
  <sheetViews>
    <sheetView workbookViewId="0"/>
  </sheetViews>
  <sheetFormatPr defaultColWidth="8.85546875" defaultRowHeight="15"/>
  <cols>
    <col min="1" max="1" width="5.5703125" style="6" customWidth="1"/>
    <col min="2" max="2" width="16.5703125" style="6" customWidth="1"/>
    <col min="3" max="3" width="18.140625" style="6" customWidth="1"/>
    <col min="4" max="9" width="16.85546875" style="6" customWidth="1"/>
    <col min="10" max="10" width="23.5703125" style="6" customWidth="1"/>
    <col min="11" max="12" width="15.5703125" style="6" customWidth="1"/>
    <col min="13" max="16" width="13.42578125" style="6" customWidth="1"/>
    <col min="17" max="17" width="15.42578125" style="6" bestFit="1" customWidth="1"/>
    <col min="18" max="18" width="15.85546875" style="6" customWidth="1"/>
    <col min="19" max="23" width="15.5703125" style="6" customWidth="1"/>
    <col min="24" max="16384" width="8.85546875" style="6"/>
  </cols>
  <sheetData>
    <row r="1" spans="1:27" s="184" customFormat="1" ht="25.5" customHeight="1">
      <c r="A1" s="468"/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</row>
    <row r="2" spans="1:27">
      <c r="B2" s="40" t="s">
        <v>127</v>
      </c>
      <c r="F2" s="40" t="s">
        <v>128</v>
      </c>
      <c r="G2" s="41"/>
      <c r="H2" s="41"/>
    </row>
    <row r="3" spans="1:27">
      <c r="B3" s="41"/>
      <c r="C3" s="42"/>
      <c r="D3" s="41"/>
      <c r="E3" s="41"/>
      <c r="F3" s="41" t="s">
        <v>129</v>
      </c>
      <c r="G3" s="43"/>
      <c r="H3" s="47" t="str">
        <f>Summary!I2</f>
        <v>3/1/2024</v>
      </c>
      <c r="M3" s="41" t="s">
        <v>129</v>
      </c>
      <c r="N3" s="43"/>
      <c r="O3" s="47" t="str">
        <f>Summary!P2</f>
        <v>3/1/2024</v>
      </c>
    </row>
    <row r="4" spans="1:27">
      <c r="B4" s="45"/>
      <c r="C4" s="46" t="s">
        <v>130</v>
      </c>
      <c r="D4" s="321" t="s">
        <v>227</v>
      </c>
      <c r="F4" s="41" t="s">
        <v>132</v>
      </c>
      <c r="G4" s="43"/>
      <c r="H4" s="47">
        <f>Summary!I3</f>
        <v>2024</v>
      </c>
      <c r="M4" s="41" t="s">
        <v>132</v>
      </c>
      <c r="N4" s="43"/>
      <c r="O4" s="47">
        <f>Summary!P3</f>
        <v>2024</v>
      </c>
    </row>
    <row r="5" spans="1:27">
      <c r="F5" s="45" t="s">
        <v>133</v>
      </c>
      <c r="H5" s="48" t="str">
        <f>Summary!I4</f>
        <v>Schedule DR, Basic, Bundled, Single Family</v>
      </c>
      <c r="I5" s="49"/>
      <c r="J5" s="50"/>
      <c r="M5" s="45" t="s">
        <v>133</v>
      </c>
      <c r="O5" s="48" t="str">
        <f>Summary!P4</f>
        <v>Schedule DR, All-Electric, Bundled, Single Family</v>
      </c>
      <c r="P5" s="49"/>
      <c r="Q5" s="50"/>
    </row>
    <row r="6" spans="1:27">
      <c r="D6" s="51" t="s">
        <v>170</v>
      </c>
      <c r="F6" s="45" t="s">
        <v>134</v>
      </c>
      <c r="J6" s="177">
        <f>IF($D$4="ALL",SUMPRODUCT('Hypothetical Res Bill Impact'!Q22:Q25,'Hypothetical Res Bill Impact'!U22:U25),VLOOKUP($D$4,'Hypothetical Res Bill Impact'!$P$22:$V$25,2,FALSE))</f>
        <v>327.0857100498647</v>
      </c>
      <c r="K6" s="45" t="s">
        <v>135</v>
      </c>
      <c r="M6" s="45" t="s">
        <v>134</v>
      </c>
      <c r="Q6" s="177">
        <f>IF($D$4="ALL",SUMPRODUCT('Hypothetical Res Bill Impact'!Q31:Q34,'Hypothetical Res Bill Impact'!U31:U34),VLOOKUP($D$4,'Hypothetical Res Bill Impact'!$P$31:$V$34,2,FALSE))</f>
        <v>309.60130951739154</v>
      </c>
      <c r="R6" s="45" t="s">
        <v>135</v>
      </c>
    </row>
    <row r="7" spans="1:27">
      <c r="C7" s="201" t="s">
        <v>3</v>
      </c>
      <c r="D7" s="322"/>
      <c r="F7" s="45" t="s">
        <v>139</v>
      </c>
      <c r="J7" s="178">
        <f>IF($D$4="ALL",SUMPRODUCT('Hypothetical Res Bill Impact'!R22:R25,'Hypothetical Res Bill Impact'!U22:U25),VLOOKUP(D$4,'Hypothetical Res Bill Impact'!$P$22:$V$25,3,FALSE))</f>
        <v>308.52138767835856</v>
      </c>
      <c r="K7" s="45" t="s">
        <v>135</v>
      </c>
      <c r="M7" s="45" t="s">
        <v>139</v>
      </c>
      <c r="Q7" s="178">
        <f>IF($D$4="ALL",SUMPRODUCT('Hypothetical Res Bill Impact'!R31:R34,'Hypothetical Res Bill Impact'!U31:U34),VLOOKUP(D$4,'Hypothetical Res Bill Impact'!$P$31:$V$34,3,FALSE))</f>
        <v>329.43637931091064</v>
      </c>
      <c r="R7" s="45" t="s">
        <v>135</v>
      </c>
    </row>
    <row r="8" spans="1:27">
      <c r="C8" s="202" t="s">
        <v>433</v>
      </c>
      <c r="D8" s="322"/>
      <c r="F8" s="45" t="s">
        <v>140</v>
      </c>
      <c r="J8" s="178">
        <f>IF($D$4="ALL",SUMPRODUCT('Hypothetical Res Bill Impact'!S22:S25,'Hypothetical Res Bill Impact'!V22:V25),VLOOKUP($D$4,'Hypothetical Res Bill Impact'!$P$22:$V$25,4,FALSE))</f>
        <v>363.26599677274498</v>
      </c>
      <c r="K8" s="45" t="s">
        <v>135</v>
      </c>
      <c r="M8" s="45" t="s">
        <v>140</v>
      </c>
      <c r="Q8" s="178">
        <f>IF($D$4="ALL",SUMPRODUCT('Hypothetical Res Bill Impact'!S31:S34,'Hypothetical Res Bill Impact'!V31:V34),VLOOKUP($D$4,'Hypothetical Res Bill Impact'!$P$31:$V$34,4,FALSE))</f>
        <v>344.22489258824942</v>
      </c>
      <c r="R8" s="45" t="s">
        <v>135</v>
      </c>
    </row>
    <row r="9" spans="1:27">
      <c r="C9" s="202" t="s">
        <v>60</v>
      </c>
      <c r="D9" s="322"/>
      <c r="F9" s="45" t="s">
        <v>141</v>
      </c>
      <c r="J9" s="178">
        <f>IF($D$4="ALL",SUMPRODUCT('Hypothetical Res Bill Impact'!T22:T25,'Hypothetical Res Bill Impact'!V22:V25),VLOOKUP($D$4,'Hypothetical Res Bill Impact'!$P$22:$V$25,5,FALSE))</f>
        <v>332.31580303717726</v>
      </c>
      <c r="K9" s="45" t="s">
        <v>135</v>
      </c>
      <c r="M9" s="45" t="s">
        <v>141</v>
      </c>
      <c r="Q9" s="178">
        <f>IF($D$4="ALL",SUMPRODUCT('Hypothetical Res Bill Impact'!T31:T34,'Hypothetical Res Bill Impact'!V31:V34),VLOOKUP($D$4,'Hypothetical Res Bill Impact'!$P$31:$V$34,5,FALSE))</f>
        <v>340.7894268156092</v>
      </c>
      <c r="R9" s="45" t="s">
        <v>135</v>
      </c>
    </row>
    <row r="10" spans="1:27">
      <c r="C10" s="202" t="s">
        <v>5</v>
      </c>
      <c r="D10" s="322"/>
      <c r="F10" s="45" t="s">
        <v>142</v>
      </c>
      <c r="J10" s="56"/>
      <c r="K10" s="57">
        <f>Summary!L9</f>
        <v>2023</v>
      </c>
      <c r="M10" s="45" t="s">
        <v>142</v>
      </c>
      <c r="Q10" s="56"/>
      <c r="S10" s="57">
        <f>Summary!T9</f>
        <v>2023</v>
      </c>
    </row>
    <row r="11" spans="1:27">
      <c r="C11" s="202" t="s">
        <v>100</v>
      </c>
      <c r="D11" s="322"/>
      <c r="F11" s="45" t="s">
        <v>143</v>
      </c>
      <c r="H11" s="57">
        <f>Summary!I10</f>
        <v>5</v>
      </c>
      <c r="I11" s="45" t="s">
        <v>144</v>
      </c>
      <c r="J11" s="45"/>
      <c r="L11" s="45"/>
      <c r="M11" s="45" t="s">
        <v>143</v>
      </c>
      <c r="O11" s="57">
        <f>Summary!P10</f>
        <v>5</v>
      </c>
      <c r="P11" s="45" t="s">
        <v>144</v>
      </c>
      <c r="Q11" s="45"/>
    </row>
    <row r="12" spans="1:27">
      <c r="C12" s="202" t="s">
        <v>14</v>
      </c>
      <c r="D12" s="322"/>
      <c r="F12" s="45" t="s">
        <v>145</v>
      </c>
      <c r="H12" s="57">
        <f>Summary!I11</f>
        <v>7</v>
      </c>
      <c r="I12" s="45" t="s">
        <v>144</v>
      </c>
      <c r="M12" s="45" t="s">
        <v>145</v>
      </c>
      <c r="O12" s="57">
        <f>Summary!P11</f>
        <v>7</v>
      </c>
      <c r="P12" s="45" t="s">
        <v>144</v>
      </c>
    </row>
    <row r="13" spans="1:27">
      <c r="C13" s="202" t="s">
        <v>81</v>
      </c>
      <c r="D13" s="322"/>
      <c r="E13" s="51"/>
      <c r="F13" s="45" t="s">
        <v>509</v>
      </c>
      <c r="H13" s="459">
        <f>Summary!I12</f>
        <v>-78.220471737416673</v>
      </c>
      <c r="I13" s="45" t="s">
        <v>197</v>
      </c>
      <c r="M13" s="45" t="s">
        <v>509</v>
      </c>
      <c r="O13" s="459">
        <f>Summary!P12</f>
        <v>-78.220471737416673</v>
      </c>
      <c r="P13" s="45" t="s">
        <v>197</v>
      </c>
    </row>
    <row r="14" spans="1:27">
      <c r="C14" s="203" t="s">
        <v>102</v>
      </c>
      <c r="D14" s="322"/>
      <c r="E14" s="51"/>
      <c r="F14" s="51"/>
      <c r="H14" s="459">
        <f>Summary!I13</f>
        <v>-78.220471737416673</v>
      </c>
      <c r="I14" s="45" t="s">
        <v>187</v>
      </c>
      <c r="J14" s="317"/>
      <c r="L14" s="45"/>
      <c r="O14" s="459">
        <f>Summary!P13</f>
        <v>-78.220471737416673</v>
      </c>
      <c r="P14" s="45" t="s">
        <v>187</v>
      </c>
    </row>
    <row r="15" spans="1:27">
      <c r="C15" s="202" t="s">
        <v>98</v>
      </c>
      <c r="D15" s="322"/>
      <c r="E15" s="51"/>
      <c r="F15" s="51"/>
      <c r="I15" s="45"/>
      <c r="L15" s="45"/>
    </row>
    <row r="16" spans="1:27">
      <c r="C16" s="202" t="s">
        <v>99</v>
      </c>
      <c r="D16" s="322"/>
      <c r="E16" s="51"/>
      <c r="F16" s="51"/>
      <c r="I16" s="45"/>
      <c r="L16" s="45"/>
    </row>
    <row r="17" spans="2:19">
      <c r="C17" s="202" t="s">
        <v>10</v>
      </c>
      <c r="D17" s="322"/>
      <c r="E17" s="51"/>
      <c r="F17" s="51"/>
      <c r="I17" s="45"/>
      <c r="L17" s="45"/>
    </row>
    <row r="18" spans="2:19">
      <c r="C18" s="202" t="s">
        <v>88</v>
      </c>
      <c r="D18" s="322"/>
      <c r="E18" s="51"/>
      <c r="F18" s="51"/>
      <c r="I18" s="45"/>
      <c r="L18" s="45"/>
    </row>
    <row r="19" spans="2:19" ht="15.4" customHeight="1">
      <c r="C19" s="202" t="s">
        <v>235</v>
      </c>
      <c r="D19" s="322"/>
      <c r="E19" s="51"/>
      <c r="F19" s="51"/>
      <c r="I19" s="45"/>
      <c r="L19" s="45"/>
    </row>
    <row r="20" spans="2:19">
      <c r="C20" s="202" t="s">
        <v>79</v>
      </c>
      <c r="D20" s="323"/>
      <c r="E20" s="51"/>
      <c r="F20" s="51"/>
      <c r="I20" s="45"/>
      <c r="L20" s="45"/>
    </row>
    <row r="21" spans="2:19">
      <c r="B21"/>
      <c r="C21" s="27" t="s">
        <v>116</v>
      </c>
      <c r="D21" s="204">
        <f>SUM(D7:D20)</f>
        <v>0</v>
      </c>
      <c r="E21" s="51"/>
      <c r="F21" s="51"/>
      <c r="I21" s="45"/>
      <c r="L21" s="45"/>
    </row>
    <row r="22" spans="2:19">
      <c r="B22"/>
      <c r="D22" s="51"/>
      <c r="E22" s="51"/>
      <c r="F22" s="51"/>
      <c r="I22" s="45"/>
      <c r="L22" s="45"/>
    </row>
    <row r="23" spans="2:19">
      <c r="B23" s="42"/>
      <c r="C23" s="205"/>
      <c r="D23" s="205"/>
      <c r="I23" s="45"/>
      <c r="L23" s="45"/>
    </row>
    <row r="24" spans="2:19">
      <c r="B24" s="40" t="s">
        <v>146</v>
      </c>
    </row>
    <row r="25" spans="2:19" ht="15.75" thickBot="1">
      <c r="D25" s="58" t="s">
        <v>147</v>
      </c>
      <c r="E25" s="58" t="s">
        <v>148</v>
      </c>
      <c r="F25" s="58" t="s">
        <v>149</v>
      </c>
      <c r="G25" s="58" t="s">
        <v>229</v>
      </c>
      <c r="H25" s="206" t="s">
        <v>230</v>
      </c>
      <c r="I25" s="58"/>
      <c r="M25" s="58" t="s">
        <v>147</v>
      </c>
      <c r="N25" s="58" t="s">
        <v>148</v>
      </c>
      <c r="O25" s="58" t="s">
        <v>149</v>
      </c>
      <c r="P25" s="58" t="s">
        <v>229</v>
      </c>
      <c r="Q25" s="206" t="s">
        <v>230</v>
      </c>
      <c r="R25" s="58"/>
      <c r="S25" s="58"/>
    </row>
    <row r="26" spans="2:19">
      <c r="B26" s="500" t="s">
        <v>154</v>
      </c>
      <c r="C26" s="501"/>
      <c r="D26" s="501"/>
      <c r="E26" s="501"/>
      <c r="F26" s="501"/>
      <c r="G26" s="501"/>
      <c r="H26" s="502"/>
      <c r="I26" s="207"/>
      <c r="K26" s="500" t="s">
        <v>155</v>
      </c>
      <c r="L26" s="501"/>
      <c r="M26" s="501"/>
      <c r="N26" s="501"/>
      <c r="O26" s="501"/>
      <c r="P26" s="501"/>
      <c r="Q26" s="502"/>
      <c r="R26" s="207"/>
      <c r="S26" s="40"/>
    </row>
    <row r="27" spans="2:19" ht="45">
      <c r="B27" s="493" t="s">
        <v>156</v>
      </c>
      <c r="C27" s="494"/>
      <c r="D27" s="59" t="str">
        <f>Summary!D18</f>
        <v>1/1/2024</v>
      </c>
      <c r="E27" s="59" t="str">
        <f>Summary!E18</f>
        <v>3/1/2024</v>
      </c>
      <c r="F27" s="59" t="s">
        <v>187</v>
      </c>
      <c r="G27" s="59" t="str">
        <f>Summary!H18</f>
        <v>% Change over 1/1/2024</v>
      </c>
      <c r="H27" s="59" t="str">
        <f>Summary!I18</f>
        <v>% Change over 3/1/2024</v>
      </c>
      <c r="I27" s="209"/>
      <c r="K27" s="495" t="s">
        <v>156</v>
      </c>
      <c r="L27" s="496"/>
      <c r="M27" s="238" t="str">
        <f>$D$27</f>
        <v>1/1/2024</v>
      </c>
      <c r="N27" s="238" t="str">
        <f>$E$27</f>
        <v>3/1/2024</v>
      </c>
      <c r="O27" s="60" t="s">
        <v>187</v>
      </c>
      <c r="P27" s="277" t="str">
        <f>G27</f>
        <v>% Change over 1/1/2024</v>
      </c>
      <c r="Q27" s="208" t="str">
        <f>$H$27</f>
        <v>% Change over 3/1/2024</v>
      </c>
      <c r="R27" s="209"/>
      <c r="S27" s="210"/>
    </row>
    <row r="28" spans="2:19">
      <c r="B28" s="497" t="s">
        <v>158</v>
      </c>
      <c r="C28" s="498"/>
      <c r="D28" s="62">
        <f>Summary!D19</f>
        <v>32.591999999999999</v>
      </c>
      <c r="E28" s="62">
        <f>Summary!E19</f>
        <v>34.665999999999997</v>
      </c>
      <c r="F28" s="62">
        <f>'Hypothetical SAR and RAR'!H29</f>
        <v>34.665999999999997</v>
      </c>
      <c r="G28" s="278">
        <f t="shared" ref="G28:H30" si="0">$F28/D28-1</f>
        <v>6.3635247913598425E-2</v>
      </c>
      <c r="H28" s="212">
        <f t="shared" si="0"/>
        <v>0</v>
      </c>
      <c r="I28" s="213"/>
      <c r="K28" s="497" t="s">
        <v>159</v>
      </c>
      <c r="L28" s="499"/>
      <c r="M28" s="239">
        <f>Summary!N19</f>
        <v>33.476081129102475</v>
      </c>
      <c r="N28" s="62">
        <f>Summary!O19</f>
        <v>35.576697140214826</v>
      </c>
      <c r="O28" s="236">
        <f>'Hypothetical SAR and RAR'!R29</f>
        <v>35.576697140214826</v>
      </c>
      <c r="P28" s="211">
        <f>O28/M28-1</f>
        <v>6.274975864143717E-2</v>
      </c>
      <c r="Q28" s="212">
        <f>$O28/N28-1</f>
        <v>0</v>
      </c>
      <c r="R28" s="213"/>
      <c r="S28" s="214"/>
    </row>
    <row r="29" spans="2:19">
      <c r="B29" s="295"/>
      <c r="C29" s="296" t="s">
        <v>482</v>
      </c>
      <c r="D29" s="442">
        <f>Summary!D20</f>
        <v>32.781999999999996</v>
      </c>
      <c r="E29" s="442">
        <f>Summary!E20</f>
        <v>34.765999999999998</v>
      </c>
      <c r="F29" s="442">
        <f>'Hypoth. SAR and RAR (TOU-A)'!H29</f>
        <v>34.765999999999998</v>
      </c>
      <c r="G29" s="278">
        <f t="shared" si="0"/>
        <v>6.0521017631627094E-2</v>
      </c>
      <c r="H29" s="212">
        <f t="shared" si="0"/>
        <v>0</v>
      </c>
      <c r="I29" s="213"/>
      <c r="K29" s="295"/>
      <c r="L29" s="296" t="s">
        <v>482</v>
      </c>
      <c r="M29" s="443">
        <f>Summary!N20</f>
        <v>33.444657091999858</v>
      </c>
      <c r="N29" s="442">
        <f>Summary!O20</f>
        <v>35.451507382902832</v>
      </c>
      <c r="O29" s="444">
        <f>'Hypoth. SAR and RAR (TOU-A)'!R29</f>
        <v>35.451507382902832</v>
      </c>
      <c r="P29" s="211">
        <f>O29/M29-1</f>
        <v>6.0005108899233495E-2</v>
      </c>
      <c r="Q29" s="212">
        <f>$O29/N29-1</f>
        <v>0</v>
      </c>
      <c r="R29" s="213"/>
      <c r="S29" s="214"/>
    </row>
    <row r="30" spans="2:19" ht="15.75" thickBot="1">
      <c r="B30" s="503" t="s">
        <v>160</v>
      </c>
      <c r="C30" s="504"/>
      <c r="D30" s="65">
        <f>Summary!D21</f>
        <v>31.526</v>
      </c>
      <c r="E30" s="319">
        <f>Summary!E21</f>
        <v>33.097999999999999</v>
      </c>
      <c r="F30" s="65">
        <f>'Hypothetical SAR and RAR'!H30</f>
        <v>33.097999999999999</v>
      </c>
      <c r="G30" s="279">
        <f t="shared" si="0"/>
        <v>4.9863604643786141E-2</v>
      </c>
      <c r="H30" s="216">
        <f t="shared" si="0"/>
        <v>0</v>
      </c>
      <c r="I30" s="213"/>
      <c r="K30" s="503" t="s">
        <v>161</v>
      </c>
      <c r="L30" s="505"/>
      <c r="M30" s="240">
        <f>Summary!N21</f>
        <v>32.202843108045499</v>
      </c>
      <c r="N30" s="65">
        <f>Summary!O21</f>
        <v>33.797553926204316</v>
      </c>
      <c r="O30" s="237">
        <f>'Hypothetical SAR and RAR'!R30</f>
        <v>33.797553926204316</v>
      </c>
      <c r="P30" s="215">
        <f>O30/M30-1</f>
        <v>4.952080823448779E-2</v>
      </c>
      <c r="Q30" s="217">
        <f>$O30/N30-1</f>
        <v>0</v>
      </c>
      <c r="R30" s="213"/>
      <c r="S30" s="214"/>
    </row>
    <row r="31" spans="2:19">
      <c r="E31" s="68"/>
      <c r="F31" s="68"/>
      <c r="G31" s="68"/>
      <c r="N31" s="68"/>
      <c r="O31" s="68"/>
      <c r="P31" s="68"/>
    </row>
    <row r="32" spans="2:19" ht="15.75" thickBot="1">
      <c r="E32" s="68"/>
      <c r="F32" s="68"/>
      <c r="G32" s="68"/>
      <c r="N32" s="68"/>
      <c r="O32" s="68"/>
      <c r="P32" s="68"/>
    </row>
    <row r="33" spans="2:17">
      <c r="B33" s="487" t="s">
        <v>302</v>
      </c>
      <c r="C33" s="488"/>
      <c r="D33" s="488"/>
      <c r="E33" s="488"/>
      <c r="F33" s="488"/>
      <c r="G33" s="488"/>
      <c r="H33" s="489"/>
      <c r="I33" s="475"/>
      <c r="K33" s="487" t="s">
        <v>305</v>
      </c>
      <c r="L33" s="488"/>
      <c r="M33" s="488"/>
      <c r="N33" s="488"/>
      <c r="O33" s="488"/>
      <c r="P33" s="488"/>
      <c r="Q33" s="489"/>
    </row>
    <row r="34" spans="2:17" ht="45">
      <c r="B34" s="69"/>
      <c r="C34" s="70"/>
      <c r="D34" s="59" t="str">
        <f>$D$27</f>
        <v>1/1/2024</v>
      </c>
      <c r="E34" s="59" t="str">
        <f>$E$27</f>
        <v>3/1/2024</v>
      </c>
      <c r="F34" s="59" t="str">
        <f>$F$27</f>
        <v>Proposed</v>
      </c>
      <c r="G34" s="277" t="str">
        <f>$G$27</f>
        <v>% Change over 1/1/2024</v>
      </c>
      <c r="H34" s="208" t="str">
        <f>$H$27</f>
        <v>% Change over 3/1/2024</v>
      </c>
      <c r="I34" s="209"/>
      <c r="K34" s="69"/>
      <c r="L34" s="70"/>
      <c r="M34" s="59" t="str">
        <f>$D$27</f>
        <v>1/1/2024</v>
      </c>
      <c r="N34" s="59" t="str">
        <f>$E$27</f>
        <v>3/1/2024</v>
      </c>
      <c r="O34" s="59" t="str">
        <f>$F$27</f>
        <v>Proposed</v>
      </c>
      <c r="P34" s="277" t="str">
        <f>$G$27</f>
        <v>% Change over 1/1/2024</v>
      </c>
      <c r="Q34" s="301" t="str">
        <f>$H$27</f>
        <v>% Change over 3/1/2024</v>
      </c>
    </row>
    <row r="35" spans="2:17">
      <c r="B35" s="506" t="s">
        <v>162</v>
      </c>
      <c r="C35" s="507"/>
      <c r="D35" s="173">
        <f>((D41*5)+(D47*7)+(H13*2))/12</f>
        <v>108.67378957312847</v>
      </c>
      <c r="E35" s="173">
        <f>((E41*5)+(E47*7)+(H13*2))/12</f>
        <v>115.16471449808684</v>
      </c>
      <c r="F35" s="174">
        <f>((F41*5)+(F47*7)+(H14*2))/12</f>
        <v>115.16471449808684</v>
      </c>
      <c r="G35" s="302">
        <f t="shared" ref="G35:H37" si="1">$F35/D35-1</f>
        <v>5.9728522861444144E-2</v>
      </c>
      <c r="H35" s="476">
        <f t="shared" si="1"/>
        <v>0</v>
      </c>
      <c r="I35" s="477"/>
      <c r="K35" s="506" t="s">
        <v>162</v>
      </c>
      <c r="L35" s="507"/>
      <c r="M35" s="173">
        <f>((M41*5)+(M47*7)+(O13*2))/12</f>
        <v>111.00916229541548</v>
      </c>
      <c r="N35" s="173">
        <f>((N41*5)+(N47*7)+(O13*2))/12</f>
        <v>117.62480959639896</v>
      </c>
      <c r="O35" s="174">
        <f>((O41*5)+(O47*7)+(O14*2))/12</f>
        <v>117.62480959639896</v>
      </c>
      <c r="P35" s="302">
        <f t="shared" ref="P35:Q37" si="2">$O35/M35-1</f>
        <v>5.9595506931023001E-2</v>
      </c>
      <c r="Q35" s="303">
        <f t="shared" si="2"/>
        <v>0</v>
      </c>
    </row>
    <row r="36" spans="2:17">
      <c r="B36" s="506" t="s">
        <v>163</v>
      </c>
      <c r="C36" s="507"/>
      <c r="D36" s="173">
        <f>((D42*5)+(D48*7)+(H13*2))/12</f>
        <v>73.367466660551983</v>
      </c>
      <c r="E36" s="173">
        <f>((E42*5)+(E48*7)+(H13*2))/12</f>
        <v>77.973396725636078</v>
      </c>
      <c r="F36" s="174">
        <f>((F42*5)+(F48*7)+(H14*2))/12</f>
        <v>77.973396725636078</v>
      </c>
      <c r="G36" s="302">
        <f t="shared" si="1"/>
        <v>6.2778916524326434E-2</v>
      </c>
      <c r="H36" s="478">
        <f t="shared" si="1"/>
        <v>0</v>
      </c>
      <c r="I36" s="477"/>
      <c r="K36" s="506" t="s">
        <v>163</v>
      </c>
      <c r="L36" s="507"/>
      <c r="M36" s="173">
        <f>((M42*5)+(M48*7)+(O13*2))/12</f>
        <v>72.001771462625086</v>
      </c>
      <c r="N36" s="173">
        <f>((N42*5)+(N48*7)+(O13*2))/12</f>
        <v>76.531595186540599</v>
      </c>
      <c r="O36" s="174">
        <f>((O42*5)+(O48*7)+(O14*2))/12</f>
        <v>76.531595186540599</v>
      </c>
      <c r="P36" s="302">
        <f t="shared" si="2"/>
        <v>6.291267050654259E-2</v>
      </c>
      <c r="Q36" s="300">
        <f t="shared" si="2"/>
        <v>0</v>
      </c>
    </row>
    <row r="37" spans="2:17" ht="15.75" thickBot="1">
      <c r="B37" s="503" t="s">
        <v>116</v>
      </c>
      <c r="C37" s="504"/>
      <c r="D37" s="175">
        <f>((D43*5)+(D49*7)+(H13*2))/12</f>
        <v>101.23922920690565</v>
      </c>
      <c r="E37" s="175">
        <f>((E43*5)+(E49*7)+(H13*2))/12</f>
        <v>107.33322500077166</v>
      </c>
      <c r="F37" s="176">
        <f>((F43*5)+(F49*7)+(H14*2))/12</f>
        <v>107.33322500077166</v>
      </c>
      <c r="G37" s="304">
        <f t="shared" si="1"/>
        <v>6.01940161102128E-2</v>
      </c>
      <c r="H37" s="479">
        <f t="shared" si="1"/>
        <v>0</v>
      </c>
      <c r="I37" s="477"/>
      <c r="K37" s="503" t="s">
        <v>116</v>
      </c>
      <c r="L37" s="504"/>
      <c r="M37" s="175">
        <f>((M43*5)+(M49*7)+(O13*2))/12</f>
        <v>102.79525674106718</v>
      </c>
      <c r="N37" s="175">
        <f>((N43*5)+(N49*7)+(O13*2))/12</f>
        <v>108.97168579393684</v>
      </c>
      <c r="O37" s="176">
        <f>((O43*5)+(O49*7)+(O14*2))/12</f>
        <v>108.97168579393684</v>
      </c>
      <c r="P37" s="304">
        <f t="shared" si="2"/>
        <v>6.0084767027992259E-2</v>
      </c>
      <c r="Q37" s="305">
        <f t="shared" si="2"/>
        <v>0</v>
      </c>
    </row>
    <row r="38" spans="2:17" ht="15.75" thickBot="1">
      <c r="I38" s="480"/>
    </row>
    <row r="39" spans="2:17">
      <c r="B39" s="487" t="s">
        <v>303</v>
      </c>
      <c r="C39" s="488"/>
      <c r="D39" s="488"/>
      <c r="E39" s="488"/>
      <c r="F39" s="488"/>
      <c r="G39" s="488"/>
      <c r="H39" s="489"/>
      <c r="I39" s="475"/>
      <c r="K39" s="487" t="s">
        <v>306</v>
      </c>
      <c r="L39" s="488"/>
      <c r="M39" s="488"/>
      <c r="N39" s="488"/>
      <c r="O39" s="488"/>
      <c r="P39" s="488"/>
      <c r="Q39" s="489"/>
    </row>
    <row r="40" spans="2:17" ht="45">
      <c r="B40" s="69"/>
      <c r="C40" s="70"/>
      <c r="D40" s="59" t="str">
        <f>D34</f>
        <v>1/1/2024</v>
      </c>
      <c r="E40" s="59" t="str">
        <f>E27</f>
        <v>3/1/2024</v>
      </c>
      <c r="F40" s="59" t="str">
        <f>F27</f>
        <v>Proposed</v>
      </c>
      <c r="G40" s="277" t="str">
        <f>G27</f>
        <v>% Change over 1/1/2024</v>
      </c>
      <c r="H40" s="208" t="str">
        <f>$H$27</f>
        <v>% Change over 3/1/2024</v>
      </c>
      <c r="I40" s="209"/>
      <c r="K40" s="69"/>
      <c r="L40" s="70"/>
      <c r="M40" s="59" t="str">
        <f>M34</f>
        <v>1/1/2024</v>
      </c>
      <c r="N40" s="59" t="str">
        <f>N27</f>
        <v>3/1/2024</v>
      </c>
      <c r="O40" s="59" t="str">
        <f>O27</f>
        <v>Proposed</v>
      </c>
      <c r="P40" s="277" t="str">
        <f>P27</f>
        <v>% Change over 1/1/2024</v>
      </c>
      <c r="Q40" s="301" t="str">
        <f>$H$27</f>
        <v>% Change over 3/1/2024</v>
      </c>
    </row>
    <row r="41" spans="2:17">
      <c r="B41" s="506" t="s">
        <v>162</v>
      </c>
      <c r="C41" s="507"/>
      <c r="D41" s="173">
        <f>IF($D$4="All",'Hypothetical Res Bill Impact'!$C$47,(VLOOKUP($D$4,'Hypothetical Res Bill Impact'!$B$43:$J$46,2,FALSE)))</f>
        <v>125.8781209139367</v>
      </c>
      <c r="E41" s="173">
        <f>IF($D$4="All",'Hypothetical Res Bill Impact'!$E$47,(VLOOKUP($D$4,'Hypothetical Res Bill Impact'!$B$43:$J$46,4,FALSE)))</f>
        <v>132.591306699119</v>
      </c>
      <c r="F41" s="174">
        <f>IF($D$4="All",'Hypothetical Res Bill Impact'!$G$47,(VLOOKUP($D$4,'Hypothetical Res Bill Impact'!$B$43:$J$46,6,FALSE)))</f>
        <v>132.591306699119</v>
      </c>
      <c r="G41" s="302">
        <f t="shared" ref="G41:H43" si="3">$F41/D41-1</f>
        <v>5.333083888162049E-2</v>
      </c>
      <c r="H41" s="478">
        <f t="shared" si="3"/>
        <v>0</v>
      </c>
      <c r="I41" s="477"/>
      <c r="K41" s="506" t="s">
        <v>162</v>
      </c>
      <c r="L41" s="507"/>
      <c r="M41" s="173">
        <f>IF($D$4="All",'Hypothetical Res Bill Impact'!$L$47,(VLOOKUP($D$4,'Hypothetical Res Bill Impact'!$K$43:$Q$46,2,FALSE)))</f>
        <v>121.75525303209434</v>
      </c>
      <c r="N41" s="173">
        <f>IF($D$4="All",'Hypothetical Res Bill Impact'!$N$47,(VLOOKUP($D$4,'Hypothetical Res Bill Impact'!$K$43:$Q$46,4,FALSE)))</f>
        <v>128.24898278968624</v>
      </c>
      <c r="O41" s="174">
        <f>IF($D$4="All",'Hypothetical Res Bill Impact'!$P$47,(VLOOKUP($D$4,'Hypothetical Res Bill Impact'!$K$43:$Q$46,6,FALSE)))</f>
        <v>128.24898278968624</v>
      </c>
      <c r="P41" s="302">
        <f t="shared" ref="P41:Q43" si="4">$O41/M41-1</f>
        <v>5.3334288220650006E-2</v>
      </c>
      <c r="Q41" s="303">
        <f t="shared" si="4"/>
        <v>0</v>
      </c>
    </row>
    <row r="42" spans="2:17">
      <c r="B42" s="506" t="s">
        <v>163</v>
      </c>
      <c r="C42" s="507"/>
      <c r="D42" s="173">
        <f>IF($D$4="All",'Hypothetical Res Bill Impact'!$C$57,(VLOOKUP($D$4,'Hypothetical Res Bill Impact'!$B$53:$J$56,2,FALSE)))</f>
        <v>90.952099700496063</v>
      </c>
      <c r="E42" s="173">
        <f>IF($D$4="All",'Hypothetical Res Bill Impact'!$E$57,(VLOOKUP($D$4,'Hypothetical Res Bill Impact'!$B$53:$J$56,4,FALSE)))</f>
        <v>95.800386647314838</v>
      </c>
      <c r="F42" s="174">
        <f>IF($D$4="All",'Hypothetical Res Bill Impact'!$G$57,(VLOOKUP($D$4,'Hypothetical Res Bill Impact'!$B$53:$J$56,6,FALSE)))</f>
        <v>95.800386647314838</v>
      </c>
      <c r="G42" s="302">
        <f t="shared" si="3"/>
        <v>5.3305937551569649E-2</v>
      </c>
      <c r="H42" s="478">
        <f t="shared" si="3"/>
        <v>0</v>
      </c>
      <c r="I42" s="477"/>
      <c r="K42" s="506" t="s">
        <v>163</v>
      </c>
      <c r="L42" s="507"/>
      <c r="M42" s="173">
        <f>IF($D$4="All",'Hypothetical Res Bill Impact'!$L$57,(VLOOKUP($D$4,'Hypothetical Res Bill Impact'!$K$53:$Q$56,2,FALSE)))</f>
        <v>87.274918844111653</v>
      </c>
      <c r="N42" s="173">
        <f>IF($D$4="All",'Hypothetical Res Bill Impact'!$N$57,(VLOOKUP($D$4,'Hypothetical Res Bill Impact'!$K$53:$Q$56,4,FALSE)))</f>
        <v>91.919031035481353</v>
      </c>
      <c r="O42" s="174">
        <f>IF($D$4="All",'Hypothetical Res Bill Impact'!$P$57,(VLOOKUP($D$4,'Hypothetical Res Bill Impact'!$K$53:$Q$56,6,FALSE)))</f>
        <v>91.919031035481353</v>
      </c>
      <c r="P42" s="302">
        <f t="shared" si="4"/>
        <v>5.3212449268098538E-2</v>
      </c>
      <c r="Q42" s="300">
        <f t="shared" si="4"/>
        <v>0</v>
      </c>
    </row>
    <row r="43" spans="2:17" ht="15.75" thickBot="1">
      <c r="B43" s="503" t="s">
        <v>116</v>
      </c>
      <c r="C43" s="504"/>
      <c r="D43" s="175">
        <f>D41*(1-'Hypothetical SAR and RAR'!$AA$17)+D42*'Hypothetical SAR and RAR'!$AA$17</f>
        <v>118.52364183928887</v>
      </c>
      <c r="E43" s="175">
        <f>E41*(1-'Hypothetical SAR and RAR'!$AA$17)+E42*'Hypothetical SAR and RAR'!$AA$17</f>
        <v>124.84413017407275</v>
      </c>
      <c r="F43" s="175">
        <f>F41*(1-'Hypothetical SAR and RAR'!$AA$17)+F42*'Hypothetical SAR and RAR'!$AA$17</f>
        <v>124.84413017407275</v>
      </c>
      <c r="G43" s="306">
        <f t="shared" si="3"/>
        <v>5.3326815112161974E-2</v>
      </c>
      <c r="H43" s="479">
        <f t="shared" si="3"/>
        <v>0</v>
      </c>
      <c r="I43" s="477"/>
      <c r="K43" s="503" t="s">
        <v>116</v>
      </c>
      <c r="L43" s="504"/>
      <c r="M43" s="175">
        <f>M41*(1-'Hypothetical SAR and RAR'!$AA$17)+M42*'Hypothetical SAR and RAR'!$AA$17</f>
        <v>114.49462363710344</v>
      </c>
      <c r="N43" s="175">
        <f>N41*(1-'Hypothetical SAR and RAR'!$AA$17)+N42*'Hypothetical SAR and RAR'!$AA$17</f>
        <v>120.59887376849483</v>
      </c>
      <c r="O43" s="175">
        <f>O41*(1-'Hypothetical SAR and RAR'!$AA$17)+O42*'Hypothetical SAR and RAR'!$AA$17</f>
        <v>120.59887376849483</v>
      </c>
      <c r="P43" s="306">
        <f t="shared" si="4"/>
        <v>5.3314731622151168E-2</v>
      </c>
      <c r="Q43" s="305">
        <f t="shared" si="4"/>
        <v>0</v>
      </c>
    </row>
    <row r="44" spans="2:17" ht="15.75" thickBot="1">
      <c r="I44" s="480"/>
    </row>
    <row r="45" spans="2:17">
      <c r="B45" s="487" t="s">
        <v>304</v>
      </c>
      <c r="C45" s="488"/>
      <c r="D45" s="488"/>
      <c r="E45" s="488"/>
      <c r="F45" s="488"/>
      <c r="G45" s="488"/>
      <c r="H45" s="489"/>
      <c r="I45" s="475"/>
      <c r="K45" s="487" t="s">
        <v>313</v>
      </c>
      <c r="L45" s="488"/>
      <c r="M45" s="488"/>
      <c r="N45" s="488"/>
      <c r="O45" s="488"/>
      <c r="P45" s="488"/>
      <c r="Q45" s="489"/>
    </row>
    <row r="46" spans="2:17" ht="45">
      <c r="B46" s="69"/>
      <c r="C46" s="70"/>
      <c r="D46" s="59" t="str">
        <f>$D$27</f>
        <v>1/1/2024</v>
      </c>
      <c r="E46" s="59" t="str">
        <f>$E$27</f>
        <v>3/1/2024</v>
      </c>
      <c r="F46" s="59" t="str">
        <f>F40</f>
        <v>Proposed</v>
      </c>
      <c r="G46" s="277" t="str">
        <f>G27</f>
        <v>% Change over 1/1/2024</v>
      </c>
      <c r="H46" s="208" t="str">
        <f>$H$27</f>
        <v>% Change over 3/1/2024</v>
      </c>
      <c r="I46" s="209"/>
      <c r="K46" s="69"/>
      <c r="L46" s="70"/>
      <c r="M46" s="59" t="str">
        <f>$D$27</f>
        <v>1/1/2024</v>
      </c>
      <c r="N46" s="59" t="str">
        <f>$E$27</f>
        <v>3/1/2024</v>
      </c>
      <c r="O46" s="59" t="str">
        <f>O40</f>
        <v>Proposed</v>
      </c>
      <c r="P46" s="277" t="str">
        <f>P27</f>
        <v>% Change over 1/1/2024</v>
      </c>
      <c r="Q46" s="301" t="str">
        <f>$H$27</f>
        <v>% Change over 3/1/2024</v>
      </c>
    </row>
    <row r="47" spans="2:17">
      <c r="B47" s="506" t="s">
        <v>162</v>
      </c>
      <c r="C47" s="507"/>
      <c r="D47" s="173">
        <f>IF($D$4="All",'Hypothetical Res Bill Impact'!$D$47,(VLOOKUP($D$4,'Hypothetical Res Bill Impact'!$B$43:$J$46,3,FALSE)))</f>
        <v>118.73368768324164</v>
      </c>
      <c r="E47" s="173">
        <f>IF($D$4="All",'Hypothetical Res Bill Impact'!$F$47,(VLOOKUP($D$4,'Hypothetical Res Bill Impact'!$B$43:$J$46,5,FALSE)))</f>
        <v>125.0658548508972</v>
      </c>
      <c r="F47" s="174">
        <f>IF($D$4="All",'Hypothetical Res Bill Impact'!$H$47,(VLOOKUP($D$4,'Hypothetical Res Bill Impact'!$B$43:$J$46,7,FALSE)))</f>
        <v>125.0658548508972</v>
      </c>
      <c r="G47" s="302">
        <f t="shared" ref="G47:H49" si="5">$F47/D47-1</f>
        <v>5.3330838881620046E-2</v>
      </c>
      <c r="H47" s="478">
        <f t="shared" si="5"/>
        <v>0</v>
      </c>
      <c r="I47" s="477"/>
      <c r="K47" s="506" t="s">
        <v>162</v>
      </c>
      <c r="L47" s="507"/>
      <c r="M47" s="173">
        <f>IF($D$4="All",'Hypothetical Res Bill Impact'!$M$47,(VLOOKUP($D$4,'Hypothetical Res Bill Impact'!$K$43:$Q$46,3,FALSE)))</f>
        <v>125.68208940847819</v>
      </c>
      <c r="N47" s="173">
        <f>IF($D$4="All",'Hypothetical Res Bill Impact'!$O$47,(VLOOKUP($D$4,'Hypothetical Res Bill Impact'!$K$43:$Q$46,5,FALSE)))</f>
        <v>132.38482066902711</v>
      </c>
      <c r="O47" s="174">
        <f>IF($D$4="All",'Hypothetical Res Bill Impact'!$Q$47,(VLOOKUP($D$4,'Hypothetical Res Bill Impact'!$K$43:$Q$46,7,FALSE)))</f>
        <v>132.38482066902711</v>
      </c>
      <c r="P47" s="302">
        <f t="shared" ref="P47:Q49" si="6">$O47/M47-1</f>
        <v>5.3330838881620046E-2</v>
      </c>
      <c r="Q47" s="303">
        <f t="shared" si="6"/>
        <v>0</v>
      </c>
    </row>
    <row r="48" spans="2:17">
      <c r="B48" s="506" t="s">
        <v>163</v>
      </c>
      <c r="C48" s="507"/>
      <c r="D48" s="173">
        <f>IF($D$4="All",'Hypothetical Res Bill Impact'!$D$57,(VLOOKUP($D$4,'Hypothetical Res Bill Impact'!$B$53:$J$56,3,FALSE)))</f>
        <v>83.155720699853831</v>
      </c>
      <c r="E48" s="173">
        <f>IF($D$4="All",'Hypothetical Res Bill Impact'!$F$57,(VLOOKUP($D$4,'Hypothetical Res Bill Impact'!$B$53:$J$56,5,FALSE)))</f>
        <v>87.588538706556022</v>
      </c>
      <c r="F48" s="174">
        <f>IF($D$4="All",'Hypothetical Res Bill Impact'!$H$57,(VLOOKUP($D$4,'Hypothetical Res Bill Impact'!$B$53:$J$56,7,FALSE)))</f>
        <v>87.588538706556022</v>
      </c>
      <c r="G48" s="302">
        <f t="shared" si="5"/>
        <v>5.33074329630574E-2</v>
      </c>
      <c r="H48" s="478">
        <f t="shared" si="5"/>
        <v>0</v>
      </c>
      <c r="I48" s="477"/>
      <c r="K48" s="506" t="s">
        <v>163</v>
      </c>
      <c r="L48" s="507"/>
      <c r="M48" s="173">
        <f>IF($D$4="All",'Hypothetical Res Bill Impact'!$M$57,(VLOOKUP($D$4,'Hypothetical Res Bill Impact'!$K$53:$Q$56,3,FALSE)))</f>
        <v>83.441086686539435</v>
      </c>
      <c r="N48" s="173">
        <f>IF($D$4="All",'Hypothetical Res Bill Impact'!$O$57,(VLOOKUP($D$4,'Hypothetical Res Bill Impact'!$K$53:$Q$56,5,FALSE)))</f>
        <v>87.889275790844835</v>
      </c>
      <c r="O48" s="174">
        <f>IF($D$4="All",'Hypothetical Res Bill Impact'!$Q$57,(VLOOKUP($D$4,'Hypothetical Res Bill Impact'!$K$53:$Q$56,7,FALSE)))</f>
        <v>87.889275790844835</v>
      </c>
      <c r="P48" s="302">
        <f t="shared" si="6"/>
        <v>5.3309338132373263E-2</v>
      </c>
      <c r="Q48" s="300">
        <f t="shared" si="6"/>
        <v>0</v>
      </c>
    </row>
    <row r="49" spans="2:17" ht="15.75" thickBot="1">
      <c r="B49" s="503" t="s">
        <v>116</v>
      </c>
      <c r="C49" s="504"/>
      <c r="D49" s="175">
        <f>D47*(1-'Hypothetical SAR and RAR'!$AA$17)+D48*'Hypothetical SAR and RAR'!$AA$17</f>
        <v>111.24192639446528</v>
      </c>
      <c r="E49" s="175">
        <f>E47*(1-'Hypothetical SAR and RAR'!$AA$17)+E48*'Hypothetical SAR and RAR'!$AA$17</f>
        <v>117.17414180196138</v>
      </c>
      <c r="F49" s="175">
        <f>F47*(1-'Hypothetical SAR and RAR'!$AA$17)+F48*'Hypothetical SAR and RAR'!$AA$17</f>
        <v>117.17414180196138</v>
      </c>
      <c r="G49" s="306">
        <f t="shared" si="5"/>
        <v>5.3327154605902649E-2</v>
      </c>
      <c r="H49" s="479">
        <f t="shared" si="5"/>
        <v>0</v>
      </c>
      <c r="I49" s="477"/>
      <c r="K49" s="503" t="s">
        <v>116</v>
      </c>
      <c r="L49" s="504"/>
      <c r="M49" s="175">
        <f>M47*(1-'Hypothetical SAR and RAR'!$AA$17)+M48*'Hypothetical SAR and RAR'!$AA$17</f>
        <v>116.78727231173175</v>
      </c>
      <c r="N49" s="175">
        <f>N47*(1-'Hypothetical SAR and RAR'!$AA$17)+N48*'Hypothetical SAR and RAR'!$AA$17</f>
        <v>123.01525773708592</v>
      </c>
      <c r="O49" s="175">
        <f>O47*(1-'Hypothetical SAR and RAR'!$AA$17)+O48*'Hypothetical SAR and RAR'!$AA$17</f>
        <v>123.01525773708592</v>
      </c>
      <c r="P49" s="306">
        <f t="shared" si="6"/>
        <v>5.3327604130784412E-2</v>
      </c>
      <c r="Q49" s="305">
        <f t="shared" si="6"/>
        <v>0</v>
      </c>
    </row>
    <row r="50" spans="2:17" ht="15.75" thickBot="1"/>
    <row r="51" spans="2:17">
      <c r="B51" s="509" t="s">
        <v>324</v>
      </c>
      <c r="C51" s="510"/>
      <c r="D51" s="510"/>
      <c r="E51" s="510"/>
      <c r="F51" s="510"/>
      <c r="G51" s="510"/>
      <c r="H51" s="511"/>
      <c r="K51" s="509" t="s">
        <v>323</v>
      </c>
      <c r="L51" s="510"/>
      <c r="M51" s="510"/>
      <c r="N51" s="510"/>
      <c r="O51" s="510"/>
      <c r="P51" s="510"/>
      <c r="Q51" s="511"/>
    </row>
    <row r="52" spans="2:17" ht="45">
      <c r="B52" s="69"/>
      <c r="C52" s="276"/>
      <c r="D52" s="59" t="str">
        <f>D46</f>
        <v>1/1/2024</v>
      </c>
      <c r="E52" s="192" t="str">
        <f>E46</f>
        <v>3/1/2024</v>
      </c>
      <c r="F52" s="277" t="str">
        <f>F46</f>
        <v>Proposed</v>
      </c>
      <c r="G52" s="60" t="str">
        <f>$G$27</f>
        <v>% Change over 1/1/2024</v>
      </c>
      <c r="H52" s="61" t="s">
        <v>157</v>
      </c>
      <c r="K52" s="69"/>
      <c r="L52" s="276"/>
      <c r="M52" s="59" t="str">
        <f>M46</f>
        <v>1/1/2024</v>
      </c>
      <c r="N52" s="192" t="str">
        <f>N46</f>
        <v>3/1/2024</v>
      </c>
      <c r="O52" s="277" t="str">
        <f>O46</f>
        <v>Proposed</v>
      </c>
      <c r="P52" s="60" t="str">
        <f>$G$27</f>
        <v>% Change over 1/1/2024</v>
      </c>
      <c r="Q52" s="61" t="s">
        <v>157</v>
      </c>
    </row>
    <row r="53" spans="2:17">
      <c r="B53" s="506" t="s">
        <v>309</v>
      </c>
      <c r="C53" s="508"/>
      <c r="D53" s="173">
        <f>((D59*5)+(D65*7)+(H13*2))/12</f>
        <v>96.395329465856221</v>
      </c>
      <c r="E53" s="173">
        <f>((E59*5)+(E65*7)+(H13*2))/12</f>
        <v>102.23143381311924</v>
      </c>
      <c r="F53" s="173">
        <f>((F59*5)+(F65*7)+(H14*2))/12</f>
        <v>102.23143381311924</v>
      </c>
      <c r="G53" s="71">
        <f t="shared" ref="G53:H55" si="7">$F53/D53-1</f>
        <v>6.0543434828242315E-2</v>
      </c>
      <c r="H53" s="73">
        <f t="shared" si="7"/>
        <v>0</v>
      </c>
      <c r="K53" s="506" t="s">
        <v>309</v>
      </c>
      <c r="L53" s="508"/>
      <c r="M53" s="173">
        <f>((M59*5)+(M65*7)+(O13*2))/12</f>
        <v>90.597394633788383</v>
      </c>
      <c r="N53" s="173">
        <f>((N59*5)+(N65*7)+(O13*2))/12</f>
        <v>96.124290252676261</v>
      </c>
      <c r="O53" s="173">
        <f>((O59*5)+(O65*7)+(O14*2))/12</f>
        <v>96.124290252676261</v>
      </c>
      <c r="P53" s="302">
        <f t="shared" ref="P53:Q55" si="8">$O53/M53-1</f>
        <v>6.100501721079965E-2</v>
      </c>
      <c r="Q53" s="303">
        <f t="shared" si="8"/>
        <v>0</v>
      </c>
    </row>
    <row r="54" spans="2:17">
      <c r="B54" s="506" t="s">
        <v>310</v>
      </c>
      <c r="C54" s="508"/>
      <c r="D54" s="173">
        <f>((D60*5)+(D66*7)+(H13*2))/12</f>
        <v>58.565618324391345</v>
      </c>
      <c r="E54" s="173">
        <f>((E60*5)+(E66*7)+(H13*2))/12</f>
        <v>62.382692937365142</v>
      </c>
      <c r="F54" s="173">
        <f>((F60*5)+(F66*7)+(H14*2))/12</f>
        <v>62.382692937365142</v>
      </c>
      <c r="G54" s="71">
        <f t="shared" si="7"/>
        <v>6.5176031982301597E-2</v>
      </c>
      <c r="H54" s="73">
        <f t="shared" si="7"/>
        <v>0</v>
      </c>
      <c r="K54" s="506" t="s">
        <v>310</v>
      </c>
      <c r="L54" s="508"/>
      <c r="M54" s="173">
        <f>((M60*5)+(M66*7)+(O13*2))/12</f>
        <v>56.19580434430879</v>
      </c>
      <c r="N54" s="173">
        <f>((N60*5)+(N66*7)+(O13*2))/12</f>
        <v>59.886545742507543</v>
      </c>
      <c r="O54" s="173">
        <f>((O60*5)+(O66*7)+(O14*2))/12</f>
        <v>59.886545742507543</v>
      </c>
      <c r="P54" s="71">
        <f t="shared" si="8"/>
        <v>6.5676458256309855E-2</v>
      </c>
      <c r="Q54" s="73">
        <f t="shared" si="8"/>
        <v>0</v>
      </c>
    </row>
    <row r="55" spans="2:17" ht="15.75" thickBot="1">
      <c r="B55" s="503" t="s">
        <v>116</v>
      </c>
      <c r="C55" s="505"/>
      <c r="D55" s="175">
        <f>((D61*5)+(D67*7)+(H13*2))/12</f>
        <v>88.429411524914016</v>
      </c>
      <c r="E55" s="175">
        <f>((E61*5)+(E67*7)+(H13*2))/12</f>
        <v>93.840362607762017</v>
      </c>
      <c r="F55" s="176">
        <f>((F61*5)+(F67*7)+(H14*2))/12</f>
        <v>93.840362607762017</v>
      </c>
      <c r="G55" s="74">
        <f t="shared" si="7"/>
        <v>6.1189495548362061E-2</v>
      </c>
      <c r="H55" s="75">
        <f t="shared" si="7"/>
        <v>0</v>
      </c>
      <c r="K55" s="503" t="s">
        <v>116</v>
      </c>
      <c r="L55" s="505"/>
      <c r="M55" s="175">
        <f>((M61*5)+(M67*7)+(O13*2))/12</f>
        <v>83.353346582267946</v>
      </c>
      <c r="N55" s="175">
        <f>((N61*5)+(N67*7)+(O13*2))/12</f>
        <v>88.493597592788944</v>
      </c>
      <c r="O55" s="175">
        <f>((O61*5)+(O67*7)+(O14*2))/12</f>
        <v>88.493597592788944</v>
      </c>
      <c r="P55" s="74">
        <f t="shared" si="8"/>
        <v>6.1668201953327451E-2</v>
      </c>
      <c r="Q55" s="75">
        <f t="shared" si="8"/>
        <v>0</v>
      </c>
    </row>
    <row r="56" spans="2:17" ht="15.75" thickBot="1">
      <c r="B56"/>
      <c r="C56"/>
      <c r="D56"/>
      <c r="E56"/>
      <c r="F56"/>
      <c r="G56"/>
      <c r="H56"/>
      <c r="K56"/>
      <c r="L56"/>
      <c r="M56"/>
      <c r="N56"/>
      <c r="O56"/>
      <c r="P56"/>
      <c r="Q56"/>
    </row>
    <row r="57" spans="2:17">
      <c r="B57" s="509" t="s">
        <v>315</v>
      </c>
      <c r="C57" s="510"/>
      <c r="D57" s="510"/>
      <c r="E57" s="510"/>
      <c r="F57" s="510"/>
      <c r="G57" s="510"/>
      <c r="H57" s="511"/>
      <c r="K57" s="509" t="s">
        <v>321</v>
      </c>
      <c r="L57" s="510"/>
      <c r="M57" s="510"/>
      <c r="N57" s="510"/>
      <c r="O57" s="510"/>
      <c r="P57" s="510"/>
      <c r="Q57" s="511"/>
    </row>
    <row r="58" spans="2:17" ht="45">
      <c r="B58" s="69"/>
      <c r="C58" s="276"/>
      <c r="D58" s="59" t="str">
        <f>D52</f>
        <v>1/1/2024</v>
      </c>
      <c r="E58" s="192" t="str">
        <f>E52</f>
        <v>3/1/2024</v>
      </c>
      <c r="F58" s="277" t="str">
        <f>F52</f>
        <v>Proposed</v>
      </c>
      <c r="G58" s="60" t="str">
        <f>$G$27</f>
        <v>% Change over 1/1/2024</v>
      </c>
      <c r="H58" s="61" t="s">
        <v>157</v>
      </c>
      <c r="K58" s="69"/>
      <c r="L58" s="276"/>
      <c r="M58" s="59" t="str">
        <f>M52</f>
        <v>1/1/2024</v>
      </c>
      <c r="N58" s="192" t="str">
        <f>N52</f>
        <v>3/1/2024</v>
      </c>
      <c r="O58" s="277" t="str">
        <f>O52</f>
        <v>Proposed</v>
      </c>
      <c r="P58" s="60" t="str">
        <f>$G$27</f>
        <v>% Change over 1/1/2024</v>
      </c>
      <c r="Q58" s="61" t="s">
        <v>157</v>
      </c>
    </row>
    <row r="59" spans="2:17">
      <c r="B59" s="506" t="s">
        <v>309</v>
      </c>
      <c r="C59" s="508"/>
      <c r="D59" s="173">
        <f>IF($D$4="All",'Hypothetical Res Bill Impact'!C67,(VLOOKUP($D$4,'Hypothetical Res Bill Impact'!$B$63:$J$66,2,FALSE)))</f>
        <v>110.83395693903046</v>
      </c>
      <c r="E59" s="173">
        <f>IF($D$4="All",'Hypothetical Res Bill Impact'!E67,(VLOOKUP($D$4,'Hypothetical Res Bill Impact'!$B$63:$J$66,4,FALSE)))</f>
        <v>116.7448248391583</v>
      </c>
      <c r="F59" s="173">
        <f>IF($D$4="All",'Hypothetical Res Bill Impact'!G67,(VLOOKUP($D$4,'Hypothetical Res Bill Impact'!$B$63:$J$66,6,FALSE)))</f>
        <v>116.7448248391583</v>
      </c>
      <c r="G59" s="71">
        <f t="shared" ref="G59:H61" si="9">$F59/D59-1</f>
        <v>5.3330838881620046E-2</v>
      </c>
      <c r="H59" s="73">
        <f t="shared" si="9"/>
        <v>0</v>
      </c>
      <c r="K59" s="506" t="s">
        <v>309</v>
      </c>
      <c r="L59" s="508"/>
      <c r="M59" s="173">
        <f>IF($D$4="All",'Hypothetical Res Bill Impact'!L67,(VLOOKUP($D$4,'Hypothetical Res Bill Impact'!$B$63:$J$66,2,FALSE)))</f>
        <v>83.009873737501962</v>
      </c>
      <c r="N59" s="173">
        <f>IF($D$4="All",'Hypothetical Res Bill Impact'!N67,(VLOOKUP($D$4,'Hypothetical Res Bill Impact'!$B$63:$J$66,4,FALSE)))</f>
        <v>87.436859939380312</v>
      </c>
      <c r="O59" s="173">
        <f>IF($D$4="All",'Hypothetical Res Bill Impact'!P67,(VLOOKUP($D$4,'Hypothetical Res Bill Impact'!$B$63:$J$66,6,FALSE)))</f>
        <v>87.436859939380312</v>
      </c>
      <c r="P59" s="302">
        <f t="shared" ref="P59:Q61" si="10">$O59/M59-1</f>
        <v>5.3330838881620268E-2</v>
      </c>
      <c r="Q59" s="303">
        <f t="shared" si="10"/>
        <v>0</v>
      </c>
    </row>
    <row r="60" spans="2:17">
      <c r="B60" s="506" t="s">
        <v>310</v>
      </c>
      <c r="C60" s="508"/>
      <c r="D60" s="173">
        <f>IF($D$4="All",'Hypothetical Res Bill Impact'!C77,(VLOOKUP($D$4,'Hypothetical Res Bill Impact'!$B$73:$J$76,2,FALSE)))</f>
        <v>72.882613823219003</v>
      </c>
      <c r="E60" s="173">
        <f>IF($D$4="All",'Hypothetical Res Bill Impact'!E77,(VLOOKUP($D$4,'Hypothetical Res Bill Impact'!$B$73:$J$76,4,FALSE)))</f>
        <v>76.767937727492196</v>
      </c>
      <c r="F60" s="173">
        <f>IF($D$4="All",'Hypothetical Res Bill Impact'!G77,(VLOOKUP($D$4,'Hypothetical Res Bill Impact'!$B$73:$J$76,6,FALSE)))</f>
        <v>76.767937727492196</v>
      </c>
      <c r="G60" s="71">
        <f t="shared" si="9"/>
        <v>5.3309338132373707E-2</v>
      </c>
      <c r="H60" s="73">
        <f t="shared" si="9"/>
        <v>0</v>
      </c>
      <c r="K60" s="506" t="s">
        <v>310</v>
      </c>
      <c r="L60" s="508"/>
      <c r="M60" s="173">
        <f>IF($D$4="All",'Hypothetical Res Bill Impact'!L77,(VLOOKUP($D$4,'Hypothetical Res Bill Impact'!$B$73:$J$76,2,FALSE)))</f>
        <v>55.604549965390675</v>
      </c>
      <c r="N60" s="173">
        <f>IF($D$4="All",'Hypothetical Res Bill Impact'!N77,(VLOOKUP($D$4,'Hypothetical Res Bill Impact'!$B$73:$J$76,4,FALSE)))</f>
        <v>58.56879172119416</v>
      </c>
      <c r="O60" s="173">
        <f>IF($D$4="All",'Hypothetical Res Bill Impact'!P77,(VLOOKUP($D$4,'Hypothetical Res Bill Impact'!$B$73:$J$76,6,FALSE)))</f>
        <v>58.56879172119416</v>
      </c>
      <c r="P60" s="71">
        <f t="shared" si="10"/>
        <v>5.3309338132373707E-2</v>
      </c>
      <c r="Q60" s="73">
        <f t="shared" si="10"/>
        <v>0</v>
      </c>
    </row>
    <row r="61" spans="2:17" ht="15.75" thickBot="1">
      <c r="B61" s="503" t="s">
        <v>116</v>
      </c>
      <c r="C61" s="505"/>
      <c r="D61" s="175">
        <f>D59*(1-'Hypothetical SAR and RAR'!$AA$17)+D60*'Hypothetical SAR and RAR'!$AA$17</f>
        <v>102.84242658135537</v>
      </c>
      <c r="E61" s="175">
        <f>E59*(1-'Hypothetical SAR and RAR'!$AA$17)+E60*'Hypothetical SAR and RAR'!$AA$17</f>
        <v>108.32676948909275</v>
      </c>
      <c r="F61" s="175">
        <f>F59*(1-'Hypothetical SAR and RAR'!$AA$17)+F60*'Hypothetical SAR and RAR'!$AA$17</f>
        <v>108.32676948909275</v>
      </c>
      <c r="G61" s="74">
        <f t="shared" si="9"/>
        <v>5.3327630337455023E-2</v>
      </c>
      <c r="H61" s="75">
        <f t="shared" si="9"/>
        <v>0</v>
      </c>
      <c r="K61" s="503" t="s">
        <v>116</v>
      </c>
      <c r="L61" s="505"/>
      <c r="M61" s="175">
        <f>M59*(1-'Hypothetical SAR and RAR'!$AA$17)+M60*'Hypothetical SAR and RAR'!$AA$17</f>
        <v>77.239050917913858</v>
      </c>
      <c r="N61" s="175">
        <f>N59*(1-'Hypothetical SAR and RAR'!$AA$17)+N60*'Hypothetical SAR and RAR'!$AA$17</f>
        <v>81.358022549381459</v>
      </c>
      <c r="O61" s="175">
        <f>O59*(1-'Hypothetical SAR and RAR'!$AA$17)+O60*'Hypothetical SAR and RAR'!$AA$17</f>
        <v>81.358022549381459</v>
      </c>
      <c r="P61" s="74">
        <f t="shared" si="10"/>
        <v>5.3327579540627168E-2</v>
      </c>
      <c r="Q61" s="75">
        <f t="shared" si="10"/>
        <v>0</v>
      </c>
    </row>
    <row r="62" spans="2:17" ht="15.75" thickBot="1"/>
    <row r="63" spans="2:17">
      <c r="B63" s="509" t="s">
        <v>314</v>
      </c>
      <c r="C63" s="510"/>
      <c r="D63" s="510"/>
      <c r="E63" s="510"/>
      <c r="F63" s="510"/>
      <c r="G63" s="510"/>
      <c r="H63" s="511"/>
      <c r="K63" s="509" t="s">
        <v>322</v>
      </c>
      <c r="L63" s="510"/>
      <c r="M63" s="510"/>
      <c r="N63" s="510"/>
      <c r="O63" s="510"/>
      <c r="P63" s="510"/>
      <c r="Q63" s="511"/>
    </row>
    <row r="64" spans="2:17" ht="45">
      <c r="B64" s="69"/>
      <c r="C64" s="276"/>
      <c r="D64" s="59" t="str">
        <f>D58</f>
        <v>1/1/2024</v>
      </c>
      <c r="E64" s="192" t="str">
        <f>E58</f>
        <v>3/1/2024</v>
      </c>
      <c r="F64" s="277" t="str">
        <f>F58</f>
        <v>Proposed</v>
      </c>
      <c r="G64" s="60" t="str">
        <f>$G$27</f>
        <v>% Change over 1/1/2024</v>
      </c>
      <c r="H64" s="61" t="s">
        <v>157</v>
      </c>
      <c r="K64" s="69"/>
      <c r="L64" s="276"/>
      <c r="M64" s="59" t="str">
        <f>M58</f>
        <v>1/1/2024</v>
      </c>
      <c r="N64" s="192" t="str">
        <f>N58</f>
        <v>3/1/2024</v>
      </c>
      <c r="O64" s="277" t="str">
        <f>O58</f>
        <v>Proposed</v>
      </c>
      <c r="P64" s="60" t="str">
        <f>$G$27</f>
        <v>% Change over 1/1/2024</v>
      </c>
      <c r="Q64" s="61" t="s">
        <v>157</v>
      </c>
    </row>
    <row r="65" spans="2:17">
      <c r="B65" s="506" t="s">
        <v>309</v>
      </c>
      <c r="C65" s="508"/>
      <c r="D65" s="173">
        <f>IF($D$4="All",'Hypothetical Res Bill Impact'!D67,(VLOOKUP($D$4,'Hypothetical Res Bill Impact'!$B$63:$J$66,3,FALSE)))</f>
        <v>108.43073033856513</v>
      </c>
      <c r="E65" s="173">
        <f>IF($D$4="All",'Hypothetical Res Bill Impact'!F67,(VLOOKUP($D$4,'Hypothetical Res Bill Impact'!$B$63:$J$66,5,FALSE)))</f>
        <v>114.21343214806754</v>
      </c>
      <c r="F65" s="173">
        <f>IF($D$4="All",'Hypothetical Res Bill Impact'!H67,(VLOOKUP($D$4,'Hypothetical Res Bill Impact'!$B$63:$J$66,7,FALSE)))</f>
        <v>114.21343214806754</v>
      </c>
      <c r="G65" s="71">
        <f t="shared" ref="G65:H67" si="11">$F65/D65-1</f>
        <v>5.3330838881620046E-2</v>
      </c>
      <c r="H65" s="73">
        <f t="shared" si="11"/>
        <v>0</v>
      </c>
      <c r="K65" s="506" t="s">
        <v>309</v>
      </c>
      <c r="L65" s="508"/>
      <c r="M65" s="173">
        <f>IF($D$4="All",'Hypothetical Res Bill Impact'!M67,(VLOOKUP($D$4,'Hypothetical Res Bill Impact'!$B$63:$J$66,3,FALSE)))</f>
        <v>118.3657586275406</v>
      </c>
      <c r="N65" s="173">
        <f>IF($D$4="All",'Hypothetical Res Bill Impact'!O67,(VLOOKUP($D$4,'Hypothetical Res Bill Impact'!$B$63:$J$66,5,FALSE)))</f>
        <v>124.6783038300067</v>
      </c>
      <c r="O65" s="173">
        <f>IF($D$4="All",'Hypothetical Res Bill Impact'!Q67,(VLOOKUP($D$4,'Hypothetical Res Bill Impact'!$B$63:$J$66,7,FALSE)))</f>
        <v>124.6783038300067</v>
      </c>
      <c r="P65" s="302">
        <f t="shared" ref="P65:Q67" si="12">$O65/M65-1</f>
        <v>5.3330838881620046E-2</v>
      </c>
      <c r="Q65" s="303">
        <f t="shared" si="12"/>
        <v>0</v>
      </c>
    </row>
    <row r="66" spans="2:17">
      <c r="B66" s="506" t="s">
        <v>310</v>
      </c>
      <c r="C66" s="508"/>
      <c r="D66" s="173">
        <f>IF($D$4="All",'Hypothetical Res Bill Impact'!D77,(VLOOKUP($D$4,'Hypothetical Res Bill Impact'!$B$73:$J$76,3,FALSE)))</f>
        <v>70.687899178776348</v>
      </c>
      <c r="E66" s="173">
        <f>IF($D$4="All",'Hypothetical Res Bill Impact'!F77,(VLOOKUP($D$4,'Hypothetical Res Bill Impact'!$B$73:$J$76,5,FALSE)))</f>
        <v>74.45622429796488</v>
      </c>
      <c r="F66" s="173">
        <f>IF($D$4="All",'Hypothetical Res Bill Impact'!H77,(VLOOKUP($D$4,'Hypothetical Res Bill Impact'!$B$73:$J$76,7,FALSE)))</f>
        <v>74.45622429796488</v>
      </c>
      <c r="G66" s="71">
        <f t="shared" si="11"/>
        <v>5.3309338132373707E-2</v>
      </c>
      <c r="H66" s="73">
        <f t="shared" si="11"/>
        <v>0</v>
      </c>
      <c r="K66" s="506" t="s">
        <v>310</v>
      </c>
      <c r="L66" s="508"/>
      <c r="M66" s="173">
        <f>IF($D$4="All",'Hypothetical Res Bill Impact'!M77,(VLOOKUP($D$4,'Hypothetical Res Bill Impact'!$B$73:$J$76,3,FALSE)))</f>
        <v>78.966835111369363</v>
      </c>
      <c r="N66" s="173">
        <f>IF($D$4="All",'Hypothetical Res Bill Impact'!O77,(VLOOKUP($D$4,'Hypothetical Res Bill Impact'!$B$73:$J$76,5,FALSE)))</f>
        <v>83.176504825564734</v>
      </c>
      <c r="O66" s="173">
        <f>IF($D$4="All",'Hypothetical Res Bill Impact'!Q77,(VLOOKUP($D$4,'Hypothetical Res Bill Impact'!$B$73:$J$76,7,FALSE)))</f>
        <v>83.176504825564734</v>
      </c>
      <c r="P66" s="71">
        <f t="shared" si="12"/>
        <v>5.3309338132373485E-2</v>
      </c>
      <c r="Q66" s="73">
        <f t="shared" si="12"/>
        <v>0</v>
      </c>
    </row>
    <row r="67" spans="2:17" ht="15.75" thickBot="1">
      <c r="B67" s="503" t="s">
        <v>116</v>
      </c>
      <c r="C67" s="505"/>
      <c r="D67" s="175">
        <f>D65*(1-'Hypothetical SAR and RAR'!$AA$17)+D66*'Hypothetical SAR and RAR'!$AA$17</f>
        <v>100.48310698100353</v>
      </c>
      <c r="E67" s="175">
        <f>E65*(1-'Hypothetical SAR and RAR'!$AA$17)+E66*'Hypothetical SAR and RAR'!$AA$17</f>
        <v>105.8416353317877</v>
      </c>
      <c r="F67" s="175">
        <f>F65*(1-'Hypothetical SAR and RAR'!$AA$17)+F66*'Hypothetical SAR and RAR'!$AA$17</f>
        <v>105.8416353317877</v>
      </c>
      <c r="G67" s="74">
        <f t="shared" si="11"/>
        <v>5.3327653889098103E-2</v>
      </c>
      <c r="H67" s="75">
        <f t="shared" si="11"/>
        <v>0</v>
      </c>
      <c r="K67" s="503" t="s">
        <v>116</v>
      </c>
      <c r="L67" s="505"/>
      <c r="M67" s="175">
        <f>M65*(1-'Hypothetical SAR and RAR'!$AA$17)+M66*'Hypothetical SAR and RAR'!$AA$17</f>
        <v>110.06940683892566</v>
      </c>
      <c r="N67" s="175">
        <f>N65*(1-'Hypothetical SAR and RAR'!$AA$17)+N66*'Hypothetical SAR and RAR'!$AA$17</f>
        <v>115.93914312019906</v>
      </c>
      <c r="O67" s="175">
        <f>O65*(1-'Hypothetical SAR and RAR'!$AA$17)+O66*'Hypothetical SAR and RAR'!$AA$17</f>
        <v>115.93914312019906</v>
      </c>
      <c r="P67" s="74">
        <f t="shared" si="12"/>
        <v>5.3327590743385223E-2</v>
      </c>
      <c r="Q67" s="75">
        <f t="shared" si="12"/>
        <v>0</v>
      </c>
    </row>
    <row r="68" spans="2:17" ht="15.75" thickBot="1"/>
    <row r="69" spans="2:17">
      <c r="B69" s="509" t="s">
        <v>325</v>
      </c>
      <c r="C69" s="510"/>
      <c r="D69" s="510"/>
      <c r="E69" s="510"/>
      <c r="F69" s="510"/>
      <c r="G69" s="510"/>
      <c r="H69" s="511"/>
      <c r="K69" s="509" t="s">
        <v>320</v>
      </c>
      <c r="L69" s="510"/>
      <c r="M69" s="510"/>
      <c r="N69" s="510"/>
      <c r="O69" s="510"/>
      <c r="P69" s="510"/>
      <c r="Q69" s="511"/>
    </row>
    <row r="70" spans="2:17" ht="45">
      <c r="B70" s="69"/>
      <c r="C70" s="276"/>
      <c r="D70" s="59" t="str">
        <f>D64</f>
        <v>1/1/2024</v>
      </c>
      <c r="E70" s="192" t="str">
        <f>E64</f>
        <v>3/1/2024</v>
      </c>
      <c r="F70" s="277" t="str">
        <f>F64</f>
        <v>Proposed</v>
      </c>
      <c r="G70" s="60" t="str">
        <f>$G$27</f>
        <v>% Change over 1/1/2024</v>
      </c>
      <c r="H70" s="61" t="s">
        <v>157</v>
      </c>
      <c r="K70" s="69"/>
      <c r="L70" s="276"/>
      <c r="M70" s="59" t="str">
        <f>M64</f>
        <v>1/1/2024</v>
      </c>
      <c r="N70" s="192" t="str">
        <f>N64</f>
        <v>3/1/2024</v>
      </c>
      <c r="O70" s="277" t="str">
        <f>O64</f>
        <v>Proposed</v>
      </c>
      <c r="P70" s="60" t="str">
        <f>$G$27</f>
        <v>% Change over 1/1/2024</v>
      </c>
      <c r="Q70" s="61" t="s">
        <v>157</v>
      </c>
    </row>
    <row r="71" spans="2:17">
      <c r="B71" s="497" t="s">
        <v>273</v>
      </c>
      <c r="C71" s="498"/>
      <c r="D71" s="173">
        <f>((D77*5)+(D83*7)+(H13*2))/12</f>
        <v>144.12492058765821</v>
      </c>
      <c r="E71" s="173">
        <f>((E77*5)+(E83*7)+(H13*2))/12</f>
        <v>152.50693181774895</v>
      </c>
      <c r="F71" s="173">
        <f>((F77*5)+(F83*7)+(H14*2))/12</f>
        <v>152.50693181774895</v>
      </c>
      <c r="G71" s="72">
        <f t="shared" ref="G71:H73" si="13">$F71/D71-1</f>
        <v>5.8157959053255492E-2</v>
      </c>
      <c r="H71" s="73">
        <f t="shared" si="13"/>
        <v>0</v>
      </c>
      <c r="K71" s="497" t="s">
        <v>273</v>
      </c>
      <c r="L71" s="498"/>
      <c r="M71" s="173">
        <f>((M77*5)+(M83*7)+(O13*2))/12</f>
        <v>147.91250813175017</v>
      </c>
      <c r="N71" s="173">
        <f>((N77*5)+(N83*7)+(O13*2))/12</f>
        <v>156.49704082110119</v>
      </c>
      <c r="O71" s="173">
        <f>((O77*5)+(O83*7)+(O14*2))/12</f>
        <v>156.49704082110119</v>
      </c>
      <c r="P71" s="302">
        <f t="shared" ref="P71:Q73" si="14">$O71/M71-1</f>
        <v>5.8037909016487754E-2</v>
      </c>
      <c r="Q71" s="303">
        <f t="shared" si="14"/>
        <v>0</v>
      </c>
    </row>
    <row r="72" spans="2:17">
      <c r="B72" s="295"/>
      <c r="C72" s="296" t="s">
        <v>275</v>
      </c>
      <c r="D72" s="173">
        <f>((D78*5)+(D84*7)+(H13*2))/12</f>
        <v>89.02459344965429</v>
      </c>
      <c r="E72" s="173">
        <f>((E78*5)+(E84*7)+(H13*2))/12</f>
        <v>94.460039669547413</v>
      </c>
      <c r="F72" s="173">
        <f>((F78*5)+(F84*7)+(H14*2))/12</f>
        <v>94.460039669547413</v>
      </c>
      <c r="G72" s="71">
        <f t="shared" si="13"/>
        <v>6.105555790004269E-2</v>
      </c>
      <c r="H72" s="73">
        <f t="shared" si="13"/>
        <v>0</v>
      </c>
      <c r="K72" s="295"/>
      <c r="L72" s="296" t="s">
        <v>275</v>
      </c>
      <c r="M72" s="173">
        <f>((M78*5)+(M84*7)+(O13*2))/12</f>
        <v>91.344659217504102</v>
      </c>
      <c r="N72" s="173">
        <f>((N78*5)+(N84*7)+(O13*2))/12</f>
        <v>96.897676337795005</v>
      </c>
      <c r="O72" s="173">
        <f>((O78*5)+(O84*7)+(O14*2))/12</f>
        <v>96.897676337795005</v>
      </c>
      <c r="P72" s="71">
        <f t="shared" si="14"/>
        <v>6.0791918956842439E-2</v>
      </c>
      <c r="Q72" s="73">
        <f t="shared" si="14"/>
        <v>0</v>
      </c>
    </row>
    <row r="73" spans="2:17" ht="15.75" thickBot="1">
      <c r="B73" s="503" t="s">
        <v>116</v>
      </c>
      <c r="C73" s="504"/>
      <c r="D73" s="175">
        <f>((D79*5)+(D85*7)+(H13*2))/12</f>
        <v>132.52227623071229</v>
      </c>
      <c r="E73" s="175">
        <f>((E79*5)+(E85*7)+(H13*2))/12</f>
        <v>140.28382025736309</v>
      </c>
      <c r="F73" s="175">
        <f>((F79*5)+(F85*7)+(H14*2))/12</f>
        <v>140.28382025736309</v>
      </c>
      <c r="G73" s="74">
        <f t="shared" si="13"/>
        <v>5.8567844195027918E-2</v>
      </c>
      <c r="H73" s="75">
        <f t="shared" si="13"/>
        <v>0</v>
      </c>
      <c r="K73" s="503" t="s">
        <v>116</v>
      </c>
      <c r="L73" s="504"/>
      <c r="M73" s="175">
        <f>((M79*5)+(M85*7)+(O13*2))/12</f>
        <v>136.00084322737331</v>
      </c>
      <c r="N73" s="175">
        <f>((N79*5)+(N85*7)+(O13*2))/12</f>
        <v>143.94702041436491</v>
      </c>
      <c r="O73" s="175">
        <f>((O79*5)+(O85*7)+(O14*2))/12</f>
        <v>143.94702041436491</v>
      </c>
      <c r="P73" s="74">
        <f t="shared" si="14"/>
        <v>5.8427411172052635E-2</v>
      </c>
      <c r="Q73" s="75">
        <f t="shared" si="14"/>
        <v>0</v>
      </c>
    </row>
    <row r="74" spans="2:17" ht="15.75" thickBot="1"/>
    <row r="75" spans="2:17">
      <c r="B75" s="487" t="s">
        <v>316</v>
      </c>
      <c r="C75" s="488"/>
      <c r="D75" s="488"/>
      <c r="E75" s="488"/>
      <c r="F75" s="488"/>
      <c r="G75" s="488"/>
      <c r="H75" s="489"/>
      <c r="K75" s="487" t="s">
        <v>319</v>
      </c>
      <c r="L75" s="488"/>
      <c r="M75" s="488"/>
      <c r="N75" s="488"/>
      <c r="O75" s="488"/>
      <c r="P75" s="488"/>
      <c r="Q75" s="489"/>
    </row>
    <row r="76" spans="2:17" ht="45">
      <c r="B76" s="69"/>
      <c r="C76" s="276"/>
      <c r="D76" s="59" t="str">
        <f>D70</f>
        <v>1/1/2024</v>
      </c>
      <c r="E76" s="192" t="str">
        <f>E70</f>
        <v>3/1/2024</v>
      </c>
      <c r="F76" s="277" t="str">
        <f>F70</f>
        <v>Proposed</v>
      </c>
      <c r="G76" s="60" t="str">
        <f>$G$27</f>
        <v>% Change over 1/1/2024</v>
      </c>
      <c r="H76" s="61" t="s">
        <v>157</v>
      </c>
      <c r="K76" s="69"/>
      <c r="L76" s="276"/>
      <c r="M76" s="59" t="str">
        <f>M70</f>
        <v>1/1/2024</v>
      </c>
      <c r="N76" s="192" t="str">
        <f>N70</f>
        <v>3/1/2024</v>
      </c>
      <c r="O76" s="277" t="str">
        <f>O70</f>
        <v>Proposed</v>
      </c>
      <c r="P76" s="60" t="str">
        <f>$G$27</f>
        <v>% Change over 1/1/2024</v>
      </c>
      <c r="Q76" s="61" t="s">
        <v>157</v>
      </c>
    </row>
    <row r="77" spans="2:17">
      <c r="B77" s="497" t="s">
        <v>273</v>
      </c>
      <c r="C77" s="498"/>
      <c r="D77" s="173">
        <f>IF($D$4="All",'Hypothetical Res Bill Impact'!C87,(VLOOKUP($D$4,'Hypothetical Res Bill Impact'!$B$83:$J$86,2,FALSE)))</f>
        <v>156.84363269479866</v>
      </c>
      <c r="E77" s="173">
        <f>IF($D$4="All",'Hypothetical Res Bill Impact'!E87,(VLOOKUP($D$4,'Hypothetical Res Bill Impact'!$B$83:$J$86,4,FALSE)))</f>
        <v>165.20863876172183</v>
      </c>
      <c r="F77" s="173">
        <f>IF($D$4="All",'Hypothetical Res Bill Impact'!G87,(VLOOKUP($D$4,'Hypothetical Res Bill Impact'!$B$83:$J$86,6,FALSE)))</f>
        <v>165.20863876172183</v>
      </c>
      <c r="G77" s="72">
        <f t="shared" ref="G77:H79" si="15">$F77/D77-1</f>
        <v>5.3333411903310202E-2</v>
      </c>
      <c r="H77" s="73">
        <f t="shared" si="15"/>
        <v>0</v>
      </c>
      <c r="K77" s="497" t="s">
        <v>273</v>
      </c>
      <c r="L77" s="498"/>
      <c r="M77" s="173">
        <f>IF($D$4="All",'Hypothetical Res Bill Impact'!L87,(VLOOKUP($D$4,'Hypothetical Res Bill Impact'!$B$83:$J$86,2,FALSE)))</f>
        <v>166.0332072647891</v>
      </c>
      <c r="N77" s="173">
        <f>IF($D$4="All",'Hypothetical Res Bill Impact'!N87,(VLOOKUP($D$4,'Hypothetical Res Bill Impact'!$B$83:$J$86,4,FALSE)))</f>
        <v>174.88957782962299</v>
      </c>
      <c r="O77" s="173">
        <f>IF($D$4="All",'Hypothetical Res Bill Impact'!P87,(VLOOKUP($D$4,'Hypothetical Res Bill Impact'!$B$83:$J$86,6,FALSE)))</f>
        <v>174.88957782962299</v>
      </c>
      <c r="P77" s="302">
        <f t="shared" ref="P77:Q79" si="16">$O77/M77-1</f>
        <v>5.3340959382358832E-2</v>
      </c>
      <c r="Q77" s="303">
        <f t="shared" si="16"/>
        <v>0</v>
      </c>
    </row>
    <row r="78" spans="2:17">
      <c r="B78" s="295"/>
      <c r="C78" s="296" t="s">
        <v>275</v>
      </c>
      <c r="D78" s="173">
        <f>IF($D$4="All",'Hypothetical Res Bill Impact'!C97,(VLOOKUP($D$4,'Hypothetical Res Bill Impact'!$B$93:$J$96,2,FALSE)))</f>
        <v>101.73126947534834</v>
      </c>
      <c r="E78" s="173">
        <f>IF($D$4="All",'Hypothetical Res Bill Impact'!E97,(VLOOKUP($D$4,'Hypothetical Res Bill Impact'!$B$93:$J$96,4,FALSE)))</f>
        <v>107.14998921227478</v>
      </c>
      <c r="F78" s="173">
        <f>IF($D$4="All",'Hypothetical Res Bill Impact'!G97,(VLOOKUP($D$4,'Hypothetical Res Bill Impact'!$B$93:$J$96,6,FALSE)))</f>
        <v>107.14998921227478</v>
      </c>
      <c r="G78" s="71">
        <f t="shared" si="15"/>
        <v>5.3265036058942616E-2</v>
      </c>
      <c r="H78" s="73">
        <f t="shared" si="15"/>
        <v>0</v>
      </c>
      <c r="K78" s="295"/>
      <c r="L78" s="296" t="s">
        <v>275</v>
      </c>
      <c r="M78" s="173">
        <f>IF($D$4="All",'Hypothetical Res Bill Impact'!L97,(VLOOKUP($D$4,'Hypothetical Res Bill Impact'!$B$93:$J$96,2,FALSE)))</f>
        <v>107.70044624283778</v>
      </c>
      <c r="N78" s="173">
        <f>IF($D$4="All",'Hypothetical Res Bill Impact'!N97,(VLOOKUP($D$4,'Hypothetical Res Bill Impact'!$B$93:$J$96,4,FALSE)))</f>
        <v>113.4216580456843</v>
      </c>
      <c r="O78" s="173">
        <f>IF($D$4="All",'Hypothetical Res Bill Impact'!P97,(VLOOKUP($D$4,'Hypothetical Res Bill Impact'!$B$93:$J$96,6,FALSE)))</f>
        <v>113.4216580456843</v>
      </c>
      <c r="P78" s="71">
        <f t="shared" si="16"/>
        <v>5.3121523655961456E-2</v>
      </c>
      <c r="Q78" s="73">
        <f t="shared" si="16"/>
        <v>0</v>
      </c>
    </row>
    <row r="79" spans="2:17" ht="15.75" thickBot="1">
      <c r="B79" s="503" t="s">
        <v>116</v>
      </c>
      <c r="C79" s="504"/>
      <c r="D79" s="175">
        <f>D77*(1-'Hypothetical SAR and RAR'!$AA$17)+D78*'Hypothetical SAR and RAR'!$AA$17</f>
        <v>145.23845386338178</v>
      </c>
      <c r="E79" s="175">
        <f>E77*(1-'Hypothetical SAR and RAR'!$AA$17)+E78*'Hypothetical SAR and RAR'!$AA$17</f>
        <v>152.98305140940698</v>
      </c>
      <c r="F79" s="175">
        <f>F77*(1-'Hypothetical SAR and RAR'!$AA$17)+F78*'Hypothetical SAR and RAR'!$AA$17</f>
        <v>152.98305140940698</v>
      </c>
      <c r="G79" s="74">
        <f t="shared" si="15"/>
        <v>5.3323326846415942E-2</v>
      </c>
      <c r="H79" s="75">
        <f t="shared" si="15"/>
        <v>0</v>
      </c>
      <c r="K79" s="503" t="s">
        <v>116</v>
      </c>
      <c r="L79" s="504"/>
      <c r="M79" s="175">
        <f>M77*(1-'Hypothetical SAR and RAR'!$AA$17)+M78*'Hypothetical SAR and RAR'!$AA$17</f>
        <v>153.74989942160204</v>
      </c>
      <c r="N79" s="175">
        <f>N77*(1-'Hypothetical SAR and RAR'!$AA$17)+N78*'Hypothetical SAR and RAR'!$AA$17</f>
        <v>161.94609002004853</v>
      </c>
      <c r="O79" s="175">
        <f>O77*(1-'Hypothetical SAR and RAR'!$AA$17)+O78*'Hypothetical SAR and RAR'!$AA$17</f>
        <v>161.94609002004853</v>
      </c>
      <c r="P79" s="74">
        <f t="shared" si="16"/>
        <v>5.3308591610661704E-2</v>
      </c>
      <c r="Q79" s="75">
        <f t="shared" si="16"/>
        <v>0</v>
      </c>
    </row>
    <row r="80" spans="2:17" ht="15.75" thickBot="1"/>
    <row r="81" spans="2:17">
      <c r="B81" s="487" t="s">
        <v>317</v>
      </c>
      <c r="C81" s="488"/>
      <c r="D81" s="488"/>
      <c r="E81" s="488"/>
      <c r="F81" s="488"/>
      <c r="G81" s="488"/>
      <c r="H81" s="489"/>
      <c r="K81" s="487" t="s">
        <v>318</v>
      </c>
      <c r="L81" s="488"/>
      <c r="M81" s="488"/>
      <c r="N81" s="488"/>
      <c r="O81" s="488"/>
      <c r="P81" s="488"/>
      <c r="Q81" s="489"/>
    </row>
    <row r="82" spans="2:17" ht="45">
      <c r="B82" s="69"/>
      <c r="C82" s="276"/>
      <c r="D82" s="59" t="str">
        <f>D76</f>
        <v>1/1/2024</v>
      </c>
      <c r="E82" s="192" t="str">
        <f>E76</f>
        <v>3/1/2024</v>
      </c>
      <c r="F82" s="277" t="str">
        <f>F76</f>
        <v>Proposed</v>
      </c>
      <c r="G82" s="60" t="str">
        <f>$G$27</f>
        <v>% Change over 1/1/2024</v>
      </c>
      <c r="H82" s="61" t="s">
        <v>157</v>
      </c>
      <c r="K82" s="69"/>
      <c r="L82" s="276"/>
      <c r="M82" s="59" t="str">
        <f>M76</f>
        <v>1/1/2024</v>
      </c>
      <c r="N82" s="192" t="str">
        <f>N76</f>
        <v>3/1/2024</v>
      </c>
      <c r="O82" s="277" t="str">
        <f>O76</f>
        <v>Proposed</v>
      </c>
      <c r="P82" s="60" t="str">
        <f>$G$27</f>
        <v>% Change over 1/1/2024</v>
      </c>
      <c r="Q82" s="61" t="s">
        <v>157</v>
      </c>
    </row>
    <row r="83" spans="2:17">
      <c r="B83" s="497" t="s">
        <v>273</v>
      </c>
      <c r="C83" s="498"/>
      <c r="D83" s="173">
        <f>IF($D$4="All",'Hypothetical Res Bill Impact'!D87,(VLOOKUP($D$4,'Hypothetical Res Bill Impact'!$B$83:$J$86,3,FALSE)))</f>
        <v>157.3888324361055</v>
      </c>
      <c r="E83" s="173">
        <f>IF($D$4="All",'Hypothetical Res Bill Impact'!F87,(VLOOKUP($D$4,'Hypothetical Res Bill Impact'!$B$83:$J$86,5,FALSE)))</f>
        <v>165.78299021131591</v>
      </c>
      <c r="F83" s="173">
        <f>IF($D$4="All",'Hypothetical Res Bill Impact'!H87,(VLOOKUP($D$4,'Hypothetical Res Bill Impact'!$B$83:$J$86,7,FALSE)))</f>
        <v>165.78299021131591</v>
      </c>
      <c r="G83" s="72">
        <f t="shared" ref="G83:H85" si="17">$F83/D83-1</f>
        <v>5.3333884274274324E-2</v>
      </c>
      <c r="H83" s="73">
        <f t="shared" si="17"/>
        <v>0</v>
      </c>
      <c r="K83" s="497" t="s">
        <v>273</v>
      </c>
      <c r="L83" s="498"/>
      <c r="M83" s="173">
        <f>IF($D$4="All",'Hypothetical Res Bill Impact'!M87,(VLOOKUP($D$4,'Hypothetical Res Bill Impact'!$B$83:$J$86,3,FALSE)))</f>
        <v>157.31785781884145</v>
      </c>
      <c r="N83" s="173">
        <f>IF($D$4="All",'Hypothetical Res Bill Impact'!O87,(VLOOKUP($D$4,'Hypothetical Res Bill Impact'!$B$83:$J$86,5,FALSE)))</f>
        <v>165.70822059713325</v>
      </c>
      <c r="O83" s="173">
        <f>IF($D$4="All",'Hypothetical Res Bill Impact'!Q87,(VLOOKUP($D$4,'Hypothetical Res Bill Impact'!$B$83:$J$86,7,FALSE)))</f>
        <v>165.70822059713325</v>
      </c>
      <c r="P83" s="302">
        <f t="shared" ref="P83:Q85" si="18">$O83/M83-1</f>
        <v>5.3333822965945021E-2</v>
      </c>
      <c r="Q83" s="303">
        <f t="shared" si="18"/>
        <v>0</v>
      </c>
    </row>
    <row r="84" spans="2:17">
      <c r="B84" s="295"/>
      <c r="C84" s="296" t="s">
        <v>275</v>
      </c>
      <c r="D84" s="173">
        <f>IF($D$4="All",'Hypothetical Res Bill Impact'!D97,(VLOOKUP($D$4,'Hypothetical Res Bill Impact'!$B$93:$J$96,3,FALSE)))</f>
        <v>102.29710249913477</v>
      </c>
      <c r="E84" s="173">
        <f>IF($D$4="All",'Hypothetical Res Bill Impact'!F97,(VLOOKUP($D$4,'Hypothetical Res Bill Impact'!$B$93:$J$96,5,FALSE)))</f>
        <v>107.74449620686119</v>
      </c>
      <c r="F84" s="173">
        <f>IF($D$4="All",'Hypothetical Res Bill Impact'!H97,(VLOOKUP($D$4,'Hypothetical Res Bill Impact'!$B$93:$J$96,7,FALSE)))</f>
        <v>107.74449620686119</v>
      </c>
      <c r="G84" s="71">
        <f t="shared" si="17"/>
        <v>5.3250713604253708E-2</v>
      </c>
      <c r="H84" s="73">
        <f t="shared" si="17"/>
        <v>0</v>
      </c>
      <c r="K84" s="295"/>
      <c r="L84" s="296" t="s">
        <v>275</v>
      </c>
      <c r="M84" s="173">
        <f>IF($D$4="All",'Hypothetical Res Bill Impact'!M97,(VLOOKUP($D$4,'Hypothetical Res Bill Impact'!$B$93:$J$96,3,FALSE)))</f>
        <v>102.01066041009909</v>
      </c>
      <c r="N84" s="173">
        <f>IF($D$4="All",'Hypothetical Res Bill Impact'!O97,(VLOOKUP($D$4,'Hypothetical Res Bill Impact'!$B$93:$J$96,5,FALSE)))</f>
        <v>107.44353847142168</v>
      </c>
      <c r="O84" s="173">
        <f>IF($D$4="All",'Hypothetical Res Bill Impact'!Q97,(VLOOKUP($D$4,'Hypothetical Res Bill Impact'!$B$93:$J$96,7,FALSE)))</f>
        <v>107.44353847142168</v>
      </c>
      <c r="P84" s="71">
        <f t="shared" si="18"/>
        <v>5.3257944213688457E-2</v>
      </c>
      <c r="Q84" s="73">
        <f t="shared" si="18"/>
        <v>0</v>
      </c>
    </row>
    <row r="85" spans="2:17" ht="15.75" thickBot="1">
      <c r="B85" s="503" t="s">
        <v>116</v>
      </c>
      <c r="C85" s="504"/>
      <c r="D85" s="175">
        <f>D83*(1-'Hypothetical SAR and RAR'!$AA$17)+D84*'Hypothetical SAR and RAR'!$AA$17</f>
        <v>145.78799841806745</v>
      </c>
      <c r="E85" s="175">
        <f>E83*(1-'Hypothetical SAR and RAR'!$AA$17)+E84*'Hypothetical SAR and RAR'!$AA$17</f>
        <v>153.56164707373648</v>
      </c>
      <c r="F85" s="175">
        <f>F83*(1-'Hypothetical SAR and RAR'!$AA$17)+F84*'Hypothetical SAR and RAR'!$AA$17</f>
        <v>153.56164707373648</v>
      </c>
      <c r="G85" s="74">
        <f t="shared" si="17"/>
        <v>5.3321595330344085E-2</v>
      </c>
      <c r="H85" s="75">
        <f t="shared" si="17"/>
        <v>0</v>
      </c>
      <c r="K85" s="503" t="s">
        <v>116</v>
      </c>
      <c r="L85" s="504"/>
      <c r="M85" s="175">
        <f>M83*(1-'Hypothetical SAR and RAR'!$AA$17)+M84*'Hypothetical SAR and RAR'!$AA$17</f>
        <v>145.67165215647185</v>
      </c>
      <c r="N85" s="175">
        <f>N83*(1-'Hypothetical SAR and RAR'!$AA$17)+N84*'Hypothetical SAR and RAR'!$AA$17</f>
        <v>153.43924833528138</v>
      </c>
      <c r="O85" s="175">
        <f>O83*(1-'Hypothetical SAR and RAR'!$AA$17)+O84*'Hypothetical SAR and RAR'!$AA$17</f>
        <v>153.43924833528138</v>
      </c>
      <c r="P85" s="74">
        <f t="shared" si="18"/>
        <v>5.3322633908662098E-2</v>
      </c>
      <c r="Q85" s="75">
        <f t="shared" si="18"/>
        <v>0</v>
      </c>
    </row>
    <row r="87" spans="2:17" ht="15.75" thickBot="1"/>
    <row r="88" spans="2:17">
      <c r="B88" s="487" t="s">
        <v>479</v>
      </c>
      <c r="C88" s="488"/>
      <c r="D88" s="488"/>
      <c r="E88" s="488"/>
      <c r="F88" s="488"/>
      <c r="G88" s="488"/>
      <c r="H88" s="489"/>
    </row>
    <row r="89" spans="2:17" ht="30">
      <c r="B89" s="69"/>
      <c r="C89" s="70"/>
      <c r="D89" s="59" t="str">
        <f>$D$27</f>
        <v>1/1/2024</v>
      </c>
      <c r="E89" s="59" t="str">
        <f>$E$27</f>
        <v>3/1/2024</v>
      </c>
      <c r="F89" s="59" t="str">
        <f>$F$27</f>
        <v>Proposed</v>
      </c>
      <c r="G89" s="277" t="str">
        <f>$G$27</f>
        <v>% Change over 1/1/2024</v>
      </c>
      <c r="H89" s="301" t="str">
        <f>$H$27</f>
        <v>% Change over 3/1/2024</v>
      </c>
    </row>
    <row r="90" spans="2:17">
      <c r="B90" s="445"/>
      <c r="C90" s="42" t="s">
        <v>466</v>
      </c>
      <c r="D90" s="173">
        <f t="shared" ref="D90:F92" si="19">((D96*5)+(D102*7))/12</f>
        <v>376.2839692801258</v>
      </c>
      <c r="E90" s="173">
        <f t="shared" si="19"/>
        <v>400.85428600838418</v>
      </c>
      <c r="F90" s="174">
        <f t="shared" si="19"/>
        <v>400.85428600838418</v>
      </c>
      <c r="G90" s="286">
        <f t="shared" ref="G90:H92" si="20">$F90/D90-1</f>
        <v>6.5297272098155501E-2</v>
      </c>
      <c r="H90" s="446">
        <f t="shared" si="20"/>
        <v>0</v>
      </c>
    </row>
    <row r="91" spans="2:17">
      <c r="B91" s="438"/>
      <c r="C91" s="42" t="s">
        <v>467</v>
      </c>
      <c r="D91" s="173">
        <f t="shared" si="19"/>
        <v>380.57201085417915</v>
      </c>
      <c r="E91" s="173">
        <f t="shared" si="19"/>
        <v>404.84462831182492</v>
      </c>
      <c r="F91" s="174">
        <f t="shared" si="19"/>
        <v>404.84462831182492</v>
      </c>
      <c r="G91" s="286">
        <f t="shared" si="20"/>
        <v>6.3779302642795077E-2</v>
      </c>
      <c r="H91" s="447">
        <f t="shared" si="20"/>
        <v>0</v>
      </c>
    </row>
    <row r="92" spans="2:17" ht="15.75" thickBot="1">
      <c r="B92" s="439"/>
      <c r="C92" s="383" t="s">
        <v>468</v>
      </c>
      <c r="D92" s="175">
        <f t="shared" si="19"/>
        <v>920.02038387098526</v>
      </c>
      <c r="E92" s="175">
        <f t="shared" si="19"/>
        <v>979.71872830496011</v>
      </c>
      <c r="F92" s="176">
        <f t="shared" si="19"/>
        <v>979.71872830496011</v>
      </c>
      <c r="G92" s="287">
        <f t="shared" si="20"/>
        <v>6.4888067134767358E-2</v>
      </c>
      <c r="H92" s="448">
        <f t="shared" si="20"/>
        <v>0</v>
      </c>
    </row>
    <row r="93" spans="2:17" ht="15.75" thickBot="1"/>
    <row r="94" spans="2:17">
      <c r="B94" s="487" t="s">
        <v>480</v>
      </c>
      <c r="C94" s="488"/>
      <c r="D94" s="488"/>
      <c r="E94" s="488"/>
      <c r="F94" s="488"/>
      <c r="G94" s="488"/>
      <c r="H94" s="489"/>
    </row>
    <row r="95" spans="2:17" ht="30">
      <c r="B95" s="69"/>
      <c r="C95" s="70"/>
      <c r="D95" s="59" t="str">
        <f>D89</f>
        <v>1/1/2024</v>
      </c>
      <c r="E95" s="59" t="str">
        <f>E82</f>
        <v>3/1/2024</v>
      </c>
      <c r="F95" s="59" t="str">
        <f>F82</f>
        <v>Proposed</v>
      </c>
      <c r="G95" s="277" t="str">
        <f>G82</f>
        <v>% Change over 1/1/2024</v>
      </c>
      <c r="H95" s="301" t="str">
        <f>$H$27</f>
        <v>% Change over 3/1/2024</v>
      </c>
    </row>
    <row r="96" spans="2:17">
      <c r="B96" s="445"/>
      <c r="C96" s="42" t="s">
        <v>466</v>
      </c>
      <c r="D96" s="173">
        <f>'Hypoth. Bill Impact (TOU-A)'!C36</f>
        <v>431.77667364504998</v>
      </c>
      <c r="E96" s="173">
        <f>'Hypoth. Bill Impact (TOU-A)'!E36</f>
        <v>456.73877952680999</v>
      </c>
      <c r="F96" s="174">
        <f>'Hypoth. Bill Impact (TOU-A)'!G36</f>
        <v>456.73877952680999</v>
      </c>
      <c r="G96" s="286">
        <f t="shared" ref="G96:H98" si="21">$F96/D96-1</f>
        <v>5.7812539225499116E-2</v>
      </c>
      <c r="H96" s="447">
        <f t="shared" si="21"/>
        <v>0</v>
      </c>
    </row>
    <row r="97" spans="2:8">
      <c r="B97" s="438"/>
      <c r="C97" s="42" t="s">
        <v>467</v>
      </c>
      <c r="D97" s="173">
        <f>'Hypoth. Bill Impact (TOU-A)'!C37</f>
        <v>462.54294270766002</v>
      </c>
      <c r="E97" s="173">
        <f>'Hypoth. Bill Impact (TOU-A)'!E37</f>
        <v>488.93216121242</v>
      </c>
      <c r="F97" s="174">
        <f>'Hypoth. Bill Impact (TOU-A)'!G37</f>
        <v>488.93216121242</v>
      </c>
      <c r="G97" s="286">
        <f t="shared" si="21"/>
        <v>5.7052472469434568E-2</v>
      </c>
      <c r="H97" s="447">
        <f t="shared" si="21"/>
        <v>0</v>
      </c>
    </row>
    <row r="98" spans="2:8" ht="15.75" thickBot="1">
      <c r="B98" s="439"/>
      <c r="C98" s="383" t="s">
        <v>468</v>
      </c>
      <c r="D98" s="175">
        <f>'Hypoth. Bill Impact (TOU-A)'!C38</f>
        <v>1149.4575421274101</v>
      </c>
      <c r="E98" s="175">
        <f>'Hypoth. Bill Impact (TOU-A)'!E38</f>
        <v>1216.08583026308</v>
      </c>
      <c r="F98" s="175">
        <f>'Hypoth. Bill Impact (TOU-A)'!G38</f>
        <v>1216.08583026308</v>
      </c>
      <c r="G98" s="279">
        <f t="shared" si="21"/>
        <v>5.7964984084888149E-2</v>
      </c>
      <c r="H98" s="448">
        <f t="shared" si="21"/>
        <v>0</v>
      </c>
    </row>
    <row r="99" spans="2:8" ht="15.75" thickBot="1"/>
    <row r="100" spans="2:8">
      <c r="B100" s="487" t="s">
        <v>481</v>
      </c>
      <c r="C100" s="488"/>
      <c r="D100" s="488"/>
      <c r="E100" s="488"/>
      <c r="F100" s="488"/>
      <c r="G100" s="488"/>
      <c r="H100" s="489"/>
    </row>
    <row r="101" spans="2:8" ht="30">
      <c r="B101" s="69"/>
      <c r="C101" s="70"/>
      <c r="D101" s="59" t="str">
        <f>$D$27</f>
        <v>1/1/2024</v>
      </c>
      <c r="E101" s="59" t="str">
        <f>$E$27</f>
        <v>3/1/2024</v>
      </c>
      <c r="F101" s="59" t="str">
        <f>F95</f>
        <v>Proposed</v>
      </c>
      <c r="G101" s="277" t="str">
        <f>G82</f>
        <v>% Change over 1/1/2024</v>
      </c>
      <c r="H101" s="301" t="str">
        <f>$H$27</f>
        <v>% Change over 3/1/2024</v>
      </c>
    </row>
    <row r="102" spans="2:8">
      <c r="B102" s="445"/>
      <c r="C102" s="42" t="s">
        <v>466</v>
      </c>
      <c r="D102" s="173">
        <f>'Hypoth. Bill Impact (TOU-A)'!D36</f>
        <v>336.64632330518003</v>
      </c>
      <c r="E102" s="173">
        <f>'Hypoth. Bill Impact (TOU-A)'!F36</f>
        <v>360.93679063808003</v>
      </c>
      <c r="F102" s="174">
        <f>'Hypoth. Bill Impact (TOU-A)'!H36</f>
        <v>360.93679063808003</v>
      </c>
      <c r="G102" s="286">
        <f t="shared" ref="G102:H104" si="22">$F102/D102-1</f>
        <v>7.21542629499623E-2</v>
      </c>
      <c r="H102" s="447">
        <f t="shared" si="22"/>
        <v>0</v>
      </c>
    </row>
    <row r="103" spans="2:8">
      <c r="B103" s="438"/>
      <c r="C103" s="42" t="s">
        <v>467</v>
      </c>
      <c r="D103" s="173">
        <f>'Hypoth. Bill Impact (TOU-A)'!D37</f>
        <v>322.02134524454999</v>
      </c>
      <c r="E103" s="173">
        <f>'Hypoth. Bill Impact (TOU-A)'!F37</f>
        <v>344.78210481139996</v>
      </c>
      <c r="F103" s="174">
        <f>'Hypoth. Bill Impact (TOU-A)'!H37</f>
        <v>344.78210481139996</v>
      </c>
      <c r="G103" s="286">
        <f t="shared" si="22"/>
        <v>7.0680903309576992E-2</v>
      </c>
      <c r="H103" s="447">
        <f t="shared" si="22"/>
        <v>0</v>
      </c>
    </row>
    <row r="104" spans="2:8" ht="15.75" thickBot="1">
      <c r="B104" s="439"/>
      <c r="C104" s="383" t="s">
        <v>468</v>
      </c>
      <c r="D104" s="175">
        <f>'Hypoth. Bill Impact (TOU-A)'!D38</f>
        <v>756.13669940211014</v>
      </c>
      <c r="E104" s="175">
        <f>'Hypoth. Bill Impact (TOU-A)'!F38</f>
        <v>810.88508404916013</v>
      </c>
      <c r="F104" s="175">
        <f>'Hypoth. Bill Impact (TOU-A)'!H38</f>
        <v>810.88508404916013</v>
      </c>
      <c r="G104" s="279">
        <f t="shared" si="22"/>
        <v>7.2405405914486742E-2</v>
      </c>
      <c r="H104" s="448">
        <f t="shared" si="22"/>
        <v>0</v>
      </c>
    </row>
  </sheetData>
  <mergeCells count="77">
    <mergeCell ref="K85:L85"/>
    <mergeCell ref="K83:L83"/>
    <mergeCell ref="K33:Q33"/>
    <mergeCell ref="K37:L37"/>
    <mergeCell ref="K39:Q39"/>
    <mergeCell ref="K43:L43"/>
    <mergeCell ref="K45:Q45"/>
    <mergeCell ref="K49:L49"/>
    <mergeCell ref="K51:Q51"/>
    <mergeCell ref="K55:L55"/>
    <mergeCell ref="K57:Q57"/>
    <mergeCell ref="K61:L61"/>
    <mergeCell ref="K63:Q63"/>
    <mergeCell ref="K67:L67"/>
    <mergeCell ref="K79:L79"/>
    <mergeCell ref="K66:L66"/>
    <mergeCell ref="K81:Q81"/>
    <mergeCell ref="K73:L73"/>
    <mergeCell ref="K71:L71"/>
    <mergeCell ref="K77:L77"/>
    <mergeCell ref="K75:Q75"/>
    <mergeCell ref="B55:C55"/>
    <mergeCell ref="B65:C65"/>
    <mergeCell ref="K59:L59"/>
    <mergeCell ref="K60:L60"/>
    <mergeCell ref="K69:Q69"/>
    <mergeCell ref="K65:L65"/>
    <mergeCell ref="B66:C66"/>
    <mergeCell ref="B67:C67"/>
    <mergeCell ref="B57:H57"/>
    <mergeCell ref="B59:C59"/>
    <mergeCell ref="B60:C60"/>
    <mergeCell ref="B63:H63"/>
    <mergeCell ref="K47:L47"/>
    <mergeCell ref="K48:L48"/>
    <mergeCell ref="B47:C47"/>
    <mergeCell ref="K53:L53"/>
    <mergeCell ref="K54:L54"/>
    <mergeCell ref="B51:H51"/>
    <mergeCell ref="B53:C53"/>
    <mergeCell ref="B54:C54"/>
    <mergeCell ref="B37:C37"/>
    <mergeCell ref="B26:H26"/>
    <mergeCell ref="K26:Q26"/>
    <mergeCell ref="B27:C27"/>
    <mergeCell ref="K27:L27"/>
    <mergeCell ref="B28:C28"/>
    <mergeCell ref="K28:L28"/>
    <mergeCell ref="B30:C30"/>
    <mergeCell ref="K30:L30"/>
    <mergeCell ref="B33:H33"/>
    <mergeCell ref="B35:C35"/>
    <mergeCell ref="B36:C36"/>
    <mergeCell ref="K35:L35"/>
    <mergeCell ref="K36:L36"/>
    <mergeCell ref="K41:L41"/>
    <mergeCell ref="B39:H39"/>
    <mergeCell ref="B41:C41"/>
    <mergeCell ref="B42:C42"/>
    <mergeCell ref="B43:C43"/>
    <mergeCell ref="K42:L42"/>
    <mergeCell ref="B45:H45"/>
    <mergeCell ref="B88:H88"/>
    <mergeCell ref="B94:H94"/>
    <mergeCell ref="B100:H100"/>
    <mergeCell ref="B48:C48"/>
    <mergeCell ref="B49:C49"/>
    <mergeCell ref="B61:C61"/>
    <mergeCell ref="B83:C83"/>
    <mergeCell ref="B85:C85"/>
    <mergeCell ref="B69:H69"/>
    <mergeCell ref="B71:C71"/>
    <mergeCell ref="B73:C73"/>
    <mergeCell ref="B75:H75"/>
    <mergeCell ref="B77:C77"/>
    <mergeCell ref="B79:C79"/>
    <mergeCell ref="B81:H81"/>
  </mergeCells>
  <dataValidations count="1">
    <dataValidation type="list" allowBlank="1" showInputMessage="1" showErrorMessage="1" sqref="D4" xr:uid="{7E320ACF-B98D-4476-95E8-0C8122144F35}">
      <formula1>"Coastal, Mountain, Desert, Inland, ALL"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08F375954AB64099D51457439E4AE5" ma:contentTypeVersion="2" ma:contentTypeDescription="Create a new document." ma:contentTypeScope="" ma:versionID="66577174593b819ef36cb5c14413b33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45b1eb723395c1f2f5ab635b757ccd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B4B413-4F52-4644-A212-849DA6920F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C9681C-E5B5-4BBE-99AC-F9DC208A5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003733F-400F-4A33-BEAC-A0F541BFE9C3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Summary</vt:lpstr>
      <vt:lpstr>Selected Data</vt:lpstr>
      <vt:lpstr>Authorized Rev Req</vt:lpstr>
      <vt:lpstr>Incremental Rev Req</vt:lpstr>
      <vt:lpstr>SAR and RAR</vt:lpstr>
      <vt:lpstr>Res Bill Impact</vt:lpstr>
      <vt:lpstr>SAR and RAR (TOU-A)</vt:lpstr>
      <vt:lpstr>Bill Impact (TOU-A)</vt:lpstr>
      <vt:lpstr>Hypothetical Summary</vt:lpstr>
      <vt:lpstr>Hypothetical SAR and RAR</vt:lpstr>
      <vt:lpstr>Hypothetical Res Bill Impact</vt:lpstr>
      <vt:lpstr>Hypoth. SAR and RAR (TOU-A)</vt:lpstr>
      <vt:lpstr>Hypoth. Bill Impact (TOU-A)</vt:lpstr>
      <vt:lpstr>% of CARE Sales</vt:lpstr>
      <vt:lpstr>Sales Allocations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Sieren-Smith, Bridget</dc:creator>
  <cp:lastModifiedBy>Sieren-Smith, Bridget</cp:lastModifiedBy>
  <cp:lastPrinted>2019-09-03T19:09:02Z</cp:lastPrinted>
  <dcterms:created xsi:type="dcterms:W3CDTF">2019-06-24T18:17:17Z</dcterms:created>
  <dcterms:modified xsi:type="dcterms:W3CDTF">2024-10-11T20:36:00Z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0x010100C208F375954AB64099D51457439E4AE5</vt:lpwstr>
  </property>
</Properties>
</file>