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pge-my.sharepoint.com/personal/yxt5_pge_com/Documents/Case Management/Affordability OIR/Discovery/Rate Trackers/Q3 2025/"/>
    </mc:Choice>
  </mc:AlternateContent>
  <xr:revisionPtr revIDLastSave="2" documentId="13_ncr:1_{BA652C22-7F86-4B59-9D23-403BAE368195}" xr6:coauthVersionLast="47" xr6:coauthVersionMax="47" xr10:uidLastSave="{96682B7A-B063-48F7-AC8C-637620A0F2A2}"/>
  <workbookProtection workbookAlgorithmName="SHA-512" workbookHashValue="QJHJ94Dl1tXxKd4chvMn2a0xXfbk3ubf1wKC5I2RqyN+x18eOwlc2YMNufRx5tWtuOc6ow/lqcMR6xepW1c2ug==" workbookSaltValue="Hpyv4Wtwl9xxHgtG+UiEWQ==" workbookSpinCount="100000" lockStructure="1"/>
  <bookViews>
    <workbookView xWindow="-110" yWindow="-110" windowWidth="19420" windowHeight="10300" xr2:uid="{9E379C46-9730-4A60-9644-7F53DD4D65D3}"/>
  </bookViews>
  <sheets>
    <sheet name="Tab Descriptions" sheetId="35" r:id="rId1"/>
    <sheet name="Selected Data" sheetId="24" r:id="rId2"/>
    <sheet name="Notes" sheetId="33" r:id="rId3"/>
    <sheet name="Instructions" sheetId="34" r:id="rId4"/>
    <sheet name="Summary" sheetId="20" r:id="rId5"/>
    <sheet name="Authorized Rev Req" sheetId="2" r:id="rId6"/>
    <sheet name="Incremental Rev Req" sheetId="5" r:id="rId7"/>
    <sheet name="SAR and RAR" sheetId="19" r:id="rId8"/>
    <sheet name="Res Bill Impact" sheetId="18" r:id="rId9"/>
    <sheet name="SAR and RAR (B-1)" sheetId="26" r:id="rId10"/>
    <sheet name="Bill Impact (B-1)" sheetId="27" r:id="rId11"/>
    <sheet name="Hypothetical Summary" sheetId="17" r:id="rId12"/>
    <sheet name="Hypothetical SAR and RAR" sheetId="23" state="veryHidden" r:id="rId13"/>
    <sheet name="Hypothetical Res Bill Impact" sheetId="22" state="veryHidden" r:id="rId14"/>
    <sheet name="Hypothetical SAR and RAR (B-1)" sheetId="30" state="veryHidden" r:id="rId15"/>
    <sheet name="Hypo. Bill Impact (B-1)" sheetId="29" state="veryHidden" r:id="rId16"/>
  </sheets>
  <definedNames>
    <definedName name="___huh2" localSheetId="10" hidden="1">{#N/A,#N/A,FALSE,"Dist Rev at PR ";#N/A,#N/A,FALSE,"Spec";#N/A,#N/A,FALSE,"Res";#N/A,#N/A,FALSE,"Small L&amp;P";#N/A,#N/A,FALSE,"Medium L&amp;P";#N/A,#N/A,FALSE,"E-19";#N/A,#N/A,FALSE,"E-20";#N/A,#N/A,FALSE,"Strtlts &amp; Standby";#N/A,#N/A,FALSE,"A-RTP";#N/A,#N/A,FALSE,"2003mixeduse"}</definedName>
    <definedName name="___huh2" localSheetId="15" hidden="1">{#N/A,#N/A,FALSE,"Dist Rev at PR ";#N/A,#N/A,FALSE,"Spec";#N/A,#N/A,FALSE,"Res";#N/A,#N/A,FALSE,"Small L&amp;P";#N/A,#N/A,FALSE,"Medium L&amp;P";#N/A,#N/A,FALSE,"E-19";#N/A,#N/A,FALSE,"E-20";#N/A,#N/A,FALSE,"Strtlts &amp; Standby";#N/A,#N/A,FALSE,"A-RTP";#N/A,#N/A,FALSE,"2003mixeduse"}</definedName>
    <definedName name="___huh2" localSheetId="9" hidden="1">{#N/A,#N/A,FALSE,"Dist Rev at PR ";#N/A,#N/A,FALSE,"Spec";#N/A,#N/A,FALSE,"Res";#N/A,#N/A,FALSE,"Small L&amp;P";#N/A,#N/A,FALSE,"Medium L&amp;P";#N/A,#N/A,FALSE,"E-19";#N/A,#N/A,FALSE,"E-20";#N/A,#N/A,FALSE,"Strtlts &amp; Standby";#N/A,#N/A,FALSE,"A-RTP";#N/A,#N/A,FALSE,"2003mixeduse"}</definedName>
    <definedName name="___huh2" localSheetId="1" hidden="1">{#N/A,#N/A,FALSE,"Dist Rev at PR ";#N/A,#N/A,FALSE,"Spec";#N/A,#N/A,FALSE,"Res";#N/A,#N/A,FALSE,"Small L&amp;P";#N/A,#N/A,FALSE,"Medium L&amp;P";#N/A,#N/A,FALSE,"E-19";#N/A,#N/A,FALSE,"E-20";#N/A,#N/A,FALSE,"Strtlts &amp; Standby";#N/A,#N/A,FALSE,"A-RTP";#N/A,#N/A,FALSE,"2003mixeduse"}</definedName>
    <definedName name="___huh2" hidden="1">{#N/A,#N/A,FALSE,"Dist Rev at PR ";#N/A,#N/A,FALSE,"Spec";#N/A,#N/A,FALSE,"Res";#N/A,#N/A,FALSE,"Small L&amp;P";#N/A,#N/A,FALSE,"Medium L&amp;P";#N/A,#N/A,FALSE,"E-19";#N/A,#N/A,FALSE,"E-20";#N/A,#N/A,FALSE,"Strtlts &amp; Standby";#N/A,#N/A,FALSE,"A-RTP";#N/A,#N/A,FALSE,"2003mixeduse"}</definedName>
    <definedName name="_2017_Labor_Escalation_Rate">#REF!</definedName>
    <definedName name="_4ColName">SUBSTITUTE(SUBSTITUTE(SUBSTITUTE(SUBSTITUTE(SUBSTITUTE(TRIM(T(#REF!)&amp;"."&amp;T(#REF!)&amp;"."&amp;T(#REF!)&amp;"."&amp;T(#REF!)&amp;"."),"+","and"),"%","pct"),"-",""),"..","."),"&amp;","and")</definedName>
    <definedName name="_xlnm._FilterDatabase" localSheetId="5" hidden="1">'Authorized Rev Req'!$A$7:$AB$81</definedName>
    <definedName name="_xlnm._FilterDatabase" localSheetId="6" hidden="1">'Incremental Rev Req'!$B$8:$K$99</definedName>
    <definedName name="_FPV1">#REF!</definedName>
    <definedName name="_FPV3">#REF!</definedName>
    <definedName name="_huh2" localSheetId="10" hidden="1">{#N/A,#N/A,FALSE,"Dist Rev at PR ";#N/A,#N/A,FALSE,"Spec";#N/A,#N/A,FALSE,"Res";#N/A,#N/A,FALSE,"Small L&amp;P";#N/A,#N/A,FALSE,"Medium L&amp;P";#N/A,#N/A,FALSE,"E-19";#N/A,#N/A,FALSE,"E-20";#N/A,#N/A,FALSE,"Strtlts &amp; Standby";#N/A,#N/A,FALSE,"A-RTP";#N/A,#N/A,FALSE,"2003mixeduse"}</definedName>
    <definedName name="_huh2" localSheetId="15" hidden="1">{#N/A,#N/A,FALSE,"Dist Rev at PR ";#N/A,#N/A,FALSE,"Spec";#N/A,#N/A,FALSE,"Res";#N/A,#N/A,FALSE,"Small L&amp;P";#N/A,#N/A,FALSE,"Medium L&amp;P";#N/A,#N/A,FALSE,"E-19";#N/A,#N/A,FALSE,"E-20";#N/A,#N/A,FALSE,"Strtlts &amp; Standby";#N/A,#N/A,FALSE,"A-RTP";#N/A,#N/A,FALSE,"2003mixeduse"}</definedName>
    <definedName name="_huh2" localSheetId="9" hidden="1">{#N/A,#N/A,FALSE,"Dist Rev at PR ";#N/A,#N/A,FALSE,"Spec";#N/A,#N/A,FALSE,"Res";#N/A,#N/A,FALSE,"Small L&amp;P";#N/A,#N/A,FALSE,"Medium L&amp;P";#N/A,#N/A,FALSE,"E-19";#N/A,#N/A,FALSE,"E-20";#N/A,#N/A,FALSE,"Strtlts &amp; Standby";#N/A,#N/A,FALSE,"A-RTP";#N/A,#N/A,FALSE,"2003mixeduse"}</definedName>
    <definedName name="_huh2" localSheetId="1" hidden="1">{#N/A,#N/A,FALSE,"Dist Rev at PR ";#N/A,#N/A,FALSE,"Spec";#N/A,#N/A,FALSE,"Res";#N/A,#N/A,FALSE,"Small L&amp;P";#N/A,#N/A,FALSE,"Medium L&amp;P";#N/A,#N/A,FALSE,"E-19";#N/A,#N/A,FALSE,"E-20";#N/A,#N/A,FALSE,"Strtlts &amp; Standby";#N/A,#N/A,FALSE,"A-RTP";#N/A,#N/A,FALSE,"2003mixeduse"}</definedName>
    <definedName name="_huh2" hidden="1">{#N/A,#N/A,FALSE,"Dist Rev at PR ";#N/A,#N/A,FALSE,"Spec";#N/A,#N/A,FALSE,"Res";#N/A,#N/A,FALSE,"Small L&amp;P";#N/A,#N/A,FALSE,"Medium L&amp;P";#N/A,#N/A,FALSE,"E-19";#N/A,#N/A,FALSE,"E-20";#N/A,#N/A,FALSE,"Strtlts &amp; Standby";#N/A,#N/A,FALSE,"A-RTP";#N/A,#N/A,FALSE,"2003mixeduse"}</definedName>
    <definedName name="_SPV1">#REF!</definedName>
    <definedName name="_SPV3">#REF!</definedName>
    <definedName name="Actuals">#REF!</definedName>
    <definedName name="Aflag" localSheetId="10">#REF!</definedName>
    <definedName name="Aflag" localSheetId="15">#REF!</definedName>
    <definedName name="Aflag" localSheetId="13">#REF!</definedName>
    <definedName name="Aflag" localSheetId="12">#REF!</definedName>
    <definedName name="Aflag" localSheetId="14">#REF!</definedName>
    <definedName name="Aflag" localSheetId="9">#REF!</definedName>
    <definedName name="Aflag" localSheetId="1">#REF!</definedName>
    <definedName name="Aflag">#REF!</definedName>
    <definedName name="Aflag2" localSheetId="13">#REF!</definedName>
    <definedName name="Aflag2" localSheetId="12">#REF!</definedName>
    <definedName name="Aflag2" localSheetId="14">#REF!</definedName>
    <definedName name="Aflag2" localSheetId="1">#REF!</definedName>
    <definedName name="Aflag2">#REF!</definedName>
    <definedName name="again" localSheetId="10" hidden="1">{#N/A,#N/A,FALSE,"ND Rev at Pres Rates";#N/A,#N/A,FALSE,"Res - Unadj sales";#N/A,#N/A,FALSE,"Small L&amp;P";#N/A,#N/A,FALSE,"Medium L&amp;P";#N/A,#N/A,FALSE,"E-19";#N/A,#N/A,FALSE,"E-20";#N/A,#N/A,FALSE,"Strtlts &amp; Standby";#N/A,#N/A,FALSE,"AG";#N/A,#N/A,FALSE,"A-RTP";#N/A,#N/A,FALSE,"Spec"}</definedName>
    <definedName name="again" localSheetId="15" hidden="1">{#N/A,#N/A,FALSE,"ND Rev at Pres Rates";#N/A,#N/A,FALSE,"Res - Unadj sales";#N/A,#N/A,FALSE,"Small L&amp;P";#N/A,#N/A,FALSE,"Medium L&amp;P";#N/A,#N/A,FALSE,"E-19";#N/A,#N/A,FALSE,"E-20";#N/A,#N/A,FALSE,"Strtlts &amp; Standby";#N/A,#N/A,FALSE,"AG";#N/A,#N/A,FALSE,"A-RTP";#N/A,#N/A,FALSE,"Spec"}</definedName>
    <definedName name="again" localSheetId="9" hidden="1">{#N/A,#N/A,FALSE,"ND Rev at Pres Rates";#N/A,#N/A,FALSE,"Res - Unadj sales";#N/A,#N/A,FALSE,"Small L&amp;P";#N/A,#N/A,FALSE,"Medium L&amp;P";#N/A,#N/A,FALSE,"E-19";#N/A,#N/A,FALSE,"E-20";#N/A,#N/A,FALSE,"Strtlts &amp; Standby";#N/A,#N/A,FALSE,"AG";#N/A,#N/A,FALSE,"A-RTP";#N/A,#N/A,FALSE,"Spec"}</definedName>
    <definedName name="again" localSheetId="1" hidden="1">{#N/A,#N/A,FALSE,"ND Rev at Pres Rates";#N/A,#N/A,FALSE,"Res - Unadj sales";#N/A,#N/A,FALSE,"Small L&amp;P";#N/A,#N/A,FALSE,"Medium L&amp;P";#N/A,#N/A,FALSE,"E-19";#N/A,#N/A,FALSE,"E-20";#N/A,#N/A,FALSE,"Strtlts &amp; Standby";#N/A,#N/A,FALSE,"AG";#N/A,#N/A,FALSE,"A-RTP";#N/A,#N/A,FALSE,"Spec"}</definedName>
    <definedName name="again" hidden="1">{#N/A,#N/A,FALSE,"ND Rev at Pres Rates";#N/A,#N/A,FALSE,"Res - Unadj sales";#N/A,#N/A,FALSE,"Small L&amp;P";#N/A,#N/A,FALSE,"Medium L&amp;P";#N/A,#N/A,FALSE,"E-19";#N/A,#N/A,FALSE,"E-20";#N/A,#N/A,FALSE,"Strtlts &amp; Standby";#N/A,#N/A,FALSE,"AG";#N/A,#N/A,FALSE,"A-RTP";#N/A,#N/A,FALSE,"Spec"}</definedName>
    <definedName name="AIR">#REF!</definedName>
    <definedName name="Balancing_Authority">#REF!</definedName>
    <definedName name="BondsIssued">#REF!</definedName>
    <definedName name="Boolean">#REF!</definedName>
    <definedName name="bt_d">#REF!</definedName>
    <definedName name="Bundled_Unbundled">#REF!</definedName>
    <definedName name="CBond" localSheetId="10">#REF!</definedName>
    <definedName name="CBond" localSheetId="15">#REF!</definedName>
    <definedName name="CBond" localSheetId="13">#REF!</definedName>
    <definedName name="CBond" localSheetId="12">#REF!</definedName>
    <definedName name="CBond" localSheetId="14">#REF!</definedName>
    <definedName name="CBond" localSheetId="9">#REF!</definedName>
    <definedName name="CBond" localSheetId="1">#REF!</definedName>
    <definedName name="CBond">#REF!</definedName>
    <definedName name="CECRA" localSheetId="13">#REF!</definedName>
    <definedName name="CECRA" localSheetId="12">#REF!</definedName>
    <definedName name="CECRA" localSheetId="14">#REF!</definedName>
    <definedName name="CECRA" localSheetId="1">#REF!</definedName>
    <definedName name="CECRA">#REF!</definedName>
    <definedName name="Construction_Status">#REF!</definedName>
    <definedName name="copy" localSheetId="10" hidden="1">{#N/A,#N/A,FALSE,"Dist Rev at PR ";#N/A,#N/A,FALSE,"Spec";#N/A,#N/A,FALSE,"Res";#N/A,#N/A,FALSE,"Small L&amp;P";#N/A,#N/A,FALSE,"Medium L&amp;P";#N/A,#N/A,FALSE,"E-19";#N/A,#N/A,FALSE,"E-20";#N/A,#N/A,FALSE,"Strtlts &amp; Standby";#N/A,#N/A,FALSE,"A-RTP";#N/A,#N/A,FALSE,"2003mixeduse"}</definedName>
    <definedName name="copy" localSheetId="15" hidden="1">{#N/A,#N/A,FALSE,"Dist Rev at PR ";#N/A,#N/A,FALSE,"Spec";#N/A,#N/A,FALSE,"Res";#N/A,#N/A,FALSE,"Small L&amp;P";#N/A,#N/A,FALSE,"Medium L&amp;P";#N/A,#N/A,FALSE,"E-19";#N/A,#N/A,FALSE,"E-20";#N/A,#N/A,FALSE,"Strtlts &amp; Standby";#N/A,#N/A,FALSE,"A-RTP";#N/A,#N/A,FALSE,"2003mixeduse"}</definedName>
    <definedName name="copy" localSheetId="9" hidden="1">{#N/A,#N/A,FALSE,"Dist Rev at PR ";#N/A,#N/A,FALSE,"Spec";#N/A,#N/A,FALSE,"Res";#N/A,#N/A,FALSE,"Small L&amp;P";#N/A,#N/A,FALSE,"Medium L&amp;P";#N/A,#N/A,FALSE,"E-19";#N/A,#N/A,FALSE,"E-20";#N/A,#N/A,FALSE,"Strtlts &amp; Standby";#N/A,#N/A,FALSE,"A-RTP";#N/A,#N/A,FALSE,"2003mixeduse"}</definedName>
    <definedName name="copy" localSheetId="1" hidden="1">{#N/A,#N/A,FALSE,"Dist Rev at PR ";#N/A,#N/A,FALSE,"Spec";#N/A,#N/A,FALSE,"Res";#N/A,#N/A,FALSE,"Small L&amp;P";#N/A,#N/A,FALSE,"Medium L&amp;P";#N/A,#N/A,FALSE,"E-19";#N/A,#N/A,FALSE,"E-20";#N/A,#N/A,FALSE,"Strtlts &amp; Standby";#N/A,#N/A,FALSE,"A-RTP";#N/A,#N/A,FALSE,"2003mixeduse"}</definedName>
    <definedName name="copy" hidden="1">{#N/A,#N/A,FALSE,"Dist Rev at PR ";#N/A,#N/A,FALSE,"Spec";#N/A,#N/A,FALSE,"Res";#N/A,#N/A,FALSE,"Small L&amp;P";#N/A,#N/A,FALSE,"Medium L&amp;P";#N/A,#N/A,FALSE,"E-19";#N/A,#N/A,FALSE,"E-20";#N/A,#N/A,FALSE,"Strtlts &amp; Standby";#N/A,#N/A,FALSE,"A-RTP";#N/A,#N/A,FALSE,"2003mixeduse"}</definedName>
    <definedName name="copyprint" localSheetId="10" hidden="1">{#N/A,#N/A,FALSE,"Workpaper Tables 4-1 &amp; 4-2";#N/A,#N/A,FALSE,"Revenue Allocation Results";#N/A,#N/A,FALSE,"FERC Rev @ PR";#N/A,#N/A,FALSE,"Distribution Revenue Allocation";#N/A,#N/A,FALSE,"Nonallocated Revenues ";#N/A,#N/A,FALSE,"2000mixuse";#N/A,#N/A,FALSE,"MC Revenues- 00 sales, 96 MC's"}</definedName>
    <definedName name="copyprint" localSheetId="15" hidden="1">{#N/A,#N/A,FALSE,"Workpaper Tables 4-1 &amp; 4-2";#N/A,#N/A,FALSE,"Revenue Allocation Results";#N/A,#N/A,FALSE,"FERC Rev @ PR";#N/A,#N/A,FALSE,"Distribution Revenue Allocation";#N/A,#N/A,FALSE,"Nonallocated Revenues ";#N/A,#N/A,FALSE,"2000mixuse";#N/A,#N/A,FALSE,"MC Revenues- 00 sales, 96 MC's"}</definedName>
    <definedName name="copyprint" localSheetId="9" hidden="1">{#N/A,#N/A,FALSE,"Workpaper Tables 4-1 &amp; 4-2";#N/A,#N/A,FALSE,"Revenue Allocation Results";#N/A,#N/A,FALSE,"FERC Rev @ PR";#N/A,#N/A,FALSE,"Distribution Revenue Allocation";#N/A,#N/A,FALSE,"Nonallocated Revenues ";#N/A,#N/A,FALSE,"2000mixuse";#N/A,#N/A,FALSE,"MC Revenues- 00 sales, 96 MC's"}</definedName>
    <definedName name="copyprint" localSheetId="1" hidden="1">{#N/A,#N/A,FALSE,"Workpaper Tables 4-1 &amp; 4-2";#N/A,#N/A,FALSE,"Revenue Allocation Results";#N/A,#N/A,FALSE,"FERC Rev @ PR";#N/A,#N/A,FALSE,"Distribution Revenue Allocation";#N/A,#N/A,FALSE,"Nonallocated Revenues ";#N/A,#N/A,FALSE,"2000mixuse";#N/A,#N/A,FALSE,"MC Revenues- 00 sales, 96 MC's"}</definedName>
    <definedName name="copyprint" hidden="1">{#N/A,#N/A,FALSE,"Workpaper Tables 4-1 &amp; 4-2";#N/A,#N/A,FALSE,"Revenue Allocation Results";#N/A,#N/A,FALSE,"FERC Rev @ PR";#N/A,#N/A,FALSE,"Distribution Revenue Allocation";#N/A,#N/A,FALSE,"Nonallocated Revenues ";#N/A,#N/A,FALSE,"2000mixuse";#N/A,#N/A,FALSE,"MC Revenues- 00 sales, 96 MC's"}</definedName>
    <definedName name="copyrap" localSheetId="10"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ap" localSheetId="1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ap" localSheetId="9"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ap"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evalloc" localSheetId="10" hidden="1">{#N/A,#N/A,FALSE,"RRQ inputs ";#N/A,#N/A,FALSE,"FERC Rev @ PR";#N/A,#N/A,FALSE,"Distribution Revenue Allocation";#N/A,#N/A,FALSE,"Nonallocated Revenues";#N/A,#N/A,FALSE,"MC Revenues-03 sales, 96 MC's";#N/A,#N/A,FALSE,"FTA"}</definedName>
    <definedName name="copyrevalloc" localSheetId="15" hidden="1">{#N/A,#N/A,FALSE,"RRQ inputs ";#N/A,#N/A,FALSE,"FERC Rev @ PR";#N/A,#N/A,FALSE,"Distribution Revenue Allocation";#N/A,#N/A,FALSE,"Nonallocated Revenues";#N/A,#N/A,FALSE,"MC Revenues-03 sales, 96 MC's";#N/A,#N/A,FALSE,"FTA"}</definedName>
    <definedName name="copyrevalloc" localSheetId="9" hidden="1">{#N/A,#N/A,FALSE,"RRQ inputs ";#N/A,#N/A,FALSE,"FERC Rev @ PR";#N/A,#N/A,FALSE,"Distribution Revenue Allocation";#N/A,#N/A,FALSE,"Nonallocated Revenues";#N/A,#N/A,FALSE,"MC Revenues-03 sales, 96 MC's";#N/A,#N/A,FALSE,"FTA"}</definedName>
    <definedName name="copyrevalloc" localSheetId="1" hidden="1">{#N/A,#N/A,FALSE,"RRQ inputs ";#N/A,#N/A,FALSE,"FERC Rev @ PR";#N/A,#N/A,FALSE,"Distribution Revenue Allocation";#N/A,#N/A,FALSE,"Nonallocated Revenues";#N/A,#N/A,FALSE,"MC Revenues-03 sales, 96 MC's";#N/A,#N/A,FALSE,"FTA"}</definedName>
    <definedName name="copyrevalloc" hidden="1">{#N/A,#N/A,FALSE,"RRQ inputs ";#N/A,#N/A,FALSE,"FERC Rev @ PR";#N/A,#N/A,FALSE,"Distribution Revenue Allocation";#N/A,#N/A,FALSE,"Nonallocated Revenues";#N/A,#N/A,FALSE,"MC Revenues-03 sales, 96 MC's";#N/A,#N/A,FALSE,"FTA"}</definedName>
    <definedName name="copyschudel" localSheetId="10" hidden="1">{#N/A,#N/A,FALSE,"ND Rev at Pres Rates";#N/A,#N/A,FALSE,"Res - Unadj";#N/A,#N/A,FALSE,"Small L&amp;P";#N/A,#N/A,FALSE,"Medium L&amp;P";#N/A,#N/A,FALSE,"E-19";#N/A,#N/A,FALSE,"E-20";#N/A,#N/A,FALSE,"A-RTP";#N/A,#N/A,FALSE,"Strtlts &amp; Standby";#N/A,#N/A,FALSE,"AG";#N/A,#N/A,FALSE,"2001mixeduse"}</definedName>
    <definedName name="copyschudel" localSheetId="15" hidden="1">{#N/A,#N/A,FALSE,"ND Rev at Pres Rates";#N/A,#N/A,FALSE,"Res - Unadj";#N/A,#N/A,FALSE,"Small L&amp;P";#N/A,#N/A,FALSE,"Medium L&amp;P";#N/A,#N/A,FALSE,"E-19";#N/A,#N/A,FALSE,"E-20";#N/A,#N/A,FALSE,"A-RTP";#N/A,#N/A,FALSE,"Strtlts &amp; Standby";#N/A,#N/A,FALSE,"AG";#N/A,#N/A,FALSE,"2001mixeduse"}</definedName>
    <definedName name="copyschudel" localSheetId="9" hidden="1">{#N/A,#N/A,FALSE,"ND Rev at Pres Rates";#N/A,#N/A,FALSE,"Res - Unadj";#N/A,#N/A,FALSE,"Small L&amp;P";#N/A,#N/A,FALSE,"Medium L&amp;P";#N/A,#N/A,FALSE,"E-19";#N/A,#N/A,FALSE,"E-20";#N/A,#N/A,FALSE,"A-RTP";#N/A,#N/A,FALSE,"Strtlts &amp; Standby";#N/A,#N/A,FALSE,"AG";#N/A,#N/A,FALSE,"2001mixeduse"}</definedName>
    <definedName name="copyschudel" localSheetId="1" hidden="1">{#N/A,#N/A,FALSE,"ND Rev at Pres Rates";#N/A,#N/A,FALSE,"Res - Unadj";#N/A,#N/A,FALSE,"Small L&amp;P";#N/A,#N/A,FALSE,"Medium L&amp;P";#N/A,#N/A,FALSE,"E-19";#N/A,#N/A,FALSE,"E-20";#N/A,#N/A,FALSE,"A-RTP";#N/A,#N/A,FALSE,"Strtlts &amp; Standby";#N/A,#N/A,FALSE,"AG";#N/A,#N/A,FALSE,"2001mixeduse"}</definedName>
    <definedName name="copyschudel" hidden="1">{#N/A,#N/A,FALSE,"ND Rev at Pres Rates";#N/A,#N/A,FALSE,"Res - Unadj";#N/A,#N/A,FALSE,"Small L&amp;P";#N/A,#N/A,FALSE,"Medium L&amp;P";#N/A,#N/A,FALSE,"E-19";#N/A,#N/A,FALSE,"E-20";#N/A,#N/A,FALSE,"A-RTP";#N/A,#N/A,FALSE,"Strtlts &amp; Standby";#N/A,#N/A,FALSE,"AG";#N/A,#N/A,FALSE,"2001mixeduse"}</definedName>
    <definedName name="CORE_U" localSheetId="10">#REF!</definedName>
    <definedName name="CORE_U" localSheetId="15">#REF!</definedName>
    <definedName name="CORE_U" localSheetId="13">#REF!</definedName>
    <definedName name="CORE_U" localSheetId="12">#REF!</definedName>
    <definedName name="CORE_U" localSheetId="14">#REF!</definedName>
    <definedName name="CORE_U" localSheetId="9">#REF!</definedName>
    <definedName name="CORE_U" localSheetId="1">#REF!</definedName>
    <definedName name="CORE_U">#REF!</definedName>
    <definedName name="Country">#REF!</definedName>
    <definedName name="CPUC_Approval_Status">#REF!</definedName>
    <definedName name="CREZ">#REF!</definedName>
    <definedName name="CTAC" localSheetId="10">#REF!</definedName>
    <definedName name="CTAC" localSheetId="15">#REF!</definedName>
    <definedName name="CTAC" localSheetId="13">#REF!</definedName>
    <definedName name="CTAC" localSheetId="12">#REF!</definedName>
    <definedName name="CTAC" localSheetId="14">#REF!</definedName>
    <definedName name="CTAC" localSheetId="9">#REF!</definedName>
    <definedName name="CTAC" localSheetId="1">#REF!</definedName>
    <definedName name="CTAC">#REF!</definedName>
    <definedName name="CTRBA" localSheetId="13">#REF!</definedName>
    <definedName name="CTRBA" localSheetId="12">#REF!</definedName>
    <definedName name="CTRBA" localSheetId="14">#REF!</definedName>
    <definedName name="CTRBA" localSheetId="1">#REF!</definedName>
    <definedName name="CTRBA">#REF!</definedName>
    <definedName name="DACRS" localSheetId="10">SUM(#REF!)</definedName>
    <definedName name="DACRS" localSheetId="15">SUM(#REF!)</definedName>
    <definedName name="DACRS" localSheetId="13">SUM(#REF!)</definedName>
    <definedName name="DACRS" localSheetId="12">SUM(#REF!)</definedName>
    <definedName name="DACRS" localSheetId="14">SUM(#REF!)</definedName>
    <definedName name="DACRS" localSheetId="9">SUM(#REF!)</definedName>
    <definedName name="DACRS" localSheetId="1">SUM(#REF!)</definedName>
    <definedName name="DACRS">SUM(#REF!)</definedName>
    <definedName name="_xlnm.Database" localSheetId="13">#REF!</definedName>
    <definedName name="_xlnm.Database" localSheetId="12">#REF!</definedName>
    <definedName name="_xlnm.Database" localSheetId="14">#REF!</definedName>
    <definedName name="_xlnm.Database">#REF!</definedName>
    <definedName name="Dchoice" localSheetId="13">#REF!</definedName>
    <definedName name="Dchoice" localSheetId="12">#REF!</definedName>
    <definedName name="Dchoice" localSheetId="14">#REF!</definedName>
    <definedName name="Dchoice" localSheetId="1">#REF!</definedName>
    <definedName name="Dchoice">#REF!</definedName>
    <definedName name="Delay_Termination_Reason">#REF!</definedName>
    <definedName name="DeliverabilityStatusOptions">#REF!</definedName>
    <definedName name="Distflag" localSheetId="10">#REF!</definedName>
    <definedName name="Distflag" localSheetId="15">#REF!</definedName>
    <definedName name="Distflag" localSheetId="13">#REF!</definedName>
    <definedName name="Distflag" localSheetId="12">#REF!</definedName>
    <definedName name="Distflag" localSheetId="14">#REF!</definedName>
    <definedName name="Distflag" localSheetId="9">#REF!</definedName>
    <definedName name="Distflag" localSheetId="1">#REF!</definedName>
    <definedName name="Distflag">#REF!</definedName>
    <definedName name="Dmdmult" localSheetId="13">#REF!</definedName>
    <definedName name="Dmdmult" localSheetId="12">#REF!</definedName>
    <definedName name="Dmdmult" localSheetId="14">#REF!</definedName>
    <definedName name="Dmdmult" localSheetId="1">#REF!</definedName>
    <definedName name="Dmdmult">#REF!</definedName>
    <definedName name="EPC_Contract_Status">#REF!</definedName>
    <definedName name="F_E">#REF!</definedName>
    <definedName name="Facility_Status">#REF!</definedName>
    <definedName name="FAIR">#REF!</definedName>
    <definedName name="FBUILD">#REF!</definedName>
    <definedName name="FCOMM">#REF!</definedName>
    <definedName name="FCOMP">#REF!</definedName>
    <definedName name="Financing_Status">#REF!</definedName>
    <definedName name="Flat" localSheetId="10">#REF!</definedName>
    <definedName name="Flat" localSheetId="15">#REF!</definedName>
    <definedName name="Flat" localSheetId="13">#REF!</definedName>
    <definedName name="Flat" localSheetId="12">#REF!</definedName>
    <definedName name="Flat" localSheetId="14">#REF!</definedName>
    <definedName name="Flat" localSheetId="9">#REF!</definedName>
    <definedName name="Flat" localSheetId="1">#REF!</definedName>
    <definedName name="Flat">#REF!</definedName>
    <definedName name="FM">#REF!</definedName>
    <definedName name="FOPROD">#REF!</definedName>
    <definedName name="FSONG2">#REF!</definedName>
    <definedName name="FSTEAM">#REF!</definedName>
    <definedName name="FT_D">#REF!</definedName>
    <definedName name="gsur">#REF!</definedName>
    <definedName name="head1" localSheetId="10">#REF!</definedName>
    <definedName name="head1" localSheetId="15">#REF!</definedName>
    <definedName name="head1" localSheetId="13">#REF!</definedName>
    <definedName name="head1" localSheetId="12">#REF!</definedName>
    <definedName name="head1" localSheetId="14">#REF!</definedName>
    <definedName name="head1" localSheetId="9">#REF!</definedName>
    <definedName name="head1" localSheetId="1">#REF!</definedName>
    <definedName name="head1">#REF!</definedName>
    <definedName name="head10" localSheetId="13">#REF!</definedName>
    <definedName name="head10" localSheetId="12">#REF!</definedName>
    <definedName name="head10" localSheetId="14">#REF!</definedName>
    <definedName name="head10" localSheetId="1">#REF!</definedName>
    <definedName name="head10">#REF!</definedName>
    <definedName name="head11" localSheetId="13">#REF!</definedName>
    <definedName name="head11" localSheetId="12">#REF!</definedName>
    <definedName name="head11" localSheetId="14">#REF!</definedName>
    <definedName name="head11" localSheetId="1">#REF!</definedName>
    <definedName name="head11">#REF!</definedName>
    <definedName name="head2" localSheetId="13">#REF!</definedName>
    <definedName name="head2" localSheetId="12">#REF!</definedName>
    <definedName name="head2" localSheetId="14">#REF!</definedName>
    <definedName name="head2" localSheetId="1">#REF!</definedName>
    <definedName name="head2">#REF!</definedName>
    <definedName name="head3" localSheetId="13">#REF!</definedName>
    <definedName name="head3" localSheetId="12">#REF!</definedName>
    <definedName name="head3" localSheetId="14">#REF!</definedName>
    <definedName name="head3" localSheetId="1">#REF!</definedName>
    <definedName name="head3">#REF!</definedName>
    <definedName name="head4" localSheetId="13">#REF!</definedName>
    <definedName name="head4" localSheetId="12">#REF!</definedName>
    <definedName name="head4" localSheetId="14">#REF!</definedName>
    <definedName name="head4" localSheetId="1">#REF!</definedName>
    <definedName name="head4">#REF!</definedName>
    <definedName name="head5" localSheetId="13">#REF!</definedName>
    <definedName name="head5" localSheetId="12">#REF!</definedName>
    <definedName name="head5" localSheetId="14">#REF!</definedName>
    <definedName name="head5" localSheetId="1">#REF!</definedName>
    <definedName name="head5">#REF!</definedName>
    <definedName name="head6" localSheetId="13">#REF!</definedName>
    <definedName name="head6" localSheetId="12">#REF!</definedName>
    <definedName name="head6" localSheetId="14">#REF!</definedName>
    <definedName name="head6" localSheetId="1">#REF!</definedName>
    <definedName name="head6">#REF!</definedName>
    <definedName name="head7" localSheetId="13">#REF!</definedName>
    <definedName name="head7" localSheetId="12">#REF!</definedName>
    <definedName name="head7" localSheetId="14">#REF!</definedName>
    <definedName name="head7" localSheetId="1">#REF!</definedName>
    <definedName name="head7">#REF!</definedName>
    <definedName name="head8" localSheetId="13">#REF!</definedName>
    <definedName name="head8" localSheetId="12">#REF!</definedName>
    <definedName name="head8" localSheetId="14">#REF!</definedName>
    <definedName name="head8" localSheetId="1">#REF!</definedName>
    <definedName name="head8">#REF!</definedName>
    <definedName name="head9" localSheetId="13">#REF!</definedName>
    <definedName name="head9" localSheetId="12">#REF!</definedName>
    <definedName name="head9" localSheetId="14">#REF!</definedName>
    <definedName name="head9" localSheetId="1">#REF!</definedName>
    <definedName name="head9">#REF!</definedName>
    <definedName name="HTML_CodePage" hidden="1">1252</definedName>
    <definedName name="HTML_Description" hidden="1">""</definedName>
    <definedName name="HTML_Email" hidden="1">""</definedName>
    <definedName name="HTML_Header" hidden="1">""</definedName>
    <definedName name="HTML_LastUpdate" hidden="1">"10/13/1999"</definedName>
    <definedName name="HTML_LineAfter" hidden="1">FALSE</definedName>
    <definedName name="HTML_LineBefore" hidden="1">FALSE</definedName>
    <definedName name="HTML_Name" hidden="1">"Sharim Chaudhury"</definedName>
    <definedName name="HTML_OBDlg2" hidden="1">TRUE</definedName>
    <definedName name="HTML_OBDlg4" hidden="1">TRUE</definedName>
    <definedName name="HTML_OS" hidden="1">0</definedName>
    <definedName name="HTML_PathFile" hidden="1">"W:\19991013\default.htm"</definedName>
    <definedName name="HTML_Title" hidden="1">"Daily MTM  Report"</definedName>
    <definedName name="huh" localSheetId="10" hidden="1">{#N/A,#N/A,FALSE,"Dist Rev at PR ";#N/A,#N/A,FALSE,"Spec";#N/A,#N/A,FALSE,"Res";#N/A,#N/A,FALSE,"Small L&amp;P";#N/A,#N/A,FALSE,"Medium L&amp;P";#N/A,#N/A,FALSE,"E-19";#N/A,#N/A,FALSE,"E-20";#N/A,#N/A,FALSE,"Strtlts &amp; Standby";#N/A,#N/A,FALSE,"A-RTP";#N/A,#N/A,FALSE,"2003mixeduse"}</definedName>
    <definedName name="huh" localSheetId="15" hidden="1">{#N/A,#N/A,FALSE,"Dist Rev at PR ";#N/A,#N/A,FALSE,"Spec";#N/A,#N/A,FALSE,"Res";#N/A,#N/A,FALSE,"Small L&amp;P";#N/A,#N/A,FALSE,"Medium L&amp;P";#N/A,#N/A,FALSE,"E-19";#N/A,#N/A,FALSE,"E-20";#N/A,#N/A,FALSE,"Strtlts &amp; Standby";#N/A,#N/A,FALSE,"A-RTP";#N/A,#N/A,FALSE,"2003mixeduse"}</definedName>
    <definedName name="huh" localSheetId="9" hidden="1">{#N/A,#N/A,FALSE,"Dist Rev at PR ";#N/A,#N/A,FALSE,"Spec";#N/A,#N/A,FALSE,"Res";#N/A,#N/A,FALSE,"Small L&amp;P";#N/A,#N/A,FALSE,"Medium L&amp;P";#N/A,#N/A,FALSE,"E-19";#N/A,#N/A,FALSE,"E-20";#N/A,#N/A,FALSE,"Strtlts &amp; Standby";#N/A,#N/A,FALSE,"A-RTP";#N/A,#N/A,FALSE,"2003mixeduse"}</definedName>
    <definedName name="huh" localSheetId="1" hidden="1">{#N/A,#N/A,FALSE,"Dist Rev at PR ";#N/A,#N/A,FALSE,"Spec";#N/A,#N/A,FALSE,"Res";#N/A,#N/A,FALSE,"Small L&amp;P";#N/A,#N/A,FALSE,"Medium L&amp;P";#N/A,#N/A,FALSE,"E-19";#N/A,#N/A,FALSE,"E-20";#N/A,#N/A,FALSE,"Strtlts &amp; Standby";#N/A,#N/A,FALSE,"A-RTP";#N/A,#N/A,FALSE,"2003mixeduse"}</definedName>
    <definedName name="huh" hidden="1">{#N/A,#N/A,FALSE,"Dist Rev at PR ";#N/A,#N/A,FALSE,"Spec";#N/A,#N/A,FALSE,"Res";#N/A,#N/A,FALSE,"Small L&amp;P";#N/A,#N/A,FALSE,"Medium L&amp;P";#N/A,#N/A,FALSE,"E-19";#N/A,#N/A,FALSE,"E-20";#N/A,#N/A,FALSE,"Strtlts &amp; Standby";#N/A,#N/A,FALSE,"A-RTP";#N/A,#N/A,FALSE,"2003mixeduse"}</definedName>
    <definedName name="huhnd" localSheetId="10" hidden="1">{#N/A,#N/A,FALSE,"ND Rev at Pres Rates";#N/A,#N/A,FALSE,"Res - Unadj sales";#N/A,#N/A,FALSE,"Small L&amp;P";#N/A,#N/A,FALSE,"Medium L&amp;P";#N/A,#N/A,FALSE,"E-19";#N/A,#N/A,FALSE,"E-20";#N/A,#N/A,FALSE,"Strtlts &amp; Standby";#N/A,#N/A,FALSE,"AG";#N/A,#N/A,FALSE,"A-RTP";#N/A,#N/A,FALSE,"Spec"}</definedName>
    <definedName name="huhnd" localSheetId="15" hidden="1">{#N/A,#N/A,FALSE,"ND Rev at Pres Rates";#N/A,#N/A,FALSE,"Res - Unadj sales";#N/A,#N/A,FALSE,"Small L&amp;P";#N/A,#N/A,FALSE,"Medium L&amp;P";#N/A,#N/A,FALSE,"E-19";#N/A,#N/A,FALSE,"E-20";#N/A,#N/A,FALSE,"Strtlts &amp; Standby";#N/A,#N/A,FALSE,"AG";#N/A,#N/A,FALSE,"A-RTP";#N/A,#N/A,FALSE,"Spec"}</definedName>
    <definedName name="huhnd" localSheetId="9" hidden="1">{#N/A,#N/A,FALSE,"ND Rev at Pres Rates";#N/A,#N/A,FALSE,"Res - Unadj sales";#N/A,#N/A,FALSE,"Small L&amp;P";#N/A,#N/A,FALSE,"Medium L&amp;P";#N/A,#N/A,FALSE,"E-19";#N/A,#N/A,FALSE,"E-20";#N/A,#N/A,FALSE,"Strtlts &amp; Standby";#N/A,#N/A,FALSE,"AG";#N/A,#N/A,FALSE,"A-RTP";#N/A,#N/A,FALSE,"Spec"}</definedName>
    <definedName name="huhnd" localSheetId="1" hidden="1">{#N/A,#N/A,FALSE,"ND Rev at Pres Rates";#N/A,#N/A,FALSE,"Res - Unadj sales";#N/A,#N/A,FALSE,"Small L&amp;P";#N/A,#N/A,FALSE,"Medium L&amp;P";#N/A,#N/A,FALSE,"E-19";#N/A,#N/A,FALSE,"E-20";#N/A,#N/A,FALSE,"Strtlts &amp; Standby";#N/A,#N/A,FALSE,"AG";#N/A,#N/A,FALSE,"A-RTP";#N/A,#N/A,FALSE,"Spec"}</definedName>
    <definedName name="huhnd" hidden="1">{#N/A,#N/A,FALSE,"ND Rev at Pres Rates";#N/A,#N/A,FALSE,"Res - Unadj sales";#N/A,#N/A,FALSE,"Small L&amp;P";#N/A,#N/A,FALSE,"Medium L&amp;P";#N/A,#N/A,FALSE,"E-19";#N/A,#N/A,FALSE,"E-20";#N/A,#N/A,FALSE,"Strtlts &amp; Standby";#N/A,#N/A,FALSE,"AG";#N/A,#N/A,FALSE,"A-RTP";#N/A,#N/A,FALSE,"Spec"}</definedName>
    <definedName name="huhnd2" localSheetId="10" hidden="1">{#N/A,#N/A,FALSE,"ND Rev at Pres Rates";#N/A,#N/A,FALSE,"Res - Unadj sales";#N/A,#N/A,FALSE,"Small L&amp;P";#N/A,#N/A,FALSE,"Medium L&amp;P";#N/A,#N/A,FALSE,"E-19";#N/A,#N/A,FALSE,"E-20";#N/A,#N/A,FALSE,"Strtlts &amp; Standby";#N/A,#N/A,FALSE,"AG";#N/A,#N/A,FALSE,"A-RTP";#N/A,#N/A,FALSE,"Spec"}</definedName>
    <definedName name="huhnd2" localSheetId="15" hidden="1">{#N/A,#N/A,FALSE,"ND Rev at Pres Rates";#N/A,#N/A,FALSE,"Res - Unadj sales";#N/A,#N/A,FALSE,"Small L&amp;P";#N/A,#N/A,FALSE,"Medium L&amp;P";#N/A,#N/A,FALSE,"E-19";#N/A,#N/A,FALSE,"E-20";#N/A,#N/A,FALSE,"Strtlts &amp; Standby";#N/A,#N/A,FALSE,"AG";#N/A,#N/A,FALSE,"A-RTP";#N/A,#N/A,FALSE,"Spec"}</definedName>
    <definedName name="huhnd2" localSheetId="9" hidden="1">{#N/A,#N/A,FALSE,"ND Rev at Pres Rates";#N/A,#N/A,FALSE,"Res - Unadj sales";#N/A,#N/A,FALSE,"Small L&amp;P";#N/A,#N/A,FALSE,"Medium L&amp;P";#N/A,#N/A,FALSE,"E-19";#N/A,#N/A,FALSE,"E-20";#N/A,#N/A,FALSE,"Strtlts &amp; Standby";#N/A,#N/A,FALSE,"AG";#N/A,#N/A,FALSE,"A-RTP";#N/A,#N/A,FALSE,"Spec"}</definedName>
    <definedName name="huhnd2" localSheetId="1" hidden="1">{#N/A,#N/A,FALSE,"ND Rev at Pres Rates";#N/A,#N/A,FALSE,"Res - Unadj sales";#N/A,#N/A,FALSE,"Small L&amp;P";#N/A,#N/A,FALSE,"Medium L&amp;P";#N/A,#N/A,FALSE,"E-19";#N/A,#N/A,FALSE,"E-20";#N/A,#N/A,FALSE,"Strtlts &amp; Standby";#N/A,#N/A,FALSE,"AG";#N/A,#N/A,FALSE,"A-RTP";#N/A,#N/A,FALSE,"Spec"}</definedName>
    <definedName name="huhnd2" hidden="1">{#N/A,#N/A,FALSE,"ND Rev at Pres Rates";#N/A,#N/A,FALSE,"Res - Unadj sales";#N/A,#N/A,FALSE,"Small L&amp;P";#N/A,#N/A,FALSE,"Medium L&amp;P";#N/A,#N/A,FALSE,"E-19";#N/A,#N/A,FALSE,"E-20";#N/A,#N/A,FALSE,"Strtlts &amp; Standby";#N/A,#N/A,FALSE,"AG";#N/A,#N/A,FALSE,"A-RTP";#N/A,#N/A,FALSE,"Spec"}</definedName>
    <definedName name="huhprint" localSheetId="10" hidden="1">{#N/A,#N/A,FALSE,"Workpaper Tables 4-1 &amp; 4-2";#N/A,#N/A,FALSE,"Revenue Allocation Results";#N/A,#N/A,FALSE,"FERC Rev @ PR";#N/A,#N/A,FALSE,"Distribution Revenue Allocation";#N/A,#N/A,FALSE,"Nonallocated Revenues ";#N/A,#N/A,FALSE,"2000mixuse";#N/A,#N/A,FALSE,"MC Revenues- 00 sales, 96 MC's"}</definedName>
    <definedName name="huhprint" localSheetId="15" hidden="1">{#N/A,#N/A,FALSE,"Workpaper Tables 4-1 &amp; 4-2";#N/A,#N/A,FALSE,"Revenue Allocation Results";#N/A,#N/A,FALSE,"FERC Rev @ PR";#N/A,#N/A,FALSE,"Distribution Revenue Allocation";#N/A,#N/A,FALSE,"Nonallocated Revenues ";#N/A,#N/A,FALSE,"2000mixuse";#N/A,#N/A,FALSE,"MC Revenues- 00 sales, 96 MC's"}</definedName>
    <definedName name="huhprint" localSheetId="9" hidden="1">{#N/A,#N/A,FALSE,"Workpaper Tables 4-1 &amp; 4-2";#N/A,#N/A,FALSE,"Revenue Allocation Results";#N/A,#N/A,FALSE,"FERC Rev @ PR";#N/A,#N/A,FALSE,"Distribution Revenue Allocation";#N/A,#N/A,FALSE,"Nonallocated Revenues ";#N/A,#N/A,FALSE,"2000mixuse";#N/A,#N/A,FALSE,"MC Revenues- 00 sales, 96 MC's"}</definedName>
    <definedName name="huhprint" localSheetId="1" hidden="1">{#N/A,#N/A,FALSE,"Workpaper Tables 4-1 &amp; 4-2";#N/A,#N/A,FALSE,"Revenue Allocation Results";#N/A,#N/A,FALSE,"FERC Rev @ PR";#N/A,#N/A,FALSE,"Distribution Revenue Allocation";#N/A,#N/A,FALSE,"Nonallocated Revenues ";#N/A,#N/A,FALSE,"2000mixuse";#N/A,#N/A,FALSE,"MC Revenues- 00 sales, 96 MC's"}</definedName>
    <definedName name="huhprint" hidden="1">{#N/A,#N/A,FALSE,"Workpaper Tables 4-1 &amp; 4-2";#N/A,#N/A,FALSE,"Revenue Allocation Results";#N/A,#N/A,FALSE,"FERC Rev @ PR";#N/A,#N/A,FALSE,"Distribution Revenue Allocation";#N/A,#N/A,FALSE,"Nonallocated Revenues ";#N/A,#N/A,FALSE,"2000mixuse";#N/A,#N/A,FALSE,"MC Revenues- 00 sales, 96 MC's"}</definedName>
    <definedName name="huhrap" localSheetId="10"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ap" localSheetId="1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ap" localSheetId="9"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ap"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evalloc" localSheetId="10" hidden="1">{#N/A,#N/A,FALSE,"RRQ inputs ";#N/A,#N/A,FALSE,"FERC Rev @ PR";#N/A,#N/A,FALSE,"Distribution Revenue Allocation";#N/A,#N/A,FALSE,"Nonallocated Revenues";#N/A,#N/A,FALSE,"MC Revenues-03 sales, 96 MC's";#N/A,#N/A,FALSE,"FTA"}</definedName>
    <definedName name="huhrevalloc" localSheetId="15" hidden="1">{#N/A,#N/A,FALSE,"RRQ inputs ";#N/A,#N/A,FALSE,"FERC Rev @ PR";#N/A,#N/A,FALSE,"Distribution Revenue Allocation";#N/A,#N/A,FALSE,"Nonallocated Revenues";#N/A,#N/A,FALSE,"MC Revenues-03 sales, 96 MC's";#N/A,#N/A,FALSE,"FTA"}</definedName>
    <definedName name="huhrevalloc" localSheetId="9" hidden="1">{#N/A,#N/A,FALSE,"RRQ inputs ";#N/A,#N/A,FALSE,"FERC Rev @ PR";#N/A,#N/A,FALSE,"Distribution Revenue Allocation";#N/A,#N/A,FALSE,"Nonallocated Revenues";#N/A,#N/A,FALSE,"MC Revenues-03 sales, 96 MC's";#N/A,#N/A,FALSE,"FTA"}</definedName>
    <definedName name="huhrevalloc" localSheetId="1" hidden="1">{#N/A,#N/A,FALSE,"RRQ inputs ";#N/A,#N/A,FALSE,"FERC Rev @ PR";#N/A,#N/A,FALSE,"Distribution Revenue Allocation";#N/A,#N/A,FALSE,"Nonallocated Revenues";#N/A,#N/A,FALSE,"MC Revenues-03 sales, 96 MC's";#N/A,#N/A,FALSE,"FTA"}</definedName>
    <definedName name="huhrevalloc" hidden="1">{#N/A,#N/A,FALSE,"RRQ inputs ";#N/A,#N/A,FALSE,"FERC Rev @ PR";#N/A,#N/A,FALSE,"Distribution Revenue Allocation";#N/A,#N/A,FALSE,"Nonallocated Revenues";#N/A,#N/A,FALSE,"MC Revenues-03 sales, 96 MC's";#N/A,#N/A,FALSE,"FTA"}</definedName>
    <definedName name="huhschudel" localSheetId="10" hidden="1">{#N/A,#N/A,FALSE,"ND Rev at Pres Rates";#N/A,#N/A,FALSE,"Res - Unadj";#N/A,#N/A,FALSE,"Small L&amp;P";#N/A,#N/A,FALSE,"Medium L&amp;P";#N/A,#N/A,FALSE,"E-19";#N/A,#N/A,FALSE,"E-20";#N/A,#N/A,FALSE,"A-RTP";#N/A,#N/A,FALSE,"Strtlts &amp; Standby";#N/A,#N/A,FALSE,"AG";#N/A,#N/A,FALSE,"2001mixeduse"}</definedName>
    <definedName name="huhschudel" localSheetId="15" hidden="1">{#N/A,#N/A,FALSE,"ND Rev at Pres Rates";#N/A,#N/A,FALSE,"Res - Unadj";#N/A,#N/A,FALSE,"Small L&amp;P";#N/A,#N/A,FALSE,"Medium L&amp;P";#N/A,#N/A,FALSE,"E-19";#N/A,#N/A,FALSE,"E-20";#N/A,#N/A,FALSE,"A-RTP";#N/A,#N/A,FALSE,"Strtlts &amp; Standby";#N/A,#N/A,FALSE,"AG";#N/A,#N/A,FALSE,"2001mixeduse"}</definedName>
    <definedName name="huhschudel" localSheetId="9" hidden="1">{#N/A,#N/A,FALSE,"ND Rev at Pres Rates";#N/A,#N/A,FALSE,"Res - Unadj";#N/A,#N/A,FALSE,"Small L&amp;P";#N/A,#N/A,FALSE,"Medium L&amp;P";#N/A,#N/A,FALSE,"E-19";#N/A,#N/A,FALSE,"E-20";#N/A,#N/A,FALSE,"A-RTP";#N/A,#N/A,FALSE,"Strtlts &amp; Standby";#N/A,#N/A,FALSE,"AG";#N/A,#N/A,FALSE,"2001mixeduse"}</definedName>
    <definedName name="huhschudel" localSheetId="1" hidden="1">{#N/A,#N/A,FALSE,"ND Rev at Pres Rates";#N/A,#N/A,FALSE,"Res - Unadj";#N/A,#N/A,FALSE,"Small L&amp;P";#N/A,#N/A,FALSE,"Medium L&amp;P";#N/A,#N/A,FALSE,"E-19";#N/A,#N/A,FALSE,"E-20";#N/A,#N/A,FALSE,"A-RTP";#N/A,#N/A,FALSE,"Strtlts &amp; Standby";#N/A,#N/A,FALSE,"AG";#N/A,#N/A,FALSE,"2001mixeduse"}</definedName>
    <definedName name="huhschudel" hidden="1">{#N/A,#N/A,FALSE,"ND Rev at Pres Rates";#N/A,#N/A,FALSE,"Res - Unadj";#N/A,#N/A,FALSE,"Small L&amp;P";#N/A,#N/A,FALSE,"Medium L&amp;P";#N/A,#N/A,FALSE,"E-19";#N/A,#N/A,FALSE,"E-20";#N/A,#N/A,FALSE,"A-RTP";#N/A,#N/A,FALSE,"Strtlts &amp; Standby";#N/A,#N/A,FALSE,"AG";#N/A,#N/A,FALSE,"2001mixeduse"}</definedName>
    <definedName name="IterationType">#REF!</definedName>
    <definedName name="LineLoss">#REF!</definedName>
    <definedName name="LocalAreaOptions">#REF!</definedName>
    <definedName name="LOLD">1</definedName>
    <definedName name="LOLD_Table">7</definedName>
    <definedName name="Mflag" localSheetId="10">#REF!</definedName>
    <definedName name="Mflag" localSheetId="15">#REF!</definedName>
    <definedName name="Mflag" localSheetId="13">#REF!</definedName>
    <definedName name="Mflag" localSheetId="12">#REF!</definedName>
    <definedName name="Mflag" localSheetId="14">#REF!</definedName>
    <definedName name="Mflag" localSheetId="9">#REF!</definedName>
    <definedName name="Mflag" localSheetId="1">#REF!</definedName>
    <definedName name="Mflag">#REF!</definedName>
    <definedName name="NCORE_U" localSheetId="13">#REF!</definedName>
    <definedName name="NCORE_U" localSheetId="12">#REF!</definedName>
    <definedName name="NCORE_U" localSheetId="14">#REF!</definedName>
    <definedName name="NCORE_U" localSheetId="1">#REF!</definedName>
    <definedName name="NCORE_U">#REF!</definedName>
    <definedName name="ND">#REF!</definedName>
    <definedName name="Out_Start_Date">#REF!</definedName>
    <definedName name="Out_Term_Date">#REF!</definedName>
    <definedName name="Overall_Project_Status">#REF!</definedName>
    <definedName name="Party_that_Terminated_Contract">#REF!</definedName>
    <definedName name="Path26DesignationOptions">#REF!</definedName>
    <definedName name="PBond" localSheetId="10">#REF!</definedName>
    <definedName name="PBond" localSheetId="15">#REF!</definedName>
    <definedName name="PBond" localSheetId="13">#REF!</definedName>
    <definedName name="PBond" localSheetId="12">#REF!</definedName>
    <definedName name="PBond" localSheetId="14">#REF!</definedName>
    <definedName name="PBond" localSheetId="9">#REF!</definedName>
    <definedName name="PBond" localSheetId="1">#REF!</definedName>
    <definedName name="PBond">#REF!</definedName>
    <definedName name="PCC_Classification">#REF!</definedName>
    <definedName name="PECRA" localSheetId="10">#REF!</definedName>
    <definedName name="PECRA" localSheetId="15">#REF!</definedName>
    <definedName name="PECRA" localSheetId="13">#REF!</definedName>
    <definedName name="PECRA" localSheetId="12">#REF!</definedName>
    <definedName name="PECRA" localSheetId="14">#REF!</definedName>
    <definedName name="PECRA" localSheetId="9">#REF!</definedName>
    <definedName name="PECRA" localSheetId="1">#REF!</definedName>
    <definedName name="PECRA">#REF!</definedName>
    <definedName name="Print_All_Tariff">#REF!</definedName>
    <definedName name="Program_Origination">#REF!</definedName>
    <definedName name="RAM_Auction_Round">#REF!</definedName>
    <definedName name="record1">#REF!</definedName>
    <definedName name="Record2">#REF!</definedName>
    <definedName name="Reporting_LSE">#REF!</definedName>
    <definedName name="Resource_Designation">#REF!</definedName>
    <definedName name="SAIR">#REF!</definedName>
    <definedName name="SAPBEXhrIndnt" hidden="1">"Wide"</definedName>
    <definedName name="SAPsysID" hidden="1">"708C5W7SBKP804JT78WJ0JNKI"</definedName>
    <definedName name="SAPwbID" hidden="1">"ARS"</definedName>
    <definedName name="SBUILD">#REF!</definedName>
    <definedName name="SchedulingID">#REF!</definedName>
    <definedName name="SCOMM">#REF!</definedName>
    <definedName name="SCOMP">#REF!</definedName>
    <definedName name="sds">#REF!</definedName>
    <definedName name="Season">#REF!</definedName>
    <definedName name="Sflag" localSheetId="10">#REF!</definedName>
    <definedName name="Sflag" localSheetId="15">#REF!</definedName>
    <definedName name="Sflag" localSheetId="13">#REF!</definedName>
    <definedName name="Sflag" localSheetId="12">#REF!</definedName>
    <definedName name="Sflag" localSheetId="14">#REF!</definedName>
    <definedName name="Sflag" localSheetId="9">#REF!</definedName>
    <definedName name="Sflag" localSheetId="1">#REF!</definedName>
    <definedName name="Sflag">#REF!</definedName>
    <definedName name="SM">#REF!</definedName>
    <definedName name="SOPROD">#REF!</definedName>
    <definedName name="SSONG2">#REF!</definedName>
    <definedName name="SSTEAM">#REF!</definedName>
    <definedName name="ST_D">#REF!</definedName>
    <definedName name="Status_of_Facility_Study___Phase_II_Study">#REF!</definedName>
    <definedName name="Status_of_Feasibility_Study">#REF!</definedName>
    <definedName name="Status_of_Interconnection_Agreement">#REF!</definedName>
    <definedName name="Status_of_System_Impact_Study___Phase_I_Study">#REF!</definedName>
    <definedName name="STEAM">#REF!</definedName>
    <definedName name="TAC">#REF!</definedName>
    <definedName name="TACCalcOptions">#REF!</definedName>
    <definedName name="Technology_SubType">#REF!</definedName>
    <definedName name="Technology_Type">#REF!</definedName>
    <definedName name="TRBA">#REF!</definedName>
    <definedName name="wrn.AG." localSheetId="10" hidden="1">{#N/A,#N/A,FALSE,"AG-1";#N/A,#N/A,FALSE,"AG-R";#N/A,#N/A,FALSE,"AG-V";#N/A,#N/A,FALSE,"AG-4";#N/A,#N/A,FALSE,"AG-5";#N/A,#N/A,FALSE,"AG-6";#N/A,#N/A,FALSE,"AG-7"}</definedName>
    <definedName name="wrn.AG." localSheetId="15" hidden="1">{#N/A,#N/A,FALSE,"AG-1";#N/A,#N/A,FALSE,"AG-R";#N/A,#N/A,FALSE,"AG-V";#N/A,#N/A,FALSE,"AG-4";#N/A,#N/A,FALSE,"AG-5";#N/A,#N/A,FALSE,"AG-6";#N/A,#N/A,FALSE,"AG-7"}</definedName>
    <definedName name="wrn.AG." localSheetId="9" hidden="1">{#N/A,#N/A,FALSE,"AG-1";#N/A,#N/A,FALSE,"AG-R";#N/A,#N/A,FALSE,"AG-V";#N/A,#N/A,FALSE,"AG-4";#N/A,#N/A,FALSE,"AG-5";#N/A,#N/A,FALSE,"AG-6";#N/A,#N/A,FALSE,"AG-7"}</definedName>
    <definedName name="wrn.AG." localSheetId="1" hidden="1">{#N/A,#N/A,FALSE,"AG-1";#N/A,#N/A,FALSE,"AG-R";#N/A,#N/A,FALSE,"AG-V";#N/A,#N/A,FALSE,"AG-4";#N/A,#N/A,FALSE,"AG-5";#N/A,#N/A,FALSE,"AG-6";#N/A,#N/A,FALSE,"AG-7"}</definedName>
    <definedName name="wrn.AG." hidden="1">{#N/A,#N/A,FALSE,"AG-1";#N/A,#N/A,FALSE,"AG-R";#N/A,#N/A,FALSE,"AG-V";#N/A,#N/A,FALSE,"AG-4";#N/A,#N/A,FALSE,"AG-5";#N/A,#N/A,FALSE,"AG-6";#N/A,#N/A,FALSE,"AG-7"}</definedName>
    <definedName name="wrn.AGa." localSheetId="10" hidden="1">{#N/A,#N/A,FALSE,"UN-AGRA";#N/A,#N/A,FALSE,"UN-AG1A";#N/A,#N/A,FALSE,"UN-AGVA";#N/A,#N/A,FALSE,"UN-AG4A ";#N/A,#N/A,FALSE,"UN-AG5A";#N/A,#N/A,FALSE,"UN-AG6A";#N/A,#N/A,FALSE,"Dist Calcs";#N/A,#N/A,FALSE,"7A-Avg.";#N/A,#N/A,FALSE,"7A Tier1-avg";#N/A,#N/A,FALSE,"7A Tier2-avg";#N/A,#N/A,FALSE,"Ag-7A Dist Calc"}</definedName>
    <definedName name="wrn.AGa." localSheetId="15" hidden="1">{#N/A,#N/A,FALSE,"UN-AGRA";#N/A,#N/A,FALSE,"UN-AG1A";#N/A,#N/A,FALSE,"UN-AGVA";#N/A,#N/A,FALSE,"UN-AG4A ";#N/A,#N/A,FALSE,"UN-AG5A";#N/A,#N/A,FALSE,"UN-AG6A";#N/A,#N/A,FALSE,"Dist Calcs";#N/A,#N/A,FALSE,"7A-Avg.";#N/A,#N/A,FALSE,"7A Tier1-avg";#N/A,#N/A,FALSE,"7A Tier2-avg";#N/A,#N/A,FALSE,"Ag-7A Dist Calc"}</definedName>
    <definedName name="wrn.AGa." localSheetId="9" hidden="1">{#N/A,#N/A,FALSE,"UN-AGRA";#N/A,#N/A,FALSE,"UN-AG1A";#N/A,#N/A,FALSE,"UN-AGVA";#N/A,#N/A,FALSE,"UN-AG4A ";#N/A,#N/A,FALSE,"UN-AG5A";#N/A,#N/A,FALSE,"UN-AG6A";#N/A,#N/A,FALSE,"Dist Calcs";#N/A,#N/A,FALSE,"7A-Avg.";#N/A,#N/A,FALSE,"7A Tier1-avg";#N/A,#N/A,FALSE,"7A Tier2-avg";#N/A,#N/A,FALSE,"Ag-7A Dist Calc"}</definedName>
    <definedName name="wrn.AGa." localSheetId="1" hidden="1">{#N/A,#N/A,FALSE,"UN-AGRA";#N/A,#N/A,FALSE,"UN-AG1A";#N/A,#N/A,FALSE,"UN-AGVA";#N/A,#N/A,FALSE,"UN-AG4A ";#N/A,#N/A,FALSE,"UN-AG5A";#N/A,#N/A,FALSE,"UN-AG6A";#N/A,#N/A,FALSE,"Dist Calcs";#N/A,#N/A,FALSE,"7A-Avg.";#N/A,#N/A,FALSE,"7A Tier1-avg";#N/A,#N/A,FALSE,"7A Tier2-avg";#N/A,#N/A,FALSE,"Ag-7A Dist Calc"}</definedName>
    <definedName name="wrn.AGa." hidden="1">{#N/A,#N/A,FALSE,"UN-AGRA";#N/A,#N/A,FALSE,"UN-AG1A";#N/A,#N/A,FALSE,"UN-AGVA";#N/A,#N/A,FALSE,"UN-AG4A ";#N/A,#N/A,FALSE,"UN-AG5A";#N/A,#N/A,FALSE,"UN-AG6A";#N/A,#N/A,FALSE,"Dist Calcs";#N/A,#N/A,FALSE,"7A-Avg.";#N/A,#N/A,FALSE,"7A Tier1-avg";#N/A,#N/A,FALSE,"7A Tier2-avg";#N/A,#N/A,FALSE,"Ag-7A Dist Calc"}</definedName>
    <definedName name="wrn.Agb." localSheetId="10"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localSheetId="15"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localSheetId="9"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localSheetId="1"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hidden="1">{#N/A,#N/A,FALSE,"UN-AG1B";#N/A,#N/A,FALSE,"UN-AGRB  ";#N/A,#N/A,FALSE,"UN-AGVB ";#N/A,#N/A,FALSE,"UN-AG4B";#N/A,#N/A,FALSE,"UN-AG4C";#N/A,#N/A,FALSE,"UN-AG5B";#N/A,#N/A,FALSE,"UN-AG5C ";#N/A,#N/A,FALSE,"UN-AG6B";#N/A,#N/A,FALSE,"Dist Cals";#N/A,#N/A,FALSE,"7B-Avg.";#N/A,#N/A,FALSE,"7B Tier1-avg";#N/A,#N/A,FALSE,"7B Tier2-avg";#N/A,#N/A,FALSE,"Ag-7B Dist Calc";#N/A,#N/A,FALSE,"AG RL Calc"}</definedName>
    <definedName name="wrn.comind." localSheetId="10" hidden="1">{#N/A,#N/A,FALSE,"A-1, A-6, A-10, A-15";#N/A,#N/A,FALSE,"E-19 Firm";#N/A,#N/A,FALSE,"E-19 Nonfirm";#N/A,#N/A,FALSE,"E-20 Firm ";#N/A,#N/A,FALSE,"E-20 Nonfirm ";#N/A,#N/A,FALSE,"E-25";#N/A,#N/A,FALSE,"E-36, E-37";#N/A,#N/A,FALSE,"LS-1,-2,-3, TC-1, OL-1";#N/A,#N/A,FALSE,"Standby"}</definedName>
    <definedName name="wrn.comind." localSheetId="15" hidden="1">{#N/A,#N/A,FALSE,"A-1, A-6, A-10, A-15";#N/A,#N/A,FALSE,"E-19 Firm";#N/A,#N/A,FALSE,"E-19 Nonfirm";#N/A,#N/A,FALSE,"E-20 Firm ";#N/A,#N/A,FALSE,"E-20 Nonfirm ";#N/A,#N/A,FALSE,"E-25";#N/A,#N/A,FALSE,"E-36, E-37";#N/A,#N/A,FALSE,"LS-1,-2,-3, TC-1, OL-1";#N/A,#N/A,FALSE,"Standby"}</definedName>
    <definedName name="wrn.comind." localSheetId="9" hidden="1">{#N/A,#N/A,FALSE,"A-1, A-6, A-10, A-15";#N/A,#N/A,FALSE,"E-19 Firm";#N/A,#N/A,FALSE,"E-19 Nonfirm";#N/A,#N/A,FALSE,"E-20 Firm ";#N/A,#N/A,FALSE,"E-20 Nonfirm ";#N/A,#N/A,FALSE,"E-25";#N/A,#N/A,FALSE,"E-36, E-37";#N/A,#N/A,FALSE,"LS-1,-2,-3, TC-1, OL-1";#N/A,#N/A,FALSE,"Standby"}</definedName>
    <definedName name="wrn.comind." localSheetId="1" hidden="1">{#N/A,#N/A,FALSE,"A-1, A-6, A-10, A-15";#N/A,#N/A,FALSE,"E-19 Firm";#N/A,#N/A,FALSE,"E-19 Nonfirm";#N/A,#N/A,FALSE,"E-20 Firm ";#N/A,#N/A,FALSE,"E-20 Nonfirm ";#N/A,#N/A,FALSE,"E-25";#N/A,#N/A,FALSE,"E-36, E-37";#N/A,#N/A,FALSE,"LS-1,-2,-3, TC-1, OL-1";#N/A,#N/A,FALSE,"Standby"}</definedName>
    <definedName name="wrn.comind." hidden="1">{#N/A,#N/A,FALSE,"A-1, A-6, A-10, A-15";#N/A,#N/A,FALSE,"E-19 Firm";#N/A,#N/A,FALSE,"E-19 Nonfirm";#N/A,#N/A,FALSE,"E-20 Firm ";#N/A,#N/A,FALSE,"E-20 Nonfirm ";#N/A,#N/A,FALSE,"E-25";#N/A,#N/A,FALSE,"E-36, E-37";#N/A,#N/A,FALSE,"LS-1,-2,-3, TC-1, OL-1";#N/A,#N/A,FALSE,"Standby"}</definedName>
    <definedName name="wrn.Distr." localSheetId="10" hidden="1">{#N/A,#N/A,FALSE,"Dist Rev at PR ";#N/A,#N/A,FALSE,"Spec";#N/A,#N/A,FALSE,"Res";#N/A,#N/A,FALSE,"Small L&amp;P";#N/A,#N/A,FALSE,"Medium L&amp;P";#N/A,#N/A,FALSE,"E-19";#N/A,#N/A,FALSE,"E-20";#N/A,#N/A,FALSE,"Strtlts &amp; Standby";#N/A,#N/A,FALSE,"A-RTP";#N/A,#N/A,FALSE,"2003mixeduse"}</definedName>
    <definedName name="wrn.Distr." localSheetId="15" hidden="1">{#N/A,#N/A,FALSE,"Dist Rev at PR ";#N/A,#N/A,FALSE,"Spec";#N/A,#N/A,FALSE,"Res";#N/A,#N/A,FALSE,"Small L&amp;P";#N/A,#N/A,FALSE,"Medium L&amp;P";#N/A,#N/A,FALSE,"E-19";#N/A,#N/A,FALSE,"E-20";#N/A,#N/A,FALSE,"Strtlts &amp; Standby";#N/A,#N/A,FALSE,"A-RTP";#N/A,#N/A,FALSE,"2003mixeduse"}</definedName>
    <definedName name="wrn.Distr." localSheetId="9" hidden="1">{#N/A,#N/A,FALSE,"Dist Rev at PR ";#N/A,#N/A,FALSE,"Spec";#N/A,#N/A,FALSE,"Res";#N/A,#N/A,FALSE,"Small L&amp;P";#N/A,#N/A,FALSE,"Medium L&amp;P";#N/A,#N/A,FALSE,"E-19";#N/A,#N/A,FALSE,"E-20";#N/A,#N/A,FALSE,"Strtlts &amp; Standby";#N/A,#N/A,FALSE,"A-RTP";#N/A,#N/A,FALSE,"2003mixeduse"}</definedName>
    <definedName name="wrn.Distr." localSheetId="1" hidden="1">{#N/A,#N/A,FALSE,"Dist Rev at PR ";#N/A,#N/A,FALSE,"Spec";#N/A,#N/A,FALSE,"Res";#N/A,#N/A,FALSE,"Small L&amp;P";#N/A,#N/A,FALSE,"Medium L&amp;P";#N/A,#N/A,FALSE,"E-19";#N/A,#N/A,FALSE,"E-20";#N/A,#N/A,FALSE,"Strtlts &amp; Standby";#N/A,#N/A,FALSE,"A-RTP";#N/A,#N/A,FALSE,"2003mixeduse"}</definedName>
    <definedName name="wrn.Distr." hidden="1">{#N/A,#N/A,FALSE,"Dist Rev at PR ";#N/A,#N/A,FALSE,"Spec";#N/A,#N/A,FALSE,"Res";#N/A,#N/A,FALSE,"Small L&amp;P";#N/A,#N/A,FALSE,"Medium L&amp;P";#N/A,#N/A,FALSE,"E-19";#N/A,#N/A,FALSE,"E-20";#N/A,#N/A,FALSE,"Strtlts &amp; Standby";#N/A,#N/A,FALSE,"A-RTP";#N/A,#N/A,FALSE,"2003mixeduse"}</definedName>
    <definedName name="wrn.G_CSP_REPORT." localSheetId="10" hidden="1">{#N/A,#N/A,FALSE,"Summary";#N/A,#N/A,FALSE,"Tariff G-CSP &amp; G-SUR";#N/A,#N/A,FALSE,"Amortization Calculations";#N/A,#N/A,FALSE,"Contracted Volumes";#N/A,#N/A,FALSE,"Reservation"}</definedName>
    <definedName name="wrn.G_CSP_REPORT." localSheetId="15" hidden="1">{#N/A,#N/A,FALSE,"Summary";#N/A,#N/A,FALSE,"Tariff G-CSP &amp; G-SUR";#N/A,#N/A,FALSE,"Amortization Calculations";#N/A,#N/A,FALSE,"Contracted Volumes";#N/A,#N/A,FALSE,"Reservation"}</definedName>
    <definedName name="wrn.G_CSP_REPORT." localSheetId="9" hidden="1">{#N/A,#N/A,FALSE,"Summary";#N/A,#N/A,FALSE,"Tariff G-CSP &amp; G-SUR";#N/A,#N/A,FALSE,"Amortization Calculations";#N/A,#N/A,FALSE,"Contracted Volumes";#N/A,#N/A,FALSE,"Reservation"}</definedName>
    <definedName name="wrn.G_CSP_REPORT." localSheetId="1" hidden="1">{#N/A,#N/A,FALSE,"Summary";#N/A,#N/A,FALSE,"Tariff G-CSP &amp; G-SUR";#N/A,#N/A,FALSE,"Amortization Calculations";#N/A,#N/A,FALSE,"Contracted Volumes";#N/A,#N/A,FALSE,"Reservation"}</definedName>
    <definedName name="wrn.G_CSP_REPORT." hidden="1">{#N/A,#N/A,FALSE,"Summary";#N/A,#N/A,FALSE,"Tariff G-CSP &amp; G-SUR";#N/A,#N/A,FALSE,"Amortization Calculations";#N/A,#N/A,FALSE,"Contracted Volumes";#N/A,#N/A,FALSE,"Reservation"}</definedName>
    <definedName name="wrn.ND." localSheetId="10" hidden="1">{#N/A,#N/A,FALSE,"ND Rev at Pres Rates";#N/A,#N/A,FALSE,"Res - Unadj sales";#N/A,#N/A,FALSE,"Small L&amp;P";#N/A,#N/A,FALSE,"Medium L&amp;P";#N/A,#N/A,FALSE,"E-19";#N/A,#N/A,FALSE,"E-20";#N/A,#N/A,FALSE,"Strtlts &amp; Standby";#N/A,#N/A,FALSE,"AG";#N/A,#N/A,FALSE,"A-RTP";#N/A,#N/A,FALSE,"Spec"}</definedName>
    <definedName name="wrn.ND." localSheetId="15" hidden="1">{#N/A,#N/A,FALSE,"ND Rev at Pres Rates";#N/A,#N/A,FALSE,"Res - Unadj sales";#N/A,#N/A,FALSE,"Small L&amp;P";#N/A,#N/A,FALSE,"Medium L&amp;P";#N/A,#N/A,FALSE,"E-19";#N/A,#N/A,FALSE,"E-20";#N/A,#N/A,FALSE,"Strtlts &amp; Standby";#N/A,#N/A,FALSE,"AG";#N/A,#N/A,FALSE,"A-RTP";#N/A,#N/A,FALSE,"Spec"}</definedName>
    <definedName name="wrn.ND." localSheetId="9" hidden="1">{#N/A,#N/A,FALSE,"ND Rev at Pres Rates";#N/A,#N/A,FALSE,"Res - Unadj sales";#N/A,#N/A,FALSE,"Small L&amp;P";#N/A,#N/A,FALSE,"Medium L&amp;P";#N/A,#N/A,FALSE,"E-19";#N/A,#N/A,FALSE,"E-20";#N/A,#N/A,FALSE,"Strtlts &amp; Standby";#N/A,#N/A,FALSE,"AG";#N/A,#N/A,FALSE,"A-RTP";#N/A,#N/A,FALSE,"Spec"}</definedName>
    <definedName name="wrn.ND." localSheetId="1" hidden="1">{#N/A,#N/A,FALSE,"ND Rev at Pres Rates";#N/A,#N/A,FALSE,"Res - Unadj sales";#N/A,#N/A,FALSE,"Small L&amp;P";#N/A,#N/A,FALSE,"Medium L&amp;P";#N/A,#N/A,FALSE,"E-19";#N/A,#N/A,FALSE,"E-20";#N/A,#N/A,FALSE,"Strtlts &amp; Standby";#N/A,#N/A,FALSE,"AG";#N/A,#N/A,FALSE,"A-RTP";#N/A,#N/A,FALSE,"Spec"}</definedName>
    <definedName name="wrn.ND." hidden="1">{#N/A,#N/A,FALSE,"ND Rev at Pres Rates";#N/A,#N/A,FALSE,"Res - Unadj sales";#N/A,#N/A,FALSE,"Small L&amp;P";#N/A,#N/A,FALSE,"Medium L&amp;P";#N/A,#N/A,FALSE,"E-19";#N/A,#N/A,FALSE,"E-20";#N/A,#N/A,FALSE,"Strtlts &amp; Standby";#N/A,#N/A,FALSE,"AG";#N/A,#N/A,FALSE,"A-RTP";#N/A,#N/A,FALSE,"Spec"}</definedName>
    <definedName name="wrn.Print._.Out." localSheetId="10" hidden="1">{#N/A,#N/A,FALSE,"Workpaper Tables 4-1 &amp; 4-2";#N/A,#N/A,FALSE,"Revenue Allocation Results";#N/A,#N/A,FALSE,"FERC Rev @ PR";#N/A,#N/A,FALSE,"Distribution Revenue Allocation";#N/A,#N/A,FALSE,"Nonallocated Revenues ";#N/A,#N/A,FALSE,"2000mixuse";#N/A,#N/A,FALSE,"MC Revenues- 00 sales, 96 MC's"}</definedName>
    <definedName name="wrn.Print._.Out." localSheetId="15" hidden="1">{#N/A,#N/A,FALSE,"Workpaper Tables 4-1 &amp; 4-2";#N/A,#N/A,FALSE,"Revenue Allocation Results";#N/A,#N/A,FALSE,"FERC Rev @ PR";#N/A,#N/A,FALSE,"Distribution Revenue Allocation";#N/A,#N/A,FALSE,"Nonallocated Revenues ";#N/A,#N/A,FALSE,"2000mixuse";#N/A,#N/A,FALSE,"MC Revenues- 00 sales, 96 MC's"}</definedName>
    <definedName name="wrn.Print._.Out." localSheetId="9" hidden="1">{#N/A,#N/A,FALSE,"Workpaper Tables 4-1 &amp; 4-2";#N/A,#N/A,FALSE,"Revenue Allocation Results";#N/A,#N/A,FALSE,"FERC Rev @ PR";#N/A,#N/A,FALSE,"Distribution Revenue Allocation";#N/A,#N/A,FALSE,"Nonallocated Revenues ";#N/A,#N/A,FALSE,"2000mixuse";#N/A,#N/A,FALSE,"MC Revenues- 00 sales, 96 MC's"}</definedName>
    <definedName name="wrn.Print._.Out." localSheetId="1" hidden="1">{#N/A,#N/A,FALSE,"Workpaper Tables 4-1 &amp; 4-2";#N/A,#N/A,FALSE,"Revenue Allocation Results";#N/A,#N/A,FALSE,"FERC Rev @ PR";#N/A,#N/A,FALSE,"Distribution Revenue Allocation";#N/A,#N/A,FALSE,"Nonallocated Revenues ";#N/A,#N/A,FALSE,"2000mixuse";#N/A,#N/A,FALSE,"MC Revenues- 00 sales, 96 MC's"}</definedName>
    <definedName name="wrn.Print._.Out." hidden="1">{#N/A,#N/A,FALSE,"Workpaper Tables 4-1 &amp; 4-2";#N/A,#N/A,FALSE,"Revenue Allocation Results";#N/A,#N/A,FALSE,"FERC Rev @ PR";#N/A,#N/A,FALSE,"Distribution Revenue Allocation";#N/A,#N/A,FALSE,"Nonallocated Revenues ";#N/A,#N/A,FALSE,"2000mixuse";#N/A,#N/A,FALSE,"MC Revenues- 00 sales, 96 MC's"}</definedName>
    <definedName name="wrn.RAP." localSheetId="10"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9"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s." localSheetId="10" hidden="1">{#N/A,#N/A,FALSE,"E-1, EM, ES";#N/A,#N/A,FALSE,"ESR, ET";#N/A,#N/A,FALSE,"E-7, E-A7";#N/A,#N/A,FALSE,"E-8";#N/A,#N/A,FALSE,"E-9 A, B, C, D";#N/A,#N/A,FALSE,"EL-1, EML";#N/A,#N/A,FALSE,"ESL, ESRL";#N/A,#N/A,FALSE,"ETL, EL-7";#N/A,#N/A,FALSE,"EL-A7, EL-8"}</definedName>
    <definedName name="wrn.Res." localSheetId="15" hidden="1">{#N/A,#N/A,FALSE,"E-1, EM, ES";#N/A,#N/A,FALSE,"ESR, ET";#N/A,#N/A,FALSE,"E-7, E-A7";#N/A,#N/A,FALSE,"E-8";#N/A,#N/A,FALSE,"E-9 A, B, C, D";#N/A,#N/A,FALSE,"EL-1, EML";#N/A,#N/A,FALSE,"ESL, ESRL";#N/A,#N/A,FALSE,"ETL, EL-7";#N/A,#N/A,FALSE,"EL-A7, EL-8"}</definedName>
    <definedName name="wrn.Res." localSheetId="9" hidden="1">{#N/A,#N/A,FALSE,"E-1, EM, ES";#N/A,#N/A,FALSE,"ESR, ET";#N/A,#N/A,FALSE,"E-7, E-A7";#N/A,#N/A,FALSE,"E-8";#N/A,#N/A,FALSE,"E-9 A, B, C, D";#N/A,#N/A,FALSE,"EL-1, EML";#N/A,#N/A,FALSE,"ESL, ESRL";#N/A,#N/A,FALSE,"ETL, EL-7";#N/A,#N/A,FALSE,"EL-A7, EL-8"}</definedName>
    <definedName name="wrn.Res." localSheetId="1" hidden="1">{#N/A,#N/A,FALSE,"E-1, EM, ES";#N/A,#N/A,FALSE,"ESR, ET";#N/A,#N/A,FALSE,"E-7, E-A7";#N/A,#N/A,FALSE,"E-8";#N/A,#N/A,FALSE,"E-9 A, B, C, D";#N/A,#N/A,FALSE,"EL-1, EML";#N/A,#N/A,FALSE,"ESL, ESRL";#N/A,#N/A,FALSE,"ETL, EL-7";#N/A,#N/A,FALSE,"EL-A7, EL-8"}</definedName>
    <definedName name="wrn.Res." hidden="1">{#N/A,#N/A,FALSE,"E-1, EM, ES";#N/A,#N/A,FALSE,"ESR, ET";#N/A,#N/A,FALSE,"E-7, E-A7";#N/A,#N/A,FALSE,"E-8";#N/A,#N/A,FALSE,"E-9 A, B, C, D";#N/A,#N/A,FALSE,"EL-1, EML";#N/A,#N/A,FALSE,"ESL, ESRL";#N/A,#N/A,FALSE,"ETL, EL-7";#N/A,#N/A,FALSE,"EL-A7, EL-8"}</definedName>
    <definedName name="wrn.Rev._.Alloc." localSheetId="10" hidden="1">{#N/A,#N/A,FALSE,"RRQ inputs ";#N/A,#N/A,FALSE,"FERC Rev @ PR";#N/A,#N/A,FALSE,"Distribution Revenue Allocation";#N/A,#N/A,FALSE,"Nonallocated Revenues";#N/A,#N/A,FALSE,"MC Revenues-03 sales, 96 MC's";#N/A,#N/A,FALSE,"FTA"}</definedName>
    <definedName name="wrn.Rev._.Alloc." localSheetId="15" hidden="1">{#N/A,#N/A,FALSE,"RRQ inputs ";#N/A,#N/A,FALSE,"FERC Rev @ PR";#N/A,#N/A,FALSE,"Distribution Revenue Allocation";#N/A,#N/A,FALSE,"Nonallocated Revenues";#N/A,#N/A,FALSE,"MC Revenues-03 sales, 96 MC's";#N/A,#N/A,FALSE,"FTA"}</definedName>
    <definedName name="wrn.Rev._.Alloc." localSheetId="9" hidden="1">{#N/A,#N/A,FALSE,"RRQ inputs ";#N/A,#N/A,FALSE,"FERC Rev @ PR";#N/A,#N/A,FALSE,"Distribution Revenue Allocation";#N/A,#N/A,FALSE,"Nonallocated Revenues";#N/A,#N/A,FALSE,"MC Revenues-03 sales, 96 MC's";#N/A,#N/A,FALSE,"FTA"}</definedName>
    <definedName name="wrn.Rev._.Alloc." localSheetId="1" hidden="1">{#N/A,#N/A,FALSE,"RRQ inputs ";#N/A,#N/A,FALSE,"FERC Rev @ PR";#N/A,#N/A,FALSE,"Distribution Revenue Allocation";#N/A,#N/A,FALSE,"Nonallocated Revenues";#N/A,#N/A,FALSE,"MC Revenues-03 sales, 96 MC's";#N/A,#N/A,FALSE,"FTA"}</definedName>
    <definedName name="wrn.Rev._.Alloc." hidden="1">{#N/A,#N/A,FALSE,"RRQ inputs ";#N/A,#N/A,FALSE,"FERC Rev @ PR";#N/A,#N/A,FALSE,"Distribution Revenue Allocation";#N/A,#N/A,FALSE,"Nonallocated Revenues";#N/A,#N/A,FALSE,"MC Revenues-03 sales, 96 MC's";#N/A,#N/A,FALSE,"FTA"}</definedName>
    <definedName name="wrn.schedules." localSheetId="10" hidden="1">{#N/A,#N/A,FALSE,"Res - Unadj";#N/A,#N/A,FALSE,"Small L&amp;P";#N/A,#N/A,FALSE,"Medium L&amp;P";#N/A,#N/A,FALSE,"E-19";#N/A,#N/A,FALSE,"E-20";#N/A,#N/A,FALSE,"A-RTP";#N/A,#N/A,FALSE,"Strtlts &amp; Standby";#N/A,#N/A,FALSE,"AG";#N/A,#N/A,FALSE,"2001mixeduse"}</definedName>
    <definedName name="wrn.schedules." localSheetId="15" hidden="1">{#N/A,#N/A,FALSE,"Res - Unadj";#N/A,#N/A,FALSE,"Small L&amp;P";#N/A,#N/A,FALSE,"Medium L&amp;P";#N/A,#N/A,FALSE,"E-19";#N/A,#N/A,FALSE,"E-20";#N/A,#N/A,FALSE,"A-RTP";#N/A,#N/A,FALSE,"Strtlts &amp; Standby";#N/A,#N/A,FALSE,"AG";#N/A,#N/A,FALSE,"2001mixeduse"}</definedName>
    <definedName name="wrn.schedules." localSheetId="9" hidden="1">{#N/A,#N/A,FALSE,"Res - Unadj";#N/A,#N/A,FALSE,"Small L&amp;P";#N/A,#N/A,FALSE,"Medium L&amp;P";#N/A,#N/A,FALSE,"E-19";#N/A,#N/A,FALSE,"E-20";#N/A,#N/A,FALSE,"A-RTP";#N/A,#N/A,FALSE,"Strtlts &amp; Standby";#N/A,#N/A,FALSE,"AG";#N/A,#N/A,FALSE,"2001mixeduse"}</definedName>
    <definedName name="wrn.schedules." localSheetId="1" hidden="1">{#N/A,#N/A,FALSE,"Res - Unadj";#N/A,#N/A,FALSE,"Small L&amp;P";#N/A,#N/A,FALSE,"Medium L&amp;P";#N/A,#N/A,FALSE,"E-19";#N/A,#N/A,FALSE,"E-20";#N/A,#N/A,FALSE,"A-RTP";#N/A,#N/A,FALSE,"Strtlts &amp; Standby";#N/A,#N/A,FALSE,"AG";#N/A,#N/A,FALSE,"2001mixeduse"}</definedName>
    <definedName name="wrn.schedules." hidden="1">{#N/A,#N/A,FALSE,"Res - Unadj";#N/A,#N/A,FALSE,"Small L&amp;P";#N/A,#N/A,FALSE,"Medium L&amp;P";#N/A,#N/A,FALSE,"E-19";#N/A,#N/A,FALSE,"E-20";#N/A,#N/A,FALSE,"A-RTP";#N/A,#N/A,FALSE,"Strtlts &amp; Standby";#N/A,#N/A,FALSE,"AG";#N/A,#N/A,FALSE,"2001mixeduse"}</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5" i="24" l="1"/>
  <c r="J67" i="5" l="1"/>
  <c r="I67" i="5"/>
  <c r="N123" i="5" l="1"/>
  <c r="N129" i="5"/>
  <c r="P141" i="5" l="1"/>
  <c r="C6" i="5"/>
  <c r="E141" i="5" l="1"/>
  <c r="Y34" i="30" l="1"/>
  <c r="AA34" i="30"/>
  <c r="AB34" i="30"/>
  <c r="X34" i="30"/>
  <c r="AC48" i="23"/>
  <c r="AE48" i="23"/>
  <c r="AF48" i="23"/>
  <c r="AB48" i="23"/>
  <c r="AC50" i="26"/>
  <c r="AE50" i="26"/>
  <c r="AF50" i="26"/>
  <c r="AB50" i="26"/>
  <c r="E48" i="5" l="1"/>
  <c r="E47" i="5"/>
  <c r="E31" i="5"/>
  <c r="E30" i="5"/>
  <c r="E40" i="5"/>
  <c r="E16" i="5" l="1"/>
  <c r="S91" i="2" l="1"/>
  <c r="S93" i="2"/>
  <c r="S111" i="2"/>
  <c r="S112" i="2"/>
  <c r="S113" i="2"/>
  <c r="S125" i="2"/>
  <c r="S126" i="2"/>
  <c r="S131" i="2"/>
  <c r="S132" i="2"/>
  <c r="S134" i="2"/>
  <c r="S135" i="2"/>
  <c r="S142" i="2"/>
  <c r="S32" i="2" l="1"/>
  <c r="S36" i="2"/>
  <c r="S37" i="2"/>
  <c r="S40" i="2"/>
  <c r="S49" i="2"/>
  <c r="S50" i="2"/>
  <c r="S60" i="2"/>
  <c r="S65" i="2"/>
  <c r="S66" i="2"/>
  <c r="S67" i="2"/>
  <c r="S68" i="2"/>
  <c r="S82" i="2"/>
  <c r="S83" i="2"/>
  <c r="S86" i="2"/>
  <c r="J11" i="2"/>
  <c r="J32" i="2"/>
  <c r="J35" i="2"/>
  <c r="J57" i="2"/>
  <c r="J58" i="2"/>
  <c r="J59" i="2"/>
  <c r="J60" i="2"/>
  <c r="J72" i="2"/>
  <c r="J99" i="2"/>
  <c r="J126" i="2"/>
  <c r="J71" i="2"/>
  <c r="P19" i="29"/>
  <c r="Z40" i="29"/>
  <c r="E4" i="29"/>
  <c r="P11" i="22"/>
  <c r="I124" i="5" l="1"/>
  <c r="J124" i="5" s="1"/>
  <c r="I123" i="5"/>
  <c r="J123" i="5" s="1"/>
  <c r="C60" i="24" l="1"/>
  <c r="L137" i="5" l="1"/>
  <c r="J137" i="5"/>
  <c r="M137" i="5"/>
  <c r="N137" i="5" l="1"/>
  <c r="Q17" i="24"/>
  <c r="Q18" i="24" l="1"/>
  <c r="S47" i="26" l="1"/>
  <c r="S48" i="26" s="1"/>
  <c r="M136" i="5" l="1"/>
  <c r="L136" i="5"/>
  <c r="O137" i="5"/>
  <c r="H15" i="5"/>
  <c r="I15" i="5" s="1"/>
  <c r="H16" i="5" l="1"/>
  <c r="I16" i="5" s="1"/>
  <c r="J16" i="5" s="1"/>
  <c r="I17" i="5"/>
  <c r="J17" i="5" s="1"/>
  <c r="P137" i="5" l="1"/>
  <c r="P136" i="5"/>
  <c r="E137" i="5"/>
  <c r="E136" i="5"/>
  <c r="Z41" i="29" l="1"/>
  <c r="Z39" i="29"/>
  <c r="Z38" i="29"/>
  <c r="Z37" i="29"/>
  <c r="Z36" i="29"/>
  <c r="Z35" i="29"/>
  <c r="Z34" i="29"/>
  <c r="I128" i="5" l="1"/>
  <c r="I129" i="5"/>
  <c r="I130" i="5"/>
  <c r="I131" i="5"/>
  <c r="I132" i="5"/>
  <c r="I133" i="5"/>
  <c r="J129" i="5" l="1"/>
  <c r="J128" i="5"/>
  <c r="I126" i="5"/>
  <c r="J126" i="5" s="1"/>
  <c r="J132" i="5"/>
  <c r="J130" i="5"/>
  <c r="I125" i="5"/>
  <c r="J133" i="5"/>
  <c r="J131" i="5"/>
  <c r="Q14" i="24"/>
  <c r="Q27" i="24" s="1"/>
  <c r="J125" i="5" l="1"/>
  <c r="Q15" i="24"/>
  <c r="Q28" i="24" s="1"/>
  <c r="I127" i="5"/>
  <c r="U34" i="2"/>
  <c r="S43" i="26"/>
  <c r="S44" i="26" s="1"/>
  <c r="J127" i="5" l="1"/>
  <c r="P134" i="5" l="1"/>
  <c r="P135" i="5"/>
  <c r="M135" i="5"/>
  <c r="M134" i="5"/>
  <c r="E135" i="5"/>
  <c r="L135" i="5"/>
  <c r="E134" i="5"/>
  <c r="L134" i="5"/>
  <c r="S47" i="19" l="1"/>
  <c r="S48" i="19" s="1"/>
  <c r="P125" i="5" l="1"/>
  <c r="P126" i="5"/>
  <c r="P127" i="5"/>
  <c r="P128" i="5"/>
  <c r="P129" i="5"/>
  <c r="P130" i="5"/>
  <c r="P131" i="5"/>
  <c r="P132" i="5"/>
  <c r="P133" i="5"/>
  <c r="L125" i="5" l="1"/>
  <c r="L126" i="5"/>
  <c r="L127" i="5"/>
  <c r="L128" i="5"/>
  <c r="L129" i="5"/>
  <c r="L130" i="5"/>
  <c r="L131" i="5"/>
  <c r="L132" i="5"/>
  <c r="L133" i="5"/>
  <c r="E125" i="5"/>
  <c r="E126" i="5"/>
  <c r="E127" i="5"/>
  <c r="E128" i="5"/>
  <c r="E129" i="5"/>
  <c r="E130" i="5"/>
  <c r="E131" i="5"/>
  <c r="E132" i="5"/>
  <c r="E133" i="5"/>
  <c r="Z39" i="18" l="1"/>
  <c r="Z50" i="18"/>
  <c r="Z51" i="18"/>
  <c r="Z40" i="18"/>
  <c r="H46" i="19" l="1"/>
  <c r="I42" i="19"/>
  <c r="L37" i="19"/>
  <c r="R6" i="23"/>
  <c r="S43" i="19" l="1"/>
  <c r="S44" i="19" s="1"/>
  <c r="P123" i="5" l="1"/>
  <c r="P140" i="5"/>
  <c r="P124" i="5"/>
  <c r="J140" i="5"/>
  <c r="O140" i="5" s="1"/>
  <c r="I140" i="5"/>
  <c r="N140" i="5" s="1"/>
  <c r="G140" i="5"/>
  <c r="L140" i="5" s="1"/>
  <c r="E140" i="5" l="1"/>
  <c r="E123" i="5"/>
  <c r="E124" i="5"/>
  <c r="L123" i="5"/>
  <c r="L124" i="5"/>
  <c r="P144" i="2" l="1"/>
  <c r="O144" i="2"/>
  <c r="N144" i="2"/>
  <c r="M144" i="2"/>
  <c r="L144" i="2"/>
  <c r="K144" i="2"/>
  <c r="N140" i="2" l="1"/>
  <c r="O140" i="2" s="1"/>
  <c r="L137" i="2"/>
  <c r="L136" i="2"/>
  <c r="K140" i="2" l="1"/>
  <c r="L140" i="2" s="1"/>
  <c r="K139" i="2"/>
  <c r="L139" i="2" s="1"/>
  <c r="K138" i="2"/>
  <c r="L138" i="2" s="1"/>
  <c r="K137" i="2"/>
  <c r="K136" i="2"/>
  <c r="M110" i="2" l="1"/>
  <c r="M108" i="2"/>
  <c r="P74" i="2"/>
  <c r="P73" i="2"/>
  <c r="K69" i="2"/>
  <c r="K67" i="2"/>
  <c r="L54" i="2"/>
  <c r="L52" i="2"/>
  <c r="L33" i="2"/>
  <c r="N17" i="2"/>
  <c r="K27" i="2"/>
  <c r="N24" i="2"/>
  <c r="K24" i="2"/>
  <c r="R24" i="29" l="1"/>
  <c r="S24" i="29"/>
  <c r="T24" i="29"/>
  <c r="U24" i="29"/>
  <c r="V24" i="29"/>
  <c r="W24" i="29"/>
  <c r="Q24" i="29"/>
  <c r="R23" i="29"/>
  <c r="S23" i="29"/>
  <c r="T23" i="29"/>
  <c r="U23" i="29"/>
  <c r="V23" i="29"/>
  <c r="W23" i="29"/>
  <c r="Q23" i="29"/>
  <c r="R22" i="29"/>
  <c r="S22" i="29"/>
  <c r="T22" i="29"/>
  <c r="U22" i="29"/>
  <c r="V22" i="29"/>
  <c r="W22" i="29"/>
  <c r="Q22" i="29"/>
  <c r="D36" i="5" l="1"/>
  <c r="D38" i="5"/>
  <c r="G45" i="5"/>
  <c r="F47" i="5"/>
  <c r="V15" i="5" s="1"/>
  <c r="V111" i="5" s="1"/>
  <c r="U78" i="2"/>
  <c r="U79" i="2"/>
  <c r="U80" i="2"/>
  <c r="U56" i="2"/>
  <c r="U57" i="2"/>
  <c r="U58" i="2"/>
  <c r="U47" i="2"/>
  <c r="U48" i="2"/>
  <c r="U84" i="2"/>
  <c r="U130" i="2"/>
  <c r="I27" i="5" l="1"/>
  <c r="M124" i="5"/>
  <c r="I26" i="5"/>
  <c r="M123" i="5"/>
  <c r="T15" i="5"/>
  <c r="T111" i="5" s="1"/>
  <c r="U15" i="5"/>
  <c r="U111" i="5" s="1"/>
  <c r="E65" i="26"/>
  <c r="U77" i="2"/>
  <c r="U76" i="2"/>
  <c r="U75" i="2"/>
  <c r="U59" i="2"/>
  <c r="J26" i="5" l="1"/>
  <c r="O123" i="5" s="1"/>
  <c r="J27" i="5"/>
  <c r="O124" i="5" s="1"/>
  <c r="N124" i="5"/>
  <c r="U9" i="2"/>
  <c r="R80" i="2" l="1"/>
  <c r="I80" i="2"/>
  <c r="J80" i="2" s="1"/>
  <c r="E54" i="5" l="1"/>
  <c r="G54" i="5" s="1"/>
  <c r="S80" i="2"/>
  <c r="L27" i="2" l="1"/>
  <c r="M27" i="2" s="1"/>
  <c r="E24" i="5" l="1"/>
  <c r="G24" i="5" s="1"/>
  <c r="S38" i="2"/>
  <c r="AF51" i="23"/>
  <c r="AF50" i="23"/>
  <c r="AE51" i="23"/>
  <c r="AE50" i="23"/>
  <c r="AC51" i="23"/>
  <c r="AC50" i="23"/>
  <c r="AB51" i="23"/>
  <c r="AB50" i="23"/>
  <c r="R11" i="2" l="1"/>
  <c r="S11" i="2" s="1"/>
  <c r="E36" i="5" l="1"/>
  <c r="G36" i="5" s="1"/>
  <c r="H36" i="5" s="1"/>
  <c r="I36" i="5" s="1"/>
  <c r="J36" i="5" s="1"/>
  <c r="S52" i="2"/>
  <c r="E38" i="5"/>
  <c r="G38" i="5" s="1"/>
  <c r="H38" i="5" s="1"/>
  <c r="I38" i="5" s="1"/>
  <c r="J38" i="5" s="1"/>
  <c r="S54" i="2"/>
  <c r="G40" i="5"/>
  <c r="H40" i="5" s="1"/>
  <c r="I40" i="5" s="1"/>
  <c r="J40" i="5" s="1"/>
  <c r="E50" i="5" l="1"/>
  <c r="G50" i="5" s="1"/>
  <c r="S71" i="2"/>
  <c r="E49" i="5"/>
  <c r="G49" i="5" s="1"/>
  <c r="S72" i="2"/>
  <c r="S137" i="2"/>
  <c r="U73" i="2" l="1"/>
  <c r="U74" i="2"/>
  <c r="U71" i="2"/>
  <c r="U72" i="2"/>
  <c r="I84" i="2" l="1"/>
  <c r="J84" i="2" s="1"/>
  <c r="I17" i="2" l="1"/>
  <c r="J17" i="2" s="1"/>
  <c r="I128" i="2"/>
  <c r="J128" i="2" s="1"/>
  <c r="I129" i="2"/>
  <c r="J129" i="2" s="1"/>
  <c r="I130" i="2"/>
  <c r="J130" i="2" s="1"/>
  <c r="I127" i="2"/>
  <c r="J127" i="2" s="1"/>
  <c r="I76" i="2"/>
  <c r="J76" i="2" s="1"/>
  <c r="I77" i="2"/>
  <c r="J77" i="2" s="1"/>
  <c r="I78" i="2"/>
  <c r="J78" i="2" s="1"/>
  <c r="I79" i="2"/>
  <c r="J79" i="2" s="1"/>
  <c r="I75" i="2"/>
  <c r="J75" i="2" s="1"/>
  <c r="U129" i="2" l="1"/>
  <c r="U128" i="2"/>
  <c r="U127" i="2"/>
  <c r="E53" i="5" l="1"/>
  <c r="G53" i="5" s="1"/>
  <c r="R79" i="2" l="1"/>
  <c r="S79" i="2" s="1"/>
  <c r="R59" i="2" l="1"/>
  <c r="S59" i="2" s="1"/>
  <c r="R58" i="2" l="1"/>
  <c r="E56" i="5" l="1"/>
  <c r="G56" i="5" s="1"/>
  <c r="S58" i="2"/>
  <c r="R57" i="2"/>
  <c r="E55" i="5" l="1"/>
  <c r="G55" i="5" s="1"/>
  <c r="S57" i="2"/>
  <c r="R128" i="2"/>
  <c r="R129" i="2"/>
  <c r="R130" i="2"/>
  <c r="S130" i="2" s="1"/>
  <c r="R75" i="2"/>
  <c r="S75" i="2" s="1"/>
  <c r="R76" i="2"/>
  <c r="S76" i="2" s="1"/>
  <c r="R77" i="2"/>
  <c r="S77" i="2" s="1"/>
  <c r="R78" i="2"/>
  <c r="E84" i="5" l="1"/>
  <c r="G84" i="5" s="1"/>
  <c r="S129" i="2"/>
  <c r="E83" i="5"/>
  <c r="G83" i="5" s="1"/>
  <c r="S128" i="2"/>
  <c r="E82" i="5"/>
  <c r="G82" i="5" s="1"/>
  <c r="S78" i="2"/>
  <c r="F6" i="23" l="1"/>
  <c r="C27" i="18" l="1"/>
  <c r="R53" i="2" l="1"/>
  <c r="E37" i="5" l="1"/>
  <c r="G37" i="5" s="1"/>
  <c r="H37" i="5" s="1"/>
  <c r="I37" i="5" s="1"/>
  <c r="J37" i="5" s="1"/>
  <c r="S53" i="2"/>
  <c r="R127" i="2" l="1"/>
  <c r="S127" i="2" s="1"/>
  <c r="E81" i="5" l="1"/>
  <c r="G81" i="5" s="1"/>
  <c r="H81" i="5" s="1"/>
  <c r="I81" i="5" l="1"/>
  <c r="J81" i="5" s="1"/>
  <c r="M140" i="5"/>
  <c r="R74" i="2" l="1"/>
  <c r="E52" i="5" l="1"/>
  <c r="G52" i="5" s="1"/>
  <c r="S74" i="2"/>
  <c r="R73" i="2"/>
  <c r="E51" i="5" l="1"/>
  <c r="G51" i="5" s="1"/>
  <c r="S73" i="2"/>
  <c r="P127" i="2" l="1"/>
  <c r="E7" i="29" l="1"/>
  <c r="Q6" i="23"/>
  <c r="P6" i="23"/>
  <c r="O6" i="23"/>
  <c r="N6" i="23"/>
  <c r="M6" i="23"/>
  <c r="L6" i="23"/>
  <c r="K6" i="23"/>
  <c r="J6" i="23"/>
  <c r="I6" i="23"/>
  <c r="H6" i="23"/>
  <c r="D21" i="29"/>
  <c r="Y39" i="18" l="1"/>
  <c r="Z41" i="18" s="1"/>
  <c r="Y41" i="18"/>
  <c r="N41" i="19"/>
  <c r="Y50" i="18"/>
  <c r="Z52" i="18" s="1"/>
  <c r="Q13" i="24" l="1"/>
  <c r="Q34" i="24" l="1"/>
  <c r="Q12" i="24"/>
  <c r="I72" i="5"/>
  <c r="I73" i="2"/>
  <c r="J73" i="2" s="1"/>
  <c r="I74" i="2"/>
  <c r="J74" i="2" s="1"/>
  <c r="Q33" i="24" l="1"/>
  <c r="Q9" i="24"/>
  <c r="I12" i="5"/>
  <c r="D25" i="24" l="1"/>
  <c r="C25" i="24"/>
  <c r="Q25" i="24"/>
  <c r="D10" i="24"/>
  <c r="C10" i="24"/>
  <c r="E111" i="5"/>
  <c r="L111" i="5"/>
  <c r="O111" i="5"/>
  <c r="N134" i="5" l="1"/>
  <c r="O119" i="5" l="1"/>
  <c r="O118" i="5"/>
  <c r="O116" i="5"/>
  <c r="O117" i="5"/>
  <c r="O122" i="5"/>
  <c r="O121" i="5"/>
  <c r="O120" i="5" l="1"/>
  <c r="Q26" i="24"/>
  <c r="O110" i="5" l="1"/>
  <c r="N110" i="5"/>
  <c r="M110" i="5"/>
  <c r="L110" i="5"/>
  <c r="E110" i="5"/>
  <c r="O109" i="5"/>
  <c r="L109" i="5"/>
  <c r="C74" i="2" l="1"/>
  <c r="D74" i="2" s="1"/>
  <c r="E74" i="2" s="1"/>
  <c r="F74" i="2" s="1"/>
  <c r="N111" i="5" l="1"/>
  <c r="P120" i="5"/>
  <c r="P121" i="5"/>
  <c r="P122" i="5"/>
  <c r="N122" i="5"/>
  <c r="M120" i="5"/>
  <c r="M121" i="5"/>
  <c r="M122" i="5"/>
  <c r="L120" i="5"/>
  <c r="L121" i="5"/>
  <c r="L122" i="5"/>
  <c r="E120" i="5"/>
  <c r="E121" i="5"/>
  <c r="E122" i="5"/>
  <c r="N121" i="5"/>
  <c r="N120" i="5"/>
  <c r="G56" i="2" l="1"/>
  <c r="I56" i="2" s="1"/>
  <c r="J56" i="2" s="1"/>
  <c r="P118" i="5" l="1"/>
  <c r="P119" i="5"/>
  <c r="M118" i="5"/>
  <c r="M119" i="5"/>
  <c r="N119" i="5"/>
  <c r="N118" i="5"/>
  <c r="E118" i="5" l="1"/>
  <c r="E119" i="5"/>
  <c r="L118" i="5"/>
  <c r="L119" i="5"/>
  <c r="P116" i="5"/>
  <c r="P117" i="5"/>
  <c r="M116" i="5"/>
  <c r="M117" i="5"/>
  <c r="L116" i="5"/>
  <c r="L117" i="5"/>
  <c r="E112" i="5" l="1"/>
  <c r="E113" i="5"/>
  <c r="E116" i="5"/>
  <c r="E117" i="5"/>
  <c r="N117" i="5"/>
  <c r="N116" i="5"/>
  <c r="N109" i="5" l="1"/>
  <c r="C73" i="2"/>
  <c r="D73" i="2" s="1"/>
  <c r="E73" i="2" s="1"/>
  <c r="F73" i="2" s="1"/>
  <c r="C24" i="24" l="1"/>
  <c r="D11" i="24"/>
  <c r="D24" i="24" s="1"/>
  <c r="C9" i="24" l="1"/>
  <c r="C22" i="24" s="1"/>
  <c r="D9" i="24"/>
  <c r="D22" i="24" s="1"/>
  <c r="C23" i="24"/>
  <c r="D23" i="24"/>
  <c r="C46" i="24"/>
  <c r="C47" i="24"/>
  <c r="C48" i="24"/>
  <c r="C49" i="24"/>
  <c r="C53" i="24"/>
  <c r="C54" i="24"/>
  <c r="C55" i="24"/>
  <c r="C56" i="24"/>
  <c r="C61" i="24"/>
  <c r="C62" i="24"/>
  <c r="C63" i="24"/>
  <c r="C67" i="24"/>
  <c r="C68" i="24"/>
  <c r="C69" i="24"/>
  <c r="C70" i="24"/>
  <c r="P56" i="2" l="1"/>
  <c r="O111" i="2"/>
  <c r="P111" i="2" s="1"/>
  <c r="Q111" i="2" s="1"/>
  <c r="R111" i="2" s="1"/>
  <c r="O67" i="2"/>
  <c r="O68" i="2"/>
  <c r="N56" i="2"/>
  <c r="L56" i="2"/>
  <c r="F47" i="2"/>
  <c r="G47" i="2" s="1"/>
  <c r="I47" i="2" s="1"/>
  <c r="J47" i="2" s="1"/>
  <c r="F48" i="2"/>
  <c r="G48" i="2" s="1"/>
  <c r="I48" i="2" s="1"/>
  <c r="J48" i="2" s="1"/>
  <c r="P68" i="2" l="1"/>
  <c r="Q68" i="2" s="1"/>
  <c r="P67" i="2"/>
  <c r="Q67" i="2" s="1"/>
  <c r="P30" i="30"/>
  <c r="F30" i="30"/>
  <c r="L27" i="17"/>
  <c r="D27" i="17"/>
  <c r="R67" i="2" l="1"/>
  <c r="R68" i="2"/>
  <c r="P29" i="30"/>
  <c r="M27" i="17"/>
  <c r="F29" i="30"/>
  <c r="E27" i="17"/>
  <c r="P30" i="23"/>
  <c r="F30" i="23"/>
  <c r="P29" i="23"/>
  <c r="L28" i="17"/>
  <c r="D28" i="17"/>
  <c r="L26" i="17"/>
  <c r="D26" i="17"/>
  <c r="G29" i="26"/>
  <c r="G28" i="26" l="1"/>
  <c r="E34" i="20"/>
  <c r="Q28" i="26"/>
  <c r="O34" i="20"/>
  <c r="E26" i="17"/>
  <c r="F29" i="23"/>
  <c r="E28" i="17"/>
  <c r="M26" i="17"/>
  <c r="M28" i="17"/>
  <c r="N34" i="20"/>
  <c r="D34" i="20"/>
  <c r="Q29" i="26" l="1"/>
  <c r="B76" i="17"/>
  <c r="B75" i="17"/>
  <c r="B83" i="17"/>
  <c r="B82" i="17"/>
  <c r="B90" i="17"/>
  <c r="B89" i="17"/>
  <c r="J90" i="17"/>
  <c r="J89" i="17"/>
  <c r="J83" i="17"/>
  <c r="J82" i="17"/>
  <c r="J76" i="17"/>
  <c r="J75" i="17"/>
  <c r="O24" i="2" l="1"/>
  <c r="P24" i="2" s="1"/>
  <c r="R24" i="2" s="1"/>
  <c r="S24" i="2" s="1"/>
  <c r="L114" i="18" l="1"/>
  <c r="B114" i="18"/>
  <c r="L99" i="18"/>
  <c r="B99" i="18"/>
  <c r="L83" i="20"/>
  <c r="L82" i="20"/>
  <c r="L90" i="20"/>
  <c r="L89" i="20"/>
  <c r="L97" i="20"/>
  <c r="L96" i="20"/>
  <c r="B97" i="20"/>
  <c r="B96" i="20"/>
  <c r="B90" i="20"/>
  <c r="B89" i="20"/>
  <c r="B83" i="20"/>
  <c r="B82" i="20"/>
  <c r="C124" i="18" l="1"/>
  <c r="D90" i="20" s="1"/>
  <c r="D124" i="18"/>
  <c r="D97" i="20" s="1"/>
  <c r="B113" i="22"/>
  <c r="J113" i="22"/>
  <c r="J98" i="22"/>
  <c r="B98" i="22"/>
  <c r="D35" i="20"/>
  <c r="D33" i="20"/>
  <c r="N33" i="20" l="1"/>
  <c r="N35" i="20"/>
  <c r="E35" i="20"/>
  <c r="Q28" i="19" l="1"/>
  <c r="O33" i="20"/>
  <c r="Q29" i="19"/>
  <c r="O35" i="20"/>
  <c r="E33" i="20"/>
  <c r="G28" i="19"/>
  <c r="G29" i="19" l="1"/>
  <c r="O17" i="2" l="1"/>
  <c r="P17" i="2" s="1"/>
  <c r="R17" i="2" s="1"/>
  <c r="P140" i="2" l="1"/>
  <c r="Q141" i="2" l="1"/>
  <c r="R140" i="2" l="1"/>
  <c r="S140" i="2" s="1"/>
  <c r="N48" i="2" l="1"/>
  <c r="O48" i="2" s="1"/>
  <c r="N47" i="2"/>
  <c r="O47" i="2" s="1"/>
  <c r="R139" i="2" l="1"/>
  <c r="S139" i="2" s="1"/>
  <c r="P48" i="2"/>
  <c r="R48" i="2" s="1"/>
  <c r="P47" i="2"/>
  <c r="R47" i="2" s="1"/>
  <c r="R136" i="2" l="1"/>
  <c r="S136" i="2" s="1"/>
  <c r="O107" i="5"/>
  <c r="O108" i="5"/>
  <c r="O112" i="5"/>
  <c r="O113" i="5"/>
  <c r="O114" i="5"/>
  <c r="O115" i="5"/>
  <c r="E98" i="5" l="1"/>
  <c r="N108" i="5"/>
  <c r="E108" i="5"/>
  <c r="P114" i="5" l="1"/>
  <c r="P115" i="5"/>
  <c r="N115" i="5"/>
  <c r="M115" i="5"/>
  <c r="N114" i="5"/>
  <c r="M114" i="5"/>
  <c r="P113" i="5" l="1"/>
  <c r="N113" i="5"/>
  <c r="M113" i="5"/>
  <c r="L113" i="5"/>
  <c r="P112" i="5"/>
  <c r="N112" i="5"/>
  <c r="M112" i="5"/>
  <c r="L112" i="5"/>
  <c r="M108" i="5"/>
  <c r="AN30" i="19" l="1"/>
  <c r="D137" i="2" l="1"/>
  <c r="E137" i="2" s="1"/>
  <c r="F137" i="2" s="1"/>
  <c r="G137" i="2" s="1"/>
  <c r="I137" i="2" s="1"/>
  <c r="J137" i="2" s="1"/>
  <c r="D136" i="2"/>
  <c r="E136" i="2" s="1"/>
  <c r="F136" i="2" s="1"/>
  <c r="G136" i="2" s="1"/>
  <c r="I136" i="2" s="1"/>
  <c r="J136" i="2" s="1"/>
  <c r="D54" i="2"/>
  <c r="E54" i="2" s="1"/>
  <c r="F54" i="2" s="1"/>
  <c r="G54" i="2" s="1"/>
  <c r="I54" i="2" s="1"/>
  <c r="J54" i="2" s="1"/>
  <c r="D52" i="2"/>
  <c r="E52" i="2" s="1"/>
  <c r="F52" i="2" s="1"/>
  <c r="G52" i="2" s="1"/>
  <c r="I52" i="2" s="1"/>
  <c r="J52" i="2" s="1"/>
  <c r="D34" i="2"/>
  <c r="E34" i="2" s="1"/>
  <c r="F34" i="2" s="1"/>
  <c r="G34" i="2" s="1"/>
  <c r="I34" i="2" s="1"/>
  <c r="J34" i="2" s="1"/>
  <c r="D35" i="2"/>
  <c r="E35" i="2" s="1"/>
  <c r="F35" i="2" s="1"/>
  <c r="G35" i="2" s="1"/>
  <c r="D36" i="2"/>
  <c r="E36" i="2" s="1"/>
  <c r="F36" i="2" s="1"/>
  <c r="G36" i="2" s="1"/>
  <c r="I36" i="2" s="1"/>
  <c r="J36" i="2" s="1"/>
  <c r="D33" i="2"/>
  <c r="E33" i="2" s="1"/>
  <c r="F33" i="2" s="1"/>
  <c r="G33" i="2" s="1"/>
  <c r="I33" i="2" s="1"/>
  <c r="J33" i="2" s="1"/>
  <c r="D32" i="2"/>
  <c r="D37" i="2"/>
  <c r="D38" i="2"/>
  <c r="D39" i="2"/>
  <c r="D40" i="2"/>
  <c r="D41" i="2"/>
  <c r="D42" i="2"/>
  <c r="D43" i="2"/>
  <c r="D44" i="2"/>
  <c r="D45" i="2"/>
  <c r="D46" i="2"/>
  <c r="D25" i="2"/>
  <c r="D26" i="2"/>
  <c r="D27" i="2"/>
  <c r="D28" i="2"/>
  <c r="D29" i="2"/>
  <c r="D30" i="2"/>
  <c r="D31" i="2"/>
  <c r="D10" i="2"/>
  <c r="D12" i="2"/>
  <c r="D13" i="2"/>
  <c r="D14" i="2"/>
  <c r="D15" i="2"/>
  <c r="D16" i="2"/>
  <c r="D17" i="2"/>
  <c r="D18" i="2"/>
  <c r="D19" i="2"/>
  <c r="D20" i="2"/>
  <c r="D21" i="2"/>
  <c r="D22" i="2"/>
  <c r="D23" i="2"/>
  <c r="D24" i="2"/>
  <c r="D9" i="2"/>
  <c r="N108" i="2" l="1"/>
  <c r="O108" i="2" s="1"/>
  <c r="N110" i="2"/>
  <c r="O110" i="2" s="1"/>
  <c r="P110" i="2" l="1"/>
  <c r="R110" i="2" s="1"/>
  <c r="S110" i="2" s="1"/>
  <c r="P108" i="2"/>
  <c r="AF55" i="18"/>
  <c r="AG55" i="18" s="1"/>
  <c r="AF53" i="18"/>
  <c r="AG53" i="18" s="1"/>
  <c r="AF51" i="18"/>
  <c r="AG51" i="18" s="1"/>
  <c r="AF50" i="18"/>
  <c r="AG50" i="18" s="1"/>
  <c r="AE49" i="18"/>
  <c r="AF49" i="18" s="1"/>
  <c r="AG49" i="18" s="1"/>
  <c r="AF44" i="18"/>
  <c r="AG44" i="18" s="1"/>
  <c r="AE38" i="18"/>
  <c r="AF38" i="18" s="1"/>
  <c r="AG38" i="18" s="1"/>
  <c r="AF42" i="18"/>
  <c r="AG42" i="18" s="1"/>
  <c r="E80" i="5" l="1"/>
  <c r="G80" i="5" s="1"/>
  <c r="H80" i="5" s="1"/>
  <c r="Y40" i="18"/>
  <c r="Y52" i="18"/>
  <c r="AF52" i="18"/>
  <c r="AG52" i="18" s="1"/>
  <c r="Y53" i="18"/>
  <c r="Y42" i="18"/>
  <c r="AF39" i="18"/>
  <c r="AG39" i="18" s="1"/>
  <c r="AF45" i="18"/>
  <c r="AG45" i="18" s="1"/>
  <c r="AF40" i="18"/>
  <c r="AG40" i="18" s="1"/>
  <c r="Y51" i="18"/>
  <c r="Z53" i="18" s="1"/>
  <c r="AF41" i="18"/>
  <c r="AG41" i="18" s="1"/>
  <c r="AF56" i="18"/>
  <c r="AG56" i="18" s="1"/>
  <c r="Z42" i="18" l="1"/>
  <c r="E10" i="22"/>
  <c r="P10" i="22"/>
  <c r="E9" i="22"/>
  <c r="P9" i="22"/>
  <c r="E7" i="22"/>
  <c r="P7" i="22"/>
  <c r="E8" i="22"/>
  <c r="P8" i="22"/>
  <c r="AF47" i="18" l="1"/>
  <c r="AG47" i="18" s="1"/>
  <c r="AF57" i="18"/>
  <c r="AG57" i="18" s="1"/>
  <c r="AF58" i="18"/>
  <c r="AG58" i="18" s="1"/>
  <c r="AF46" i="18"/>
  <c r="AG46" i="18" s="1"/>
  <c r="N107" i="5" l="1"/>
  <c r="L108" i="5"/>
  <c r="AE30" i="19" l="1"/>
  <c r="AF30" i="19"/>
  <c r="D74" i="17"/>
  <c r="G6" i="30" l="1"/>
  <c r="Y33" i="27" l="1"/>
  <c r="Y33" i="29" s="1"/>
  <c r="E62" i="26"/>
  <c r="E64" i="26"/>
  <c r="Z38" i="18"/>
  <c r="F41" i="26"/>
  <c r="F45" i="26" s="1"/>
  <c r="F36" i="26"/>
  <c r="F37" i="26" s="1"/>
  <c r="F38" i="26" s="1"/>
  <c r="F44" i="26" s="1"/>
  <c r="F48" i="26" s="1"/>
  <c r="J6" i="30"/>
  <c r="R6" i="30"/>
  <c r="Q6" i="30"/>
  <c r="P6" i="30"/>
  <c r="O6" i="30"/>
  <c r="N6" i="30"/>
  <c r="M6" i="30"/>
  <c r="L6" i="30"/>
  <c r="K6" i="30"/>
  <c r="I6" i="30"/>
  <c r="H6" i="30"/>
  <c r="F6" i="30"/>
  <c r="F41" i="19"/>
  <c r="F51" i="19" s="1"/>
  <c r="F36" i="19"/>
  <c r="F37" i="19" s="1"/>
  <c r="E32" i="20"/>
  <c r="E101" i="20" s="1"/>
  <c r="E107" i="20" l="1"/>
  <c r="E113" i="20"/>
  <c r="AA38" i="18"/>
  <c r="AB38" i="18" s="1"/>
  <c r="F42" i="26"/>
  <c r="F46" i="26" s="1"/>
  <c r="F43" i="26"/>
  <c r="F47" i="26" s="1"/>
  <c r="F42" i="19"/>
  <c r="F43" i="19"/>
  <c r="F38" i="19"/>
  <c r="F44" i="19" s="1"/>
  <c r="Z33" i="27"/>
  <c r="Z33" i="29" s="1"/>
  <c r="AA33" i="27" l="1"/>
  <c r="AB33" i="27" s="1"/>
  <c r="AB33" i="29" s="1"/>
  <c r="AA33" i="29" l="1"/>
  <c r="O30" i="30"/>
  <c r="O55" i="26"/>
  <c r="E30" i="30"/>
  <c r="L106" i="5" l="1"/>
  <c r="G106" i="5"/>
  <c r="J71" i="5"/>
  <c r="J73" i="5"/>
  <c r="S9" i="5" l="1"/>
  <c r="H9" i="5"/>
  <c r="I9" i="5" s="1"/>
  <c r="J9" i="5" s="1"/>
  <c r="V9" i="5" l="1"/>
  <c r="C3" i="20"/>
  <c r="T9" i="5"/>
  <c r="U9" i="5"/>
  <c r="M35" i="2" l="1"/>
  <c r="M34" i="2"/>
  <c r="N34" i="2" l="1"/>
  <c r="O34" i="2" s="1"/>
  <c r="P34" i="2" s="1"/>
  <c r="N35" i="2"/>
  <c r="O35" i="2" s="1"/>
  <c r="P35" i="2" s="1"/>
  <c r="R35" i="2" l="1"/>
  <c r="S35" i="2" s="1"/>
  <c r="R34" i="2"/>
  <c r="E27" i="5" l="1"/>
  <c r="G27" i="5" s="1"/>
  <c r="S34" i="2"/>
  <c r="D98" i="5" l="1"/>
  <c r="C20" i="2" l="1"/>
  <c r="E20" i="2" s="1"/>
  <c r="F20" i="2" s="1"/>
  <c r="G20" i="2" s="1"/>
  <c r="I20" i="2" s="1"/>
  <c r="J20" i="2" s="1"/>
  <c r="C126" i="2" l="1"/>
  <c r="D126" i="2" s="1"/>
  <c r="E126" i="2" s="1"/>
  <c r="F126" i="2" s="1"/>
  <c r="G126" i="2" s="1"/>
  <c r="C125" i="2"/>
  <c r="D125" i="2" s="1"/>
  <c r="E125" i="2" s="1"/>
  <c r="F125" i="2" s="1"/>
  <c r="G125" i="2" s="1"/>
  <c r="I125" i="2" s="1"/>
  <c r="J125" i="2" s="1"/>
  <c r="C124" i="2"/>
  <c r="D124" i="2" s="1"/>
  <c r="E124" i="2" s="1"/>
  <c r="F124" i="2" s="1"/>
  <c r="G124" i="2" s="1"/>
  <c r="I124" i="2" s="1"/>
  <c r="J124" i="2" s="1"/>
  <c r="C123" i="2"/>
  <c r="D123" i="2" s="1"/>
  <c r="E123" i="2" s="1"/>
  <c r="F123" i="2" s="1"/>
  <c r="G123" i="2" s="1"/>
  <c r="I123" i="2" s="1"/>
  <c r="J123" i="2" s="1"/>
  <c r="C122" i="2"/>
  <c r="D122" i="2" s="1"/>
  <c r="E122" i="2" s="1"/>
  <c r="F122" i="2" s="1"/>
  <c r="G122" i="2" s="1"/>
  <c r="I122" i="2" s="1"/>
  <c r="J122" i="2" s="1"/>
  <c r="C121" i="2"/>
  <c r="D121" i="2" s="1"/>
  <c r="E121" i="2" s="1"/>
  <c r="F121" i="2" s="1"/>
  <c r="G121" i="2" s="1"/>
  <c r="I121" i="2" s="1"/>
  <c r="J121" i="2" s="1"/>
  <c r="C120" i="2"/>
  <c r="D120" i="2" s="1"/>
  <c r="E120" i="2" s="1"/>
  <c r="F120" i="2" s="1"/>
  <c r="G120" i="2" s="1"/>
  <c r="I120" i="2" s="1"/>
  <c r="J120" i="2" s="1"/>
  <c r="C119" i="2"/>
  <c r="D119" i="2" s="1"/>
  <c r="E119" i="2" s="1"/>
  <c r="F119" i="2" s="1"/>
  <c r="G119" i="2" s="1"/>
  <c r="I119" i="2" s="1"/>
  <c r="J119" i="2" s="1"/>
  <c r="C118" i="2"/>
  <c r="D118" i="2" s="1"/>
  <c r="E118" i="2" s="1"/>
  <c r="F118" i="2" s="1"/>
  <c r="G118" i="2" s="1"/>
  <c r="I118" i="2" s="1"/>
  <c r="J118" i="2" s="1"/>
  <c r="C117" i="2"/>
  <c r="D117" i="2" s="1"/>
  <c r="E117" i="2" s="1"/>
  <c r="F117" i="2" s="1"/>
  <c r="G117" i="2" s="1"/>
  <c r="I117" i="2" s="1"/>
  <c r="J117" i="2" s="1"/>
  <c r="C116" i="2"/>
  <c r="D116" i="2" s="1"/>
  <c r="E116" i="2" s="1"/>
  <c r="F116" i="2" s="1"/>
  <c r="G116" i="2" s="1"/>
  <c r="I116" i="2" s="1"/>
  <c r="J116" i="2" s="1"/>
  <c r="C115" i="2"/>
  <c r="D115" i="2" s="1"/>
  <c r="E115" i="2" s="1"/>
  <c r="F115" i="2" s="1"/>
  <c r="G115" i="2" s="1"/>
  <c r="I115" i="2" s="1"/>
  <c r="J115" i="2" s="1"/>
  <c r="C114" i="2"/>
  <c r="D114" i="2" s="1"/>
  <c r="E114" i="2" s="1"/>
  <c r="F114" i="2" s="1"/>
  <c r="G114" i="2" s="1"/>
  <c r="C113" i="2"/>
  <c r="D113" i="2" s="1"/>
  <c r="E113" i="2" s="1"/>
  <c r="F113" i="2" s="1"/>
  <c r="G113" i="2" s="1"/>
  <c r="I113" i="2" s="1"/>
  <c r="J113" i="2" s="1"/>
  <c r="C112" i="2"/>
  <c r="D112" i="2" s="1"/>
  <c r="E112" i="2" s="1"/>
  <c r="F112" i="2" s="1"/>
  <c r="G112" i="2" s="1"/>
  <c r="I112" i="2" s="1"/>
  <c r="J112" i="2" s="1"/>
  <c r="C111" i="2"/>
  <c r="D111" i="2" s="1"/>
  <c r="E111" i="2" s="1"/>
  <c r="F111" i="2" s="1"/>
  <c r="G111" i="2" s="1"/>
  <c r="I111" i="2" s="1"/>
  <c r="J111" i="2" s="1"/>
  <c r="C110" i="2"/>
  <c r="D110" i="2" s="1"/>
  <c r="E110" i="2" s="1"/>
  <c r="F110" i="2" s="1"/>
  <c r="G110" i="2" s="1"/>
  <c r="I110" i="2" s="1"/>
  <c r="J110" i="2" s="1"/>
  <c r="C109" i="2"/>
  <c r="D109" i="2" s="1"/>
  <c r="E109" i="2" s="1"/>
  <c r="F109" i="2" s="1"/>
  <c r="G109" i="2" s="1"/>
  <c r="I109" i="2" s="1"/>
  <c r="J109" i="2" s="1"/>
  <c r="C108" i="2"/>
  <c r="C107" i="2"/>
  <c r="C106" i="2"/>
  <c r="C105" i="2"/>
  <c r="C104" i="2"/>
  <c r="D104" i="2" s="1"/>
  <c r="E104" i="2" s="1"/>
  <c r="F104" i="2" s="1"/>
  <c r="G104" i="2" s="1"/>
  <c r="I104" i="2" s="1"/>
  <c r="J104" i="2" s="1"/>
  <c r="C103" i="2"/>
  <c r="C102" i="2"/>
  <c r="D102" i="2" s="1"/>
  <c r="E102" i="2" s="1"/>
  <c r="F102" i="2" s="1"/>
  <c r="G102" i="2" s="1"/>
  <c r="I102" i="2" s="1"/>
  <c r="J102" i="2" s="1"/>
  <c r="C101" i="2"/>
  <c r="C100" i="2"/>
  <c r="D100" i="2" s="1"/>
  <c r="E100" i="2" s="1"/>
  <c r="F100" i="2" s="1"/>
  <c r="G100" i="2" s="1"/>
  <c r="I100" i="2" s="1"/>
  <c r="J100" i="2" s="1"/>
  <c r="C99" i="2"/>
  <c r="D99" i="2" s="1"/>
  <c r="E99" i="2" s="1"/>
  <c r="F99" i="2" s="1"/>
  <c r="G99" i="2" s="1"/>
  <c r="C98" i="2"/>
  <c r="D98" i="2" s="1"/>
  <c r="E98" i="2" s="1"/>
  <c r="F98" i="2" s="1"/>
  <c r="G98" i="2" s="1"/>
  <c r="I98" i="2" s="1"/>
  <c r="J98" i="2" s="1"/>
  <c r="C97" i="2"/>
  <c r="D97" i="2" s="1"/>
  <c r="E97" i="2" s="1"/>
  <c r="F97" i="2" s="1"/>
  <c r="G97" i="2" s="1"/>
  <c r="I97" i="2" s="1"/>
  <c r="J97" i="2" s="1"/>
  <c r="C96" i="2"/>
  <c r="D96" i="2" s="1"/>
  <c r="E96" i="2" s="1"/>
  <c r="F96" i="2" s="1"/>
  <c r="G96" i="2" s="1"/>
  <c r="I96" i="2" s="1"/>
  <c r="J96" i="2" s="1"/>
  <c r="C95" i="2"/>
  <c r="D95" i="2" s="1"/>
  <c r="E95" i="2" s="1"/>
  <c r="F95" i="2" s="1"/>
  <c r="G95" i="2" s="1"/>
  <c r="I95" i="2" s="1"/>
  <c r="J95" i="2" s="1"/>
  <c r="C94" i="2"/>
  <c r="D94" i="2" s="1"/>
  <c r="E94" i="2" s="1"/>
  <c r="F94" i="2" s="1"/>
  <c r="G94" i="2" s="1"/>
  <c r="I94" i="2" s="1"/>
  <c r="J94" i="2" s="1"/>
  <c r="C93" i="2"/>
  <c r="D93" i="2" s="1"/>
  <c r="E93" i="2" s="1"/>
  <c r="F93" i="2" s="1"/>
  <c r="G93" i="2" s="1"/>
  <c r="I93" i="2" s="1"/>
  <c r="J93" i="2" s="1"/>
  <c r="C92" i="2"/>
  <c r="D92" i="2" s="1"/>
  <c r="E92" i="2" s="1"/>
  <c r="F92" i="2" s="1"/>
  <c r="G92" i="2" s="1"/>
  <c r="I92" i="2" s="1"/>
  <c r="J92" i="2" s="1"/>
  <c r="C91" i="2"/>
  <c r="D91" i="2" s="1"/>
  <c r="E91" i="2" s="1"/>
  <c r="F91" i="2" s="1"/>
  <c r="G91" i="2" s="1"/>
  <c r="I91" i="2" s="1"/>
  <c r="J91" i="2" s="1"/>
  <c r="C90" i="2"/>
  <c r="D90" i="2" s="1"/>
  <c r="E90" i="2" s="1"/>
  <c r="F90" i="2" s="1"/>
  <c r="G90" i="2" s="1"/>
  <c r="I90" i="2" s="1"/>
  <c r="J90" i="2" s="1"/>
  <c r="C89" i="2"/>
  <c r="C88" i="2"/>
  <c r="D88" i="2" s="1"/>
  <c r="E88" i="2" s="1"/>
  <c r="F88" i="2" s="1"/>
  <c r="G88" i="2" s="1"/>
  <c r="I88" i="2" s="1"/>
  <c r="J88" i="2" s="1"/>
  <c r="C87" i="2"/>
  <c r="D87" i="2" s="1"/>
  <c r="E87" i="2" s="1"/>
  <c r="F87" i="2" s="1"/>
  <c r="G87" i="2" s="1"/>
  <c r="I87" i="2" s="1"/>
  <c r="J87" i="2" s="1"/>
  <c r="C86" i="2"/>
  <c r="D86" i="2" s="1"/>
  <c r="E86" i="2" s="1"/>
  <c r="F86" i="2" s="1"/>
  <c r="G86" i="2" s="1"/>
  <c r="I86" i="2" s="1"/>
  <c r="J86" i="2" s="1"/>
  <c r="C85" i="2"/>
  <c r="C84" i="2"/>
  <c r="D84" i="2" s="1"/>
  <c r="E84" i="2" s="1"/>
  <c r="F84" i="2" s="1"/>
  <c r="G84" i="2" s="1"/>
  <c r="C70" i="2"/>
  <c r="D70" i="2" s="1"/>
  <c r="E70" i="2" s="1"/>
  <c r="F70" i="2" s="1"/>
  <c r="G70" i="2" s="1"/>
  <c r="I70" i="2" s="1"/>
  <c r="J70" i="2" s="1"/>
  <c r="C69" i="2"/>
  <c r="D69" i="2" s="1"/>
  <c r="E69" i="2" s="1"/>
  <c r="F69" i="2" s="1"/>
  <c r="G69" i="2" s="1"/>
  <c r="I69" i="2" s="1"/>
  <c r="J69" i="2" s="1"/>
  <c r="C68" i="2"/>
  <c r="D68" i="2" s="1"/>
  <c r="F68" i="2" s="1"/>
  <c r="G68" i="2" s="1"/>
  <c r="I68" i="2" s="1"/>
  <c r="J68" i="2" s="1"/>
  <c r="C67" i="2"/>
  <c r="D67" i="2" s="1"/>
  <c r="F67" i="2" s="1"/>
  <c r="G67" i="2" s="1"/>
  <c r="I67" i="2" s="1"/>
  <c r="J67" i="2" s="1"/>
  <c r="C66" i="2"/>
  <c r="D66" i="2" s="1"/>
  <c r="E66" i="2" s="1"/>
  <c r="F66" i="2" s="1"/>
  <c r="G66" i="2" s="1"/>
  <c r="I66" i="2" s="1"/>
  <c r="J66" i="2" s="1"/>
  <c r="C65" i="2"/>
  <c r="D65" i="2" s="1"/>
  <c r="E65" i="2" s="1"/>
  <c r="F65" i="2" s="1"/>
  <c r="G65" i="2" s="1"/>
  <c r="I65" i="2" s="1"/>
  <c r="J65" i="2" s="1"/>
  <c r="C64" i="2"/>
  <c r="D64" i="2" s="1"/>
  <c r="E64" i="2" s="1"/>
  <c r="F64" i="2" s="1"/>
  <c r="G64" i="2" s="1"/>
  <c r="I64" i="2" s="1"/>
  <c r="J64" i="2" s="1"/>
  <c r="C63" i="2"/>
  <c r="D63" i="2" s="1"/>
  <c r="E63" i="2" s="1"/>
  <c r="F63" i="2" s="1"/>
  <c r="G63" i="2" s="1"/>
  <c r="I63" i="2" s="1"/>
  <c r="J63" i="2" s="1"/>
  <c r="C62" i="2"/>
  <c r="D43" i="5" s="1"/>
  <c r="C61" i="2"/>
  <c r="D42" i="5" s="1"/>
  <c r="C60" i="2"/>
  <c r="D41" i="5" s="1"/>
  <c r="C51" i="2"/>
  <c r="D32" i="5" s="1"/>
  <c r="C50" i="2"/>
  <c r="D35" i="5" s="1"/>
  <c r="C49" i="2"/>
  <c r="D34" i="5" s="1"/>
  <c r="C46" i="2"/>
  <c r="E46" i="2" s="1"/>
  <c r="F46" i="2" s="1"/>
  <c r="G46" i="2" s="1"/>
  <c r="I46" i="2" s="1"/>
  <c r="J46" i="2" s="1"/>
  <c r="C45" i="2"/>
  <c r="D29" i="5" s="1"/>
  <c r="C44" i="2"/>
  <c r="E44" i="2" s="1"/>
  <c r="F44" i="2" s="1"/>
  <c r="G44" i="2" s="1"/>
  <c r="I44" i="2" s="1"/>
  <c r="J44" i="2" s="1"/>
  <c r="C43" i="2"/>
  <c r="E43" i="2" s="1"/>
  <c r="F43" i="2" s="1"/>
  <c r="G43" i="2" s="1"/>
  <c r="I43" i="2" s="1"/>
  <c r="J43" i="2" s="1"/>
  <c r="C42" i="2"/>
  <c r="E42" i="2" s="1"/>
  <c r="F42" i="2" s="1"/>
  <c r="G42" i="2" s="1"/>
  <c r="I42" i="2" s="1"/>
  <c r="J42" i="2" s="1"/>
  <c r="C41" i="2"/>
  <c r="E41" i="2" s="1"/>
  <c r="F41" i="2" s="1"/>
  <c r="G41" i="2" s="1"/>
  <c r="I41" i="2" s="1"/>
  <c r="J41" i="2" s="1"/>
  <c r="C40" i="2"/>
  <c r="E40" i="2" s="1"/>
  <c r="F40" i="2" s="1"/>
  <c r="G40" i="2" s="1"/>
  <c r="I40" i="2" s="1"/>
  <c r="J40" i="2" s="1"/>
  <c r="C39" i="2"/>
  <c r="D25" i="5" s="1"/>
  <c r="C38" i="2"/>
  <c r="D24" i="5" s="1"/>
  <c r="C37" i="2"/>
  <c r="E37" i="2" s="1"/>
  <c r="F37" i="2" s="1"/>
  <c r="G37" i="2" s="1"/>
  <c r="I37" i="2" s="1"/>
  <c r="J37" i="2" s="1"/>
  <c r="C32" i="2"/>
  <c r="C31" i="2"/>
  <c r="E31" i="2" s="1"/>
  <c r="F31" i="2" s="1"/>
  <c r="G31" i="2" s="1"/>
  <c r="I31" i="2" s="1"/>
  <c r="J31" i="2" s="1"/>
  <c r="C30" i="2"/>
  <c r="E30" i="2" s="1"/>
  <c r="F30" i="2" s="1"/>
  <c r="G30" i="2" s="1"/>
  <c r="I30" i="2" s="1"/>
  <c r="J30" i="2" s="1"/>
  <c r="C29" i="2"/>
  <c r="E29" i="2" s="1"/>
  <c r="F29" i="2" s="1"/>
  <c r="G29" i="2" s="1"/>
  <c r="I29" i="2" s="1"/>
  <c r="J29" i="2" s="1"/>
  <c r="C28" i="2"/>
  <c r="E28" i="2" s="1"/>
  <c r="F28" i="2" s="1"/>
  <c r="G28" i="2" s="1"/>
  <c r="I28" i="2" s="1"/>
  <c r="J28" i="2" s="1"/>
  <c r="C27" i="2"/>
  <c r="E27" i="2" s="1"/>
  <c r="F27" i="2" s="1"/>
  <c r="G27" i="2" s="1"/>
  <c r="I27" i="2" s="1"/>
  <c r="J27" i="2" s="1"/>
  <c r="C26" i="2"/>
  <c r="E26" i="2" s="1"/>
  <c r="F26" i="2" s="1"/>
  <c r="G26" i="2" s="1"/>
  <c r="I26" i="2" s="1"/>
  <c r="J26" i="2" s="1"/>
  <c r="C25" i="2"/>
  <c r="E25" i="2" s="1"/>
  <c r="F25" i="2" s="1"/>
  <c r="G25" i="2" s="1"/>
  <c r="I25" i="2" s="1"/>
  <c r="J25" i="2" s="1"/>
  <c r="C24" i="2"/>
  <c r="E24" i="2" s="1"/>
  <c r="F24" i="2" s="1"/>
  <c r="G24" i="2" s="1"/>
  <c r="I24" i="2" s="1"/>
  <c r="J24" i="2" s="1"/>
  <c r="C23" i="2"/>
  <c r="E23" i="2" s="1"/>
  <c r="F23" i="2" s="1"/>
  <c r="G23" i="2" s="1"/>
  <c r="I23" i="2" s="1"/>
  <c r="J23" i="2" s="1"/>
  <c r="C22" i="2"/>
  <c r="E22" i="2" s="1"/>
  <c r="F22" i="2" s="1"/>
  <c r="G22" i="2" s="1"/>
  <c r="I22" i="2" s="1"/>
  <c r="J22" i="2" s="1"/>
  <c r="C21" i="2"/>
  <c r="E21" i="2" s="1"/>
  <c r="F21" i="2" s="1"/>
  <c r="G21" i="2" s="1"/>
  <c r="I21" i="2" s="1"/>
  <c r="J21" i="2" s="1"/>
  <c r="C19" i="2"/>
  <c r="E19" i="2" s="1"/>
  <c r="F19" i="2" s="1"/>
  <c r="G19" i="2" s="1"/>
  <c r="I19" i="2" s="1"/>
  <c r="J19" i="2" s="1"/>
  <c r="C18" i="2"/>
  <c r="E18" i="2" s="1"/>
  <c r="F18" i="2" s="1"/>
  <c r="G18" i="2" s="1"/>
  <c r="I18" i="2" s="1"/>
  <c r="J18" i="2" s="1"/>
  <c r="C17" i="2"/>
  <c r="E17" i="2" s="1"/>
  <c r="F17" i="2" s="1"/>
  <c r="G17" i="2" s="1"/>
  <c r="C16" i="2"/>
  <c r="E16" i="2" s="1"/>
  <c r="F16" i="2" s="1"/>
  <c r="G16" i="2" s="1"/>
  <c r="I16" i="2" s="1"/>
  <c r="J16" i="2" s="1"/>
  <c r="C15" i="2"/>
  <c r="E15" i="2" s="1"/>
  <c r="F15" i="2" s="1"/>
  <c r="G15" i="2" s="1"/>
  <c r="I15" i="2" s="1"/>
  <c r="J15" i="2" s="1"/>
  <c r="C14" i="2"/>
  <c r="C13" i="2"/>
  <c r="E13" i="2" s="1"/>
  <c r="F13" i="2" s="1"/>
  <c r="G13" i="2" s="1"/>
  <c r="I13" i="2" s="1"/>
  <c r="J13" i="2" s="1"/>
  <c r="C12" i="2"/>
  <c r="E12" i="2" s="1"/>
  <c r="F12" i="2" s="1"/>
  <c r="G12" i="2" s="1"/>
  <c r="I12" i="2" s="1"/>
  <c r="J12" i="2" s="1"/>
  <c r="C10" i="2"/>
  <c r="E10" i="2" s="1"/>
  <c r="F10" i="2" s="1"/>
  <c r="G10" i="2" s="1"/>
  <c r="I10" i="2" s="1"/>
  <c r="J10" i="2" s="1"/>
  <c r="C9" i="2"/>
  <c r="L126" i="2"/>
  <c r="M126" i="2" s="1"/>
  <c r="L125" i="2"/>
  <c r="M125" i="2" s="1"/>
  <c r="L113" i="2"/>
  <c r="M113" i="2" s="1"/>
  <c r="L112" i="2"/>
  <c r="M112" i="2" s="1"/>
  <c r="L111" i="2"/>
  <c r="M111" i="2" s="1"/>
  <c r="L110" i="2"/>
  <c r="L93" i="2"/>
  <c r="M93" i="2" s="1"/>
  <c r="L91" i="2"/>
  <c r="M91" i="2" s="1"/>
  <c r="L86" i="2"/>
  <c r="M86" i="2" s="1"/>
  <c r="L66" i="2"/>
  <c r="M66" i="2" s="1"/>
  <c r="L65" i="2"/>
  <c r="M65" i="2" s="1"/>
  <c r="L64" i="2"/>
  <c r="L63" i="2"/>
  <c r="L51" i="2"/>
  <c r="L50" i="2"/>
  <c r="L49" i="2"/>
  <c r="L40" i="2"/>
  <c r="M40" i="2" s="1"/>
  <c r="L23" i="2"/>
  <c r="M23" i="2" s="1"/>
  <c r="L21" i="2"/>
  <c r="M21" i="2" s="1"/>
  <c r="E9" i="2" l="1"/>
  <c r="F9" i="2" s="1"/>
  <c r="D65" i="5"/>
  <c r="D108" i="2"/>
  <c r="E108" i="2" s="1"/>
  <c r="F108" i="2" s="1"/>
  <c r="G108" i="2" s="1"/>
  <c r="I108" i="2" s="1"/>
  <c r="J108" i="2" s="1"/>
  <c r="M137" i="2"/>
  <c r="N137" i="2" s="1"/>
  <c r="O137" i="2" s="1"/>
  <c r="P137" i="2" s="1"/>
  <c r="I114" i="2"/>
  <c r="J114" i="2" s="1"/>
  <c r="G9" i="2"/>
  <c r="I9" i="2" s="1"/>
  <c r="J9" i="2" s="1"/>
  <c r="N40" i="2"/>
  <c r="O40" i="2" s="1"/>
  <c r="P40" i="2" s="1"/>
  <c r="Q40" i="2" s="1"/>
  <c r="N112" i="2"/>
  <c r="O112" i="2" s="1"/>
  <c r="P112" i="2" s="1"/>
  <c r="Q112" i="2" s="1"/>
  <c r="R112" i="2" s="1"/>
  <c r="N21" i="2"/>
  <c r="O21" i="2" s="1"/>
  <c r="P21" i="2" s="1"/>
  <c r="R21" i="2" s="1"/>
  <c r="S21" i="2" s="1"/>
  <c r="N66" i="2"/>
  <c r="O66" i="2" s="1"/>
  <c r="P66" i="2" s="1"/>
  <c r="Q66" i="2" s="1"/>
  <c r="N113" i="2"/>
  <c r="O113" i="2" s="1"/>
  <c r="P113" i="2" s="1"/>
  <c r="N125" i="2"/>
  <c r="O125" i="2" s="1"/>
  <c r="P125" i="2" s="1"/>
  <c r="R125" i="2" s="1"/>
  <c r="N65" i="2"/>
  <c r="O65" i="2" s="1"/>
  <c r="P65" i="2" s="1"/>
  <c r="N126" i="2"/>
  <c r="O126" i="2" s="1"/>
  <c r="P126" i="2" s="1"/>
  <c r="Q126" i="2" s="1"/>
  <c r="R126" i="2" s="1"/>
  <c r="N86" i="2"/>
  <c r="O86" i="2" s="1"/>
  <c r="P86" i="2" s="1"/>
  <c r="Q86" i="2" s="1"/>
  <c r="N91" i="2"/>
  <c r="O91" i="2" s="1"/>
  <c r="P91" i="2" s="1"/>
  <c r="Q91" i="2" s="1"/>
  <c r="R91" i="2" s="1"/>
  <c r="N23" i="2"/>
  <c r="O23" i="2" s="1"/>
  <c r="P23" i="2" s="1"/>
  <c r="Q23" i="2" s="1"/>
  <c r="N93" i="2"/>
  <c r="O93" i="2" s="1"/>
  <c r="P93" i="2" s="1"/>
  <c r="Q93" i="2" s="1"/>
  <c r="R93" i="2" s="1"/>
  <c r="E45" i="2"/>
  <c r="F45" i="2" s="1"/>
  <c r="G45" i="2" s="1"/>
  <c r="I45" i="2" s="1"/>
  <c r="J45" i="2" s="1"/>
  <c r="E38" i="2"/>
  <c r="F38" i="2" s="1"/>
  <c r="G38" i="2" s="1"/>
  <c r="I38" i="2" s="1"/>
  <c r="J38" i="2" s="1"/>
  <c r="E39" i="2"/>
  <c r="F39" i="2" s="1"/>
  <c r="G39" i="2" s="1"/>
  <c r="I39" i="2" s="1"/>
  <c r="J39" i="2" s="1"/>
  <c r="E32" i="2"/>
  <c r="F32" i="2" s="1"/>
  <c r="G32" i="2" s="1"/>
  <c r="E14" i="2"/>
  <c r="F14" i="2" s="1"/>
  <c r="G14" i="2" s="1"/>
  <c r="I14" i="2" s="1"/>
  <c r="J14" i="2" s="1"/>
  <c r="D75" i="5"/>
  <c r="D103" i="2"/>
  <c r="E103" i="2" s="1"/>
  <c r="F103" i="2" s="1"/>
  <c r="G103" i="2" s="1"/>
  <c r="I103" i="2" s="1"/>
  <c r="J103" i="2" s="1"/>
  <c r="M49" i="2"/>
  <c r="D72" i="5"/>
  <c r="D105" i="2"/>
  <c r="E105" i="2" s="1"/>
  <c r="F105" i="2" s="1"/>
  <c r="G105" i="2" s="1"/>
  <c r="I105" i="2" s="1"/>
  <c r="J105" i="2" s="1"/>
  <c r="D49" i="2"/>
  <c r="E49" i="2" s="1"/>
  <c r="F49" i="2" s="1"/>
  <c r="G49" i="2" s="1"/>
  <c r="I49" i="2" s="1"/>
  <c r="J49" i="2" s="1"/>
  <c r="D73" i="5"/>
  <c r="D106" i="2"/>
  <c r="E106" i="2" s="1"/>
  <c r="F106" i="2" s="1"/>
  <c r="G106" i="2" s="1"/>
  <c r="I106" i="2" s="1"/>
  <c r="J106" i="2" s="1"/>
  <c r="M50" i="2"/>
  <c r="M51" i="2"/>
  <c r="D50" i="2"/>
  <c r="E50" i="2" s="1"/>
  <c r="F50" i="2" s="1"/>
  <c r="G50" i="2" s="1"/>
  <c r="I50" i="2" s="1"/>
  <c r="J50" i="2" s="1"/>
  <c r="D64" i="5"/>
  <c r="D107" i="2"/>
  <c r="E107" i="2" s="1"/>
  <c r="F107" i="2" s="1"/>
  <c r="G107" i="2" s="1"/>
  <c r="I107" i="2" s="1"/>
  <c r="J107" i="2" s="1"/>
  <c r="D60" i="2"/>
  <c r="E60" i="2" s="1"/>
  <c r="F60" i="2" s="1"/>
  <c r="G60" i="2" s="1"/>
  <c r="D85" i="2"/>
  <c r="E85" i="2" s="1"/>
  <c r="F85" i="2" s="1"/>
  <c r="G85" i="2" s="1"/>
  <c r="I85" i="2" s="1"/>
  <c r="J85" i="2" s="1"/>
  <c r="D61" i="2"/>
  <c r="E61" i="2" s="1"/>
  <c r="F61" i="2" s="1"/>
  <c r="G61" i="2" s="1"/>
  <c r="I61" i="2" s="1"/>
  <c r="J61" i="2" s="1"/>
  <c r="M64" i="2"/>
  <c r="D62" i="2"/>
  <c r="E62" i="2" s="1"/>
  <c r="F62" i="2" s="1"/>
  <c r="G62" i="2" s="1"/>
  <c r="I62" i="2" s="1"/>
  <c r="J62" i="2" s="1"/>
  <c r="M63" i="2"/>
  <c r="D51" i="2"/>
  <c r="E51" i="2" s="1"/>
  <c r="F51" i="2" s="1"/>
  <c r="G51" i="2" s="1"/>
  <c r="I51" i="2" s="1"/>
  <c r="J51" i="2" s="1"/>
  <c r="D67" i="5"/>
  <c r="D89" i="2"/>
  <c r="E89" i="2" s="1"/>
  <c r="F89" i="2" s="1"/>
  <c r="G89" i="2" s="1"/>
  <c r="I89" i="2" s="1"/>
  <c r="J89" i="2" s="1"/>
  <c r="D74" i="5"/>
  <c r="D101" i="2"/>
  <c r="E101" i="2" s="1"/>
  <c r="F101" i="2" s="1"/>
  <c r="G101" i="2" s="1"/>
  <c r="I101" i="2" s="1"/>
  <c r="J101" i="2" s="1"/>
  <c r="M52" i="2"/>
  <c r="M54" i="2"/>
  <c r="G98" i="5"/>
  <c r="M136" i="2"/>
  <c r="N136" i="2" s="1"/>
  <c r="M33" i="2"/>
  <c r="C55" i="2"/>
  <c r="D39" i="5" s="1"/>
  <c r="C53" i="2"/>
  <c r="D37" i="5" s="1"/>
  <c r="O136" i="2" l="1"/>
  <c r="P136" i="2" s="1"/>
  <c r="E20" i="5"/>
  <c r="G20" i="5" s="1"/>
  <c r="H20" i="5" s="1"/>
  <c r="Q113" i="2"/>
  <c r="R113" i="2" s="1"/>
  <c r="Q65" i="2"/>
  <c r="R40" i="2"/>
  <c r="R23" i="2"/>
  <c r="S23" i="2" s="1"/>
  <c r="R66" i="2"/>
  <c r="R86" i="2"/>
  <c r="N64" i="2"/>
  <c r="O64" i="2" s="1"/>
  <c r="N51" i="2"/>
  <c r="O51" i="2" s="1"/>
  <c r="N33" i="2"/>
  <c r="O33" i="2" s="1"/>
  <c r="P33" i="2" s="1"/>
  <c r="R33" i="2" s="1"/>
  <c r="N63" i="2"/>
  <c r="O63" i="2" s="1"/>
  <c r="N49" i="2"/>
  <c r="O49" i="2" s="1"/>
  <c r="N50" i="2"/>
  <c r="O50" i="2" s="1"/>
  <c r="N54" i="2"/>
  <c r="O54" i="2" s="1"/>
  <c r="N52" i="2"/>
  <c r="O52" i="2" s="1"/>
  <c r="D55" i="2"/>
  <c r="E55" i="2" s="1"/>
  <c r="F55" i="2" s="1"/>
  <c r="G55" i="2" s="1"/>
  <c r="I55" i="2" s="1"/>
  <c r="J55" i="2" s="1"/>
  <c r="D53" i="2"/>
  <c r="E53" i="2" s="1"/>
  <c r="F53" i="2" s="1"/>
  <c r="G53" i="2" s="1"/>
  <c r="I53" i="2" s="1"/>
  <c r="J53" i="2" s="1"/>
  <c r="C140" i="2"/>
  <c r="D140" i="2" s="1"/>
  <c r="E140" i="2" s="1"/>
  <c r="F140" i="2" s="1"/>
  <c r="G140" i="2" s="1"/>
  <c r="I140" i="2" s="1"/>
  <c r="J140" i="2" s="1"/>
  <c r="C139" i="2"/>
  <c r="D139" i="2" s="1"/>
  <c r="E139" i="2" s="1"/>
  <c r="F139" i="2" s="1"/>
  <c r="G139" i="2" s="1"/>
  <c r="I139" i="2" s="1"/>
  <c r="J139" i="2" s="1"/>
  <c r="C138" i="2"/>
  <c r="E26" i="5" l="1"/>
  <c r="G26" i="5" s="1"/>
  <c r="S33" i="2"/>
  <c r="I20" i="5"/>
  <c r="M129" i="5"/>
  <c r="R65" i="2"/>
  <c r="P54" i="2"/>
  <c r="P50" i="2"/>
  <c r="Q50" i="2" s="1"/>
  <c r="P49" i="2"/>
  <c r="Q49" i="2" s="1"/>
  <c r="P64" i="2"/>
  <c r="R64" i="2" s="1"/>
  <c r="P63" i="2"/>
  <c r="R63" i="2" s="1"/>
  <c r="P52" i="2"/>
  <c r="P51" i="2"/>
  <c r="R51" i="2" s="1"/>
  <c r="D138" i="2"/>
  <c r="E138" i="2" s="1"/>
  <c r="F138" i="2" s="1"/>
  <c r="G138" i="2" s="1"/>
  <c r="I138" i="2" s="1"/>
  <c r="J138" i="2" s="1"/>
  <c r="L26" i="2"/>
  <c r="L13" i="2"/>
  <c r="M13" i="2" s="1"/>
  <c r="U13" i="2"/>
  <c r="L29" i="2"/>
  <c r="M29" i="2" s="1"/>
  <c r="U117" i="2"/>
  <c r="L117" i="2"/>
  <c r="M117" i="2" s="1"/>
  <c r="L124" i="2"/>
  <c r="M124" i="2" s="1"/>
  <c r="L123" i="2"/>
  <c r="L122" i="2"/>
  <c r="M122" i="2" s="1"/>
  <c r="L121" i="2"/>
  <c r="L120" i="2"/>
  <c r="M120" i="2" s="1"/>
  <c r="L119" i="2"/>
  <c r="L118" i="2"/>
  <c r="M118" i="2" s="1"/>
  <c r="L116" i="2"/>
  <c r="M116" i="2" s="1"/>
  <c r="L115" i="2"/>
  <c r="M115" i="2" s="1"/>
  <c r="L114" i="2"/>
  <c r="L109" i="2"/>
  <c r="M109" i="2" s="1"/>
  <c r="L108" i="2"/>
  <c r="L107" i="2"/>
  <c r="L106" i="2"/>
  <c r="L105" i="2"/>
  <c r="L104" i="2"/>
  <c r="M104" i="2" s="1"/>
  <c r="L103" i="2"/>
  <c r="L102" i="2"/>
  <c r="M102" i="2" s="1"/>
  <c r="L101" i="2"/>
  <c r="L100" i="2"/>
  <c r="M100" i="2" s="1"/>
  <c r="L99" i="2"/>
  <c r="M99" i="2" s="1"/>
  <c r="L98" i="2"/>
  <c r="M98" i="2" s="1"/>
  <c r="L97" i="2"/>
  <c r="M97" i="2" s="1"/>
  <c r="L96" i="2"/>
  <c r="M96" i="2" s="1"/>
  <c r="L95" i="2"/>
  <c r="M95" i="2" s="1"/>
  <c r="L94" i="2"/>
  <c r="M94" i="2" s="1"/>
  <c r="L92" i="2"/>
  <c r="L90" i="2"/>
  <c r="M90" i="2" s="1"/>
  <c r="L89" i="2"/>
  <c r="L88" i="2"/>
  <c r="M88" i="2" s="1"/>
  <c r="N88" i="2" s="1"/>
  <c r="O88" i="2" s="1"/>
  <c r="P88" i="2" s="1"/>
  <c r="R88" i="2" s="1"/>
  <c r="S88" i="2" s="1"/>
  <c r="L87" i="2"/>
  <c r="M87" i="2" s="1"/>
  <c r="L85" i="2"/>
  <c r="M85" i="2" s="1"/>
  <c r="L84" i="2"/>
  <c r="M84" i="2" s="1"/>
  <c r="L62" i="2"/>
  <c r="L61" i="2"/>
  <c r="L60" i="2"/>
  <c r="L55" i="2"/>
  <c r="L53" i="2"/>
  <c r="L46" i="2"/>
  <c r="M46" i="2" s="1"/>
  <c r="L45" i="2"/>
  <c r="M45" i="2" s="1"/>
  <c r="L44" i="2"/>
  <c r="M44" i="2" s="1"/>
  <c r="L43" i="2"/>
  <c r="M43" i="2" s="1"/>
  <c r="L41" i="2"/>
  <c r="M41" i="2" s="1"/>
  <c r="L38" i="2"/>
  <c r="M38" i="2" s="1"/>
  <c r="L37" i="2"/>
  <c r="M37" i="2" s="1"/>
  <c r="L32" i="2"/>
  <c r="M32" i="2" s="1"/>
  <c r="L31" i="2"/>
  <c r="M31" i="2" s="1"/>
  <c r="L36" i="2"/>
  <c r="L28" i="2"/>
  <c r="M28" i="2" s="1"/>
  <c r="L18" i="2"/>
  <c r="M18" i="2" s="1"/>
  <c r="L17" i="2"/>
  <c r="L39" i="2"/>
  <c r="M39" i="2" s="1"/>
  <c r="L20" i="2"/>
  <c r="M20" i="2" s="1"/>
  <c r="L19" i="2"/>
  <c r="M19" i="2" s="1"/>
  <c r="L16" i="2"/>
  <c r="M16" i="2" s="1"/>
  <c r="E44" i="5" l="1"/>
  <c r="G44" i="5" s="1"/>
  <c r="S64" i="2"/>
  <c r="E32" i="5"/>
  <c r="G32" i="5" s="1"/>
  <c r="S51" i="2"/>
  <c r="E46" i="5"/>
  <c r="G46" i="5" s="1"/>
  <c r="S63" i="2"/>
  <c r="J20" i="5"/>
  <c r="O129" i="5" s="1"/>
  <c r="Q81" i="2"/>
  <c r="R49" i="2"/>
  <c r="E34" i="5" s="1"/>
  <c r="G34" i="5" s="1"/>
  <c r="R50" i="2"/>
  <c r="E35" i="5" s="1"/>
  <c r="G35" i="5" s="1"/>
  <c r="L25" i="2"/>
  <c r="M25" i="2" s="1"/>
  <c r="N19" i="2"/>
  <c r="O19" i="2" s="1"/>
  <c r="P19" i="2" s="1"/>
  <c r="R19" i="2" s="1"/>
  <c r="N95" i="2"/>
  <c r="O95" i="2" s="1"/>
  <c r="P95" i="2" s="1"/>
  <c r="R95" i="2" s="1"/>
  <c r="S95" i="2" s="1"/>
  <c r="N98" i="2"/>
  <c r="O98" i="2" s="1"/>
  <c r="P98" i="2" s="1"/>
  <c r="R98" i="2" s="1"/>
  <c r="S98" i="2" s="1"/>
  <c r="N20" i="2"/>
  <c r="O20" i="2" s="1"/>
  <c r="P20" i="2" s="1"/>
  <c r="R20" i="2" s="1"/>
  <c r="N87" i="2"/>
  <c r="O87" i="2" s="1"/>
  <c r="N29" i="2"/>
  <c r="O29" i="2" s="1"/>
  <c r="P29" i="2" s="1"/>
  <c r="R29" i="2" s="1"/>
  <c r="S29" i="2" s="1"/>
  <c r="N96" i="2"/>
  <c r="O96" i="2" s="1"/>
  <c r="P96" i="2" s="1"/>
  <c r="R96" i="2" s="1"/>
  <c r="S96" i="2" s="1"/>
  <c r="N115" i="2"/>
  <c r="O115" i="2" s="1"/>
  <c r="P115" i="2" s="1"/>
  <c r="R115" i="2" s="1"/>
  <c r="S115" i="2" s="1"/>
  <c r="N32" i="2"/>
  <c r="O32" i="2" s="1"/>
  <c r="P32" i="2" s="1"/>
  <c r="N37" i="2"/>
  <c r="O37" i="2" s="1"/>
  <c r="P37" i="2" s="1"/>
  <c r="R37" i="2" s="1"/>
  <c r="N16" i="2"/>
  <c r="O16" i="2" s="1"/>
  <c r="P16" i="2" s="1"/>
  <c r="R16" i="2" s="1"/>
  <c r="S16" i="2" s="1"/>
  <c r="N99" i="2"/>
  <c r="O99" i="2" s="1"/>
  <c r="P99" i="2" s="1"/>
  <c r="R99" i="2" s="1"/>
  <c r="S99" i="2" s="1"/>
  <c r="N100" i="2"/>
  <c r="O100" i="2" s="1"/>
  <c r="P100" i="2" s="1"/>
  <c r="R100" i="2" s="1"/>
  <c r="S100" i="2" s="1"/>
  <c r="N44" i="2"/>
  <c r="O44" i="2" s="1"/>
  <c r="N118" i="2"/>
  <c r="O118" i="2" s="1"/>
  <c r="P118" i="2" s="1"/>
  <c r="R118" i="2" s="1"/>
  <c r="S118" i="2" s="1"/>
  <c r="N94" i="2"/>
  <c r="O94" i="2" s="1"/>
  <c r="P94" i="2" s="1"/>
  <c r="R94" i="2" s="1"/>
  <c r="S94" i="2" s="1"/>
  <c r="N124" i="2"/>
  <c r="O124" i="2" s="1"/>
  <c r="P124" i="2" s="1"/>
  <c r="R124" i="2" s="1"/>
  <c r="S124" i="2" s="1"/>
  <c r="N109" i="2"/>
  <c r="O109" i="2" s="1"/>
  <c r="P109" i="2" s="1"/>
  <c r="R109" i="2" s="1"/>
  <c r="S109" i="2" s="1"/>
  <c r="N41" i="2"/>
  <c r="O41" i="2" s="1"/>
  <c r="P41" i="2" s="1"/>
  <c r="R41" i="2" s="1"/>
  <c r="S41" i="2" s="1"/>
  <c r="N43" i="2"/>
  <c r="O43" i="2" s="1"/>
  <c r="P43" i="2" s="1"/>
  <c r="R43" i="2" s="1"/>
  <c r="S43" i="2" s="1"/>
  <c r="N116" i="2"/>
  <c r="O116" i="2" s="1"/>
  <c r="P116" i="2" s="1"/>
  <c r="R116" i="2" s="1"/>
  <c r="S116" i="2" s="1"/>
  <c r="N18" i="2"/>
  <c r="O18" i="2" s="1"/>
  <c r="P18" i="2" s="1"/>
  <c r="R18" i="2" s="1"/>
  <c r="S18" i="2" s="1"/>
  <c r="N90" i="2"/>
  <c r="O90" i="2" s="1"/>
  <c r="P90" i="2" s="1"/>
  <c r="R90" i="2" s="1"/>
  <c r="S90" i="2" s="1"/>
  <c r="N104" i="2"/>
  <c r="O104" i="2" s="1"/>
  <c r="P104" i="2" s="1"/>
  <c r="R104" i="2" s="1"/>
  <c r="S104" i="2" s="1"/>
  <c r="N31" i="2"/>
  <c r="O31" i="2" s="1"/>
  <c r="P31" i="2" s="1"/>
  <c r="R31" i="2" s="1"/>
  <c r="S31" i="2" s="1"/>
  <c r="N117" i="2"/>
  <c r="O117" i="2" s="1"/>
  <c r="P117" i="2" s="1"/>
  <c r="R117" i="2" s="1"/>
  <c r="S117" i="2" s="1"/>
  <c r="N97" i="2"/>
  <c r="O97" i="2" s="1"/>
  <c r="P97" i="2" s="1"/>
  <c r="R97" i="2" s="1"/>
  <c r="S97" i="2" s="1"/>
  <c r="N38" i="2"/>
  <c r="O38" i="2" s="1"/>
  <c r="N84" i="2"/>
  <c r="O84" i="2" s="1"/>
  <c r="N85" i="2"/>
  <c r="O85" i="2" s="1"/>
  <c r="N39" i="2"/>
  <c r="O39" i="2" s="1"/>
  <c r="N45" i="2"/>
  <c r="O45" i="2" s="1"/>
  <c r="N102" i="2"/>
  <c r="O102" i="2" s="1"/>
  <c r="P102" i="2" s="1"/>
  <c r="R102" i="2" s="1"/>
  <c r="S102" i="2" s="1"/>
  <c r="N46" i="2"/>
  <c r="O46" i="2" s="1"/>
  <c r="P46" i="2" s="1"/>
  <c r="R46" i="2" s="1"/>
  <c r="S46" i="2" s="1"/>
  <c r="N120" i="2"/>
  <c r="O120" i="2" s="1"/>
  <c r="P120" i="2" s="1"/>
  <c r="R120" i="2" s="1"/>
  <c r="S120" i="2" s="1"/>
  <c r="N28" i="2"/>
  <c r="O28" i="2" s="1"/>
  <c r="P28" i="2" s="1"/>
  <c r="R28" i="2" s="1"/>
  <c r="N122" i="2"/>
  <c r="O122" i="2" s="1"/>
  <c r="P122" i="2" s="1"/>
  <c r="R122" i="2" s="1"/>
  <c r="S122" i="2" s="1"/>
  <c r="N13" i="2"/>
  <c r="O13" i="2" s="1"/>
  <c r="P13" i="2" s="1"/>
  <c r="R13" i="2" s="1"/>
  <c r="M26" i="2"/>
  <c r="M17" i="2"/>
  <c r="M62" i="2"/>
  <c r="M92" i="2"/>
  <c r="M123" i="2"/>
  <c r="M105" i="2"/>
  <c r="M106" i="2"/>
  <c r="M107" i="2"/>
  <c r="M114" i="2"/>
  <c r="M119" i="2"/>
  <c r="M55" i="2"/>
  <c r="M61" i="2"/>
  <c r="M101" i="2"/>
  <c r="M89" i="2"/>
  <c r="N89" i="2" s="1"/>
  <c r="O89" i="2" s="1"/>
  <c r="P89" i="2" s="1"/>
  <c r="R89" i="2" s="1"/>
  <c r="S89" i="2" s="1"/>
  <c r="M103" i="2"/>
  <c r="M60" i="2"/>
  <c r="M53" i="2"/>
  <c r="M121" i="2"/>
  <c r="L15" i="2"/>
  <c r="M15" i="2" s="1"/>
  <c r="L30" i="2"/>
  <c r="M30" i="2" s="1"/>
  <c r="M36" i="2"/>
  <c r="E19" i="5" l="1"/>
  <c r="G19" i="5" s="1"/>
  <c r="H19" i="5" s="1"/>
  <c r="I19" i="5" s="1"/>
  <c r="J19" i="5" s="1"/>
  <c r="S20" i="2"/>
  <c r="E22" i="5"/>
  <c r="G22" i="5" s="1"/>
  <c r="H22" i="5" s="1"/>
  <c r="I22" i="5" s="1"/>
  <c r="S28" i="2"/>
  <c r="E18" i="5"/>
  <c r="G18" i="5" s="1"/>
  <c r="S13" i="2"/>
  <c r="E17" i="5"/>
  <c r="G17" i="5" s="1"/>
  <c r="S19" i="2"/>
  <c r="E67" i="5"/>
  <c r="G67" i="5" s="1"/>
  <c r="E14" i="5"/>
  <c r="G14" i="5" s="1"/>
  <c r="P87" i="2"/>
  <c r="R87" i="2" s="1"/>
  <c r="S87" i="2" s="1"/>
  <c r="P85" i="2"/>
  <c r="R85" i="2" s="1"/>
  <c r="S85" i="2" s="1"/>
  <c r="P84" i="2"/>
  <c r="P45" i="2"/>
  <c r="R45" i="2" s="1"/>
  <c r="S45" i="2" s="1"/>
  <c r="P39" i="2"/>
  <c r="R39" i="2" s="1"/>
  <c r="P38" i="2"/>
  <c r="P44" i="2"/>
  <c r="R44" i="2" s="1"/>
  <c r="N114" i="2"/>
  <c r="O114" i="2" s="1"/>
  <c r="N107" i="2"/>
  <c r="O107" i="2" s="1"/>
  <c r="N101" i="2"/>
  <c r="O101" i="2" s="1"/>
  <c r="N106" i="2"/>
  <c r="O106" i="2" s="1"/>
  <c r="N62" i="2"/>
  <c r="O62" i="2" s="1"/>
  <c r="N121" i="2"/>
  <c r="O121" i="2" s="1"/>
  <c r="N36" i="2"/>
  <c r="O36" i="2" s="1"/>
  <c r="P36" i="2" s="1"/>
  <c r="R36" i="2" s="1"/>
  <c r="N61" i="2"/>
  <c r="O61" i="2" s="1"/>
  <c r="N105" i="2"/>
  <c r="O105" i="2" s="1"/>
  <c r="N30" i="2"/>
  <c r="O30" i="2" s="1"/>
  <c r="P30" i="2" s="1"/>
  <c r="R30" i="2" s="1"/>
  <c r="N53" i="2"/>
  <c r="O53" i="2" s="1"/>
  <c r="N15" i="2"/>
  <c r="O15" i="2" s="1"/>
  <c r="P15" i="2" s="1"/>
  <c r="R15" i="2" s="1"/>
  <c r="S15" i="2" s="1"/>
  <c r="N55" i="2"/>
  <c r="O55" i="2" s="1"/>
  <c r="N123" i="2"/>
  <c r="O123" i="2" s="1"/>
  <c r="N26" i="2"/>
  <c r="O26" i="2" s="1"/>
  <c r="P26" i="2" s="1"/>
  <c r="R26" i="2" s="1"/>
  <c r="N25" i="2"/>
  <c r="O25" i="2" s="1"/>
  <c r="P25" i="2" s="1"/>
  <c r="R25" i="2" s="1"/>
  <c r="S25" i="2" s="1"/>
  <c r="N60" i="2"/>
  <c r="O60" i="2" s="1"/>
  <c r="N119" i="2"/>
  <c r="O119" i="2" s="1"/>
  <c r="N92" i="2"/>
  <c r="O92" i="2" s="1"/>
  <c r="N103" i="2"/>
  <c r="O103" i="2" s="1"/>
  <c r="M133" i="2"/>
  <c r="U70" i="2"/>
  <c r="U68" i="2"/>
  <c r="L42" i="2"/>
  <c r="M42" i="2" s="1"/>
  <c r="M126" i="5" l="1"/>
  <c r="N126" i="5" s="1"/>
  <c r="O126" i="5" s="1"/>
  <c r="S26" i="2"/>
  <c r="E23" i="5"/>
  <c r="G23" i="5" s="1"/>
  <c r="H23" i="5" s="1"/>
  <c r="M125" i="5" s="1"/>
  <c r="S30" i="2"/>
  <c r="E28" i="5"/>
  <c r="G28" i="5" s="1"/>
  <c r="H28" i="5" s="1"/>
  <c r="I28" i="5" s="1"/>
  <c r="J28" i="5" s="1"/>
  <c r="S44" i="2"/>
  <c r="M128" i="5"/>
  <c r="E25" i="5"/>
  <c r="G25" i="5" s="1"/>
  <c r="S39" i="2"/>
  <c r="J22" i="5"/>
  <c r="O128" i="5" s="1"/>
  <c r="N128" i="5"/>
  <c r="I23" i="5"/>
  <c r="E29" i="5"/>
  <c r="G29" i="5" s="1"/>
  <c r="H29" i="5" s="1"/>
  <c r="I29" i="5" s="1"/>
  <c r="J29" i="5" s="1"/>
  <c r="E63" i="5"/>
  <c r="G63" i="5" s="1"/>
  <c r="R84" i="2"/>
  <c r="S84" i="2" s="1"/>
  <c r="P103" i="2"/>
  <c r="R103" i="2" s="1"/>
  <c r="S103" i="2" s="1"/>
  <c r="P92" i="2"/>
  <c r="P105" i="2"/>
  <c r="R105" i="2" s="1"/>
  <c r="S105" i="2" s="1"/>
  <c r="P119" i="2"/>
  <c r="R119" i="2" s="1"/>
  <c r="S119" i="2" s="1"/>
  <c r="P121" i="2"/>
  <c r="R121" i="2" s="1"/>
  <c r="S121" i="2" s="1"/>
  <c r="P123" i="2"/>
  <c r="R123" i="2" s="1"/>
  <c r="S123" i="2" s="1"/>
  <c r="P106" i="2"/>
  <c r="R106" i="2" s="1"/>
  <c r="S106" i="2" s="1"/>
  <c r="P107" i="2"/>
  <c r="R107" i="2" s="1"/>
  <c r="S107" i="2" s="1"/>
  <c r="P114" i="2"/>
  <c r="R114" i="2" s="1"/>
  <c r="S114" i="2" s="1"/>
  <c r="P101" i="2"/>
  <c r="R101" i="2" s="1"/>
  <c r="S101" i="2" s="1"/>
  <c r="P53" i="2"/>
  <c r="P61" i="2"/>
  <c r="R61" i="2" s="1"/>
  <c r="P55" i="2"/>
  <c r="R55" i="2" s="1"/>
  <c r="P60" i="2"/>
  <c r="P62" i="2"/>
  <c r="R62" i="2" s="1"/>
  <c r="O133" i="2"/>
  <c r="N42" i="2"/>
  <c r="O42" i="2" s="1"/>
  <c r="P42" i="2" s="1"/>
  <c r="R42" i="2" s="1"/>
  <c r="S42" i="2" s="1"/>
  <c r="L9" i="2"/>
  <c r="M9" i="2" s="1"/>
  <c r="L10" i="2"/>
  <c r="M10" i="2" s="1"/>
  <c r="L68" i="2"/>
  <c r="L67" i="2"/>
  <c r="L70" i="2"/>
  <c r="L69" i="2"/>
  <c r="L14" i="2"/>
  <c r="M14" i="2" s="1"/>
  <c r="E42" i="5" l="1"/>
  <c r="G42" i="5" s="1"/>
  <c r="H42" i="5" s="1"/>
  <c r="S61" i="2"/>
  <c r="E43" i="5"/>
  <c r="G43" i="5" s="1"/>
  <c r="S62" i="2"/>
  <c r="E39" i="5"/>
  <c r="G39" i="5" s="1"/>
  <c r="H39" i="5" s="1"/>
  <c r="I39" i="5" s="1"/>
  <c r="J39" i="5" s="1"/>
  <c r="S55" i="2"/>
  <c r="J23" i="5"/>
  <c r="N125" i="5"/>
  <c r="O125" i="5" s="1"/>
  <c r="E64" i="5"/>
  <c r="G64" i="5" s="1"/>
  <c r="E72" i="5"/>
  <c r="G72" i="5" s="1"/>
  <c r="E75" i="5"/>
  <c r="G75" i="5" s="1"/>
  <c r="E74" i="5"/>
  <c r="G74" i="5" s="1"/>
  <c r="E73" i="5"/>
  <c r="G73" i="5" s="1"/>
  <c r="E78" i="5"/>
  <c r="G78" i="5" s="1"/>
  <c r="H78" i="5" s="1"/>
  <c r="E77" i="5"/>
  <c r="G77" i="5" s="1"/>
  <c r="E61" i="5"/>
  <c r="E62" i="5"/>
  <c r="G62" i="5" s="1"/>
  <c r="E76" i="5"/>
  <c r="G76" i="5" s="1"/>
  <c r="P133" i="2"/>
  <c r="R60" i="2"/>
  <c r="E41" i="5" s="1"/>
  <c r="G41" i="5" s="1"/>
  <c r="N10" i="2"/>
  <c r="N9" i="2"/>
  <c r="N14" i="2"/>
  <c r="O14" i="2" s="1"/>
  <c r="P14" i="2" s="1"/>
  <c r="M69" i="2"/>
  <c r="M70" i="2"/>
  <c r="M67" i="2"/>
  <c r="M68" i="2"/>
  <c r="L11" i="2"/>
  <c r="M11" i="2" s="1"/>
  <c r="G61" i="5" l="1"/>
  <c r="L12" i="2"/>
  <c r="M12" i="2" s="1"/>
  <c r="N12" i="2" s="1"/>
  <c r="O12" i="2" s="1"/>
  <c r="P12" i="2" s="1"/>
  <c r="R12" i="2" s="1"/>
  <c r="S12" i="2" s="1"/>
  <c r="L22" i="2"/>
  <c r="M22" i="2" s="1"/>
  <c r="N22" i="2" s="1"/>
  <c r="O22" i="2" s="1"/>
  <c r="P22" i="2" s="1"/>
  <c r="R22" i="2" s="1"/>
  <c r="S22" i="2" s="1"/>
  <c r="O10" i="2"/>
  <c r="P10" i="2" s="1"/>
  <c r="R10" i="2" s="1"/>
  <c r="S10" i="2" s="1"/>
  <c r="R14" i="2"/>
  <c r="S14" i="2" s="1"/>
  <c r="O9" i="2"/>
  <c r="N70" i="2"/>
  <c r="O70" i="2" s="1"/>
  <c r="N69" i="2"/>
  <c r="O69" i="2" s="1"/>
  <c r="N11" i="2"/>
  <c r="O11" i="2" s="1"/>
  <c r="P11" i="2" s="1"/>
  <c r="M139" i="2"/>
  <c r="N139" i="2" s="1"/>
  <c r="O139" i="2" s="1"/>
  <c r="L133" i="2"/>
  <c r="U24" i="2"/>
  <c r="M140" i="2"/>
  <c r="U106" i="2"/>
  <c r="P139" i="2" l="1"/>
  <c r="E21" i="5"/>
  <c r="G21" i="5" s="1"/>
  <c r="H21" i="5" s="1"/>
  <c r="M127" i="5" s="1"/>
  <c r="E11" i="5"/>
  <c r="G11" i="5" s="1"/>
  <c r="E13" i="5"/>
  <c r="G13" i="5" s="1"/>
  <c r="E12" i="5"/>
  <c r="K141" i="2"/>
  <c r="M138" i="2"/>
  <c r="L141" i="2"/>
  <c r="P69" i="2"/>
  <c r="R69" i="2" s="1"/>
  <c r="P70" i="2"/>
  <c r="P9" i="2"/>
  <c r="L24" i="2"/>
  <c r="M24" i="2" s="1"/>
  <c r="K133" i="2"/>
  <c r="K81" i="2"/>
  <c r="I21" i="5" l="1"/>
  <c r="M141" i="2"/>
  <c r="N138" i="2"/>
  <c r="G12" i="5"/>
  <c r="AB27" i="19"/>
  <c r="R9" i="2"/>
  <c r="S9" i="2" s="1"/>
  <c r="N27" i="2"/>
  <c r="M81" i="2"/>
  <c r="K143" i="2"/>
  <c r="K145" i="2" s="1"/>
  <c r="L81" i="2"/>
  <c r="L143" i="2" s="1"/>
  <c r="L145" i="2" s="1"/>
  <c r="J21" i="5" l="1"/>
  <c r="O127" i="5" s="1"/>
  <c r="N127" i="5"/>
  <c r="O138" i="2"/>
  <c r="N141" i="2"/>
  <c r="E10" i="5"/>
  <c r="G10" i="5" s="1"/>
  <c r="O27" i="2"/>
  <c r="P27" i="2" s="1"/>
  <c r="N81" i="2"/>
  <c r="M143" i="2"/>
  <c r="M145" i="2" s="1"/>
  <c r="L6" i="2"/>
  <c r="K6" i="2"/>
  <c r="P138" i="2" l="1"/>
  <c r="O141" i="2"/>
  <c r="R27" i="2"/>
  <c r="S27" i="2" s="1"/>
  <c r="S81" i="2" s="1"/>
  <c r="O81" i="2"/>
  <c r="P81" i="2"/>
  <c r="G113" i="20"/>
  <c r="F113" i="20"/>
  <c r="G107" i="20"/>
  <c r="F107" i="20"/>
  <c r="G101" i="20"/>
  <c r="F101" i="20"/>
  <c r="R138" i="2" l="1"/>
  <c r="P141" i="2"/>
  <c r="P143" i="2" s="1"/>
  <c r="P145" i="2" s="1"/>
  <c r="E99" i="5" l="1"/>
  <c r="S138" i="2"/>
  <c r="S141" i="2" s="1"/>
  <c r="G99" i="5"/>
  <c r="H99" i="5" s="1"/>
  <c r="R141" i="2"/>
  <c r="C4" i="23"/>
  <c r="F11" i="23" s="1"/>
  <c r="C5" i="23"/>
  <c r="C6" i="23"/>
  <c r="C7" i="23"/>
  <c r="C9" i="23"/>
  <c r="C10" i="23"/>
  <c r="C11" i="23"/>
  <c r="O28" i="30" l="1"/>
  <c r="E28" i="30"/>
  <c r="E23" i="30"/>
  <c r="C17" i="30"/>
  <c r="S11" i="30" s="1"/>
  <c r="C16" i="30"/>
  <c r="Q11" i="30" s="1"/>
  <c r="Q10" i="30" s="1"/>
  <c r="C15" i="30"/>
  <c r="R11" i="30" s="1"/>
  <c r="C14" i="30"/>
  <c r="N11" i="30" s="1"/>
  <c r="C13" i="30"/>
  <c r="K11" i="30" s="1"/>
  <c r="C12" i="30"/>
  <c r="M11" i="30" s="1"/>
  <c r="C11" i="30"/>
  <c r="P11" i="30" s="1"/>
  <c r="P10" i="30" s="1"/>
  <c r="C10" i="30"/>
  <c r="I11" i="30" s="1"/>
  <c r="I10" i="30" s="1"/>
  <c r="C9" i="30"/>
  <c r="H11" i="30" s="1"/>
  <c r="C8" i="30"/>
  <c r="L11" i="30" s="1"/>
  <c r="C7" i="30"/>
  <c r="O11" i="30" s="1"/>
  <c r="C6" i="30"/>
  <c r="G11" i="30" s="1"/>
  <c r="C5" i="30"/>
  <c r="J11" i="30" s="1"/>
  <c r="C4" i="30"/>
  <c r="K10" i="30" l="1"/>
  <c r="R10" i="30"/>
  <c r="C18" i="30"/>
  <c r="M10" i="30"/>
  <c r="N10" i="30"/>
  <c r="G10" i="30"/>
  <c r="O10" i="30"/>
  <c r="S21" i="30"/>
  <c r="M20" i="30"/>
  <c r="Q20" i="30"/>
  <c r="L20" i="30"/>
  <c r="I21" i="30"/>
  <c r="S20" i="30"/>
  <c r="L21" i="30"/>
  <c r="M21" i="30"/>
  <c r="I20" i="30"/>
  <c r="Q21" i="30"/>
  <c r="L10" i="30"/>
  <c r="H10" i="30"/>
  <c r="J10" i="30"/>
  <c r="F11" i="30"/>
  <c r="G20" i="30"/>
  <c r="O20" i="30"/>
  <c r="G21" i="30"/>
  <c r="O21" i="30"/>
  <c r="W25" i="30" s="1"/>
  <c r="N20" i="30"/>
  <c r="N21" i="30"/>
  <c r="H20" i="30"/>
  <c r="P20" i="30"/>
  <c r="H21" i="30"/>
  <c r="P21" i="30"/>
  <c r="J20" i="30"/>
  <c r="R20" i="30"/>
  <c r="J21" i="30"/>
  <c r="R21" i="30"/>
  <c r="K20" i="30"/>
  <c r="K21" i="30"/>
  <c r="W24" i="30" l="1"/>
  <c r="T21" i="30"/>
  <c r="U21" i="30" s="1"/>
  <c r="G30" i="30" s="1"/>
  <c r="T11" i="30"/>
  <c r="Q30" i="30" s="1"/>
  <c r="F10" i="30"/>
  <c r="R30" i="30" l="1"/>
  <c r="H30" i="30"/>
  <c r="AB41" i="29"/>
  <c r="AB39" i="29"/>
  <c r="AB38" i="29"/>
  <c r="C31" i="29"/>
  <c r="D28" i="29"/>
  <c r="D27" i="29"/>
  <c r="D26" i="29"/>
  <c r="D25" i="29"/>
  <c r="D24" i="29"/>
  <c r="D23" i="29"/>
  <c r="D34" i="29" l="1"/>
  <c r="D108" i="17" s="1"/>
  <c r="G7" i="29"/>
  <c r="AB37" i="29"/>
  <c r="AA37" i="29"/>
  <c r="E10" i="29" s="1"/>
  <c r="G10" i="29" s="1"/>
  <c r="D35" i="29"/>
  <c r="D109" i="17" s="1"/>
  <c r="C35" i="29"/>
  <c r="D22" i="29"/>
  <c r="AB34" i="29"/>
  <c r="AA34" i="29"/>
  <c r="D33" i="29"/>
  <c r="D107" i="17" s="1"/>
  <c r="C34" i="29"/>
  <c r="AB35" i="29"/>
  <c r="E8" i="29" s="1"/>
  <c r="G8" i="29" s="1"/>
  <c r="AA35" i="29"/>
  <c r="H14" i="29"/>
  <c r="F34" i="29"/>
  <c r="E108" i="17" s="1"/>
  <c r="F33" i="29"/>
  <c r="E107" i="17" s="1"/>
  <c r="F35" i="29"/>
  <c r="E109" i="17" s="1"/>
  <c r="AB36" i="29"/>
  <c r="AA36" i="29"/>
  <c r="AA39" i="29"/>
  <c r="E12" i="29" s="1"/>
  <c r="G12" i="29" s="1"/>
  <c r="C33" i="29"/>
  <c r="AA38" i="29"/>
  <c r="E11" i="29" s="1"/>
  <c r="G11" i="29" s="1"/>
  <c r="AA41" i="29"/>
  <c r="E14" i="29" s="1"/>
  <c r="G14" i="29" s="1"/>
  <c r="E9" i="29" l="1"/>
  <c r="G9" i="29" s="1"/>
  <c r="G15" i="29" s="1"/>
  <c r="D102" i="17"/>
  <c r="D96" i="17"/>
  <c r="D101" i="17"/>
  <c r="D95" i="17"/>
  <c r="D103" i="17"/>
  <c r="D97" i="17"/>
  <c r="E34" i="29"/>
  <c r="E33" i="29"/>
  <c r="E35" i="29"/>
  <c r="E28" i="29"/>
  <c r="I14" i="29"/>
  <c r="E97" i="17" l="1"/>
  <c r="E103" i="17"/>
  <c r="E95" i="17"/>
  <c r="E101" i="17"/>
  <c r="E96" i="17"/>
  <c r="E102" i="17"/>
  <c r="AJ32" i="26" l="1"/>
  <c r="AK32" i="26"/>
  <c r="AC32" i="26"/>
  <c r="AB32" i="26"/>
  <c r="AJ31" i="26"/>
  <c r="P37" i="26" l="1"/>
  <c r="P38" i="26" s="1"/>
  <c r="S37" i="26" l="1"/>
  <c r="S38" i="26" s="1"/>
  <c r="R37" i="26"/>
  <c r="R38" i="26" s="1"/>
  <c r="Q37" i="26"/>
  <c r="Q38" i="26" s="1"/>
  <c r="O37" i="26"/>
  <c r="O38" i="26" s="1"/>
  <c r="N37" i="26"/>
  <c r="N38" i="26" s="1"/>
  <c r="M37" i="26"/>
  <c r="M38" i="26" s="1"/>
  <c r="L37" i="26"/>
  <c r="L38" i="26" s="1"/>
  <c r="K37" i="26"/>
  <c r="K38" i="26" s="1"/>
  <c r="J37" i="26"/>
  <c r="J38" i="26" s="1"/>
  <c r="I37" i="26"/>
  <c r="I38" i="26" s="1"/>
  <c r="G37" i="26"/>
  <c r="G38" i="26" s="1"/>
  <c r="AK31" i="26"/>
  <c r="AM30" i="26" s="1"/>
  <c r="AK40" i="26"/>
  <c r="AJ40" i="26"/>
  <c r="AK39" i="26"/>
  <c r="AJ39" i="26"/>
  <c r="AK38" i="26"/>
  <c r="AJ38" i="26"/>
  <c r="AK37" i="26"/>
  <c r="AJ37" i="26"/>
  <c r="AK36" i="26"/>
  <c r="AJ36" i="26"/>
  <c r="AK35" i="26"/>
  <c r="AJ35" i="26"/>
  <c r="AK34" i="26"/>
  <c r="AJ34" i="26"/>
  <c r="AK33" i="26"/>
  <c r="AJ33" i="26"/>
  <c r="AK30" i="26"/>
  <c r="AJ30" i="26"/>
  <c r="O56" i="26" l="1"/>
  <c r="K56" i="26"/>
  <c r="G56" i="26"/>
  <c r="J12" i="5" l="1"/>
  <c r="O134" i="5" s="1"/>
  <c r="D35" i="27" l="1"/>
  <c r="C35" i="27"/>
  <c r="E4" i="27"/>
  <c r="AB41" i="27"/>
  <c r="AA41" i="27"/>
  <c r="AB35" i="27"/>
  <c r="AB36" i="27"/>
  <c r="AB37" i="27"/>
  <c r="AB38" i="27"/>
  <c r="AB39" i="27"/>
  <c r="AA35" i="27"/>
  <c r="AA36" i="27"/>
  <c r="AA37" i="27"/>
  <c r="AA38" i="27"/>
  <c r="AA39" i="27"/>
  <c r="E14" i="27" l="1"/>
  <c r="D116" i="20"/>
  <c r="D34" i="27"/>
  <c r="D110" i="20"/>
  <c r="D104" i="20"/>
  <c r="D33" i="27"/>
  <c r="C33" i="27"/>
  <c r="C34" i="27"/>
  <c r="E12" i="27"/>
  <c r="D27" i="27"/>
  <c r="AN30" i="26"/>
  <c r="D115" i="20" l="1"/>
  <c r="D114" i="20"/>
  <c r="D109" i="20"/>
  <c r="D103" i="20"/>
  <c r="D102" i="20"/>
  <c r="D108" i="20"/>
  <c r="G14" i="27"/>
  <c r="D28" i="27"/>
  <c r="H37" i="26"/>
  <c r="H38" i="26" s="1"/>
  <c r="O53" i="26"/>
  <c r="O54" i="26" s="1"/>
  <c r="K53" i="26"/>
  <c r="K54" i="26" s="1"/>
  <c r="G54" i="26"/>
  <c r="G53" i="26"/>
  <c r="F27" i="26" l="1"/>
  <c r="P27" i="26" s="1"/>
  <c r="G19" i="26"/>
  <c r="S6" i="26"/>
  <c r="R6" i="26"/>
  <c r="Q6" i="26"/>
  <c r="P6" i="26"/>
  <c r="O6" i="26"/>
  <c r="N6" i="26"/>
  <c r="M6" i="26"/>
  <c r="L6" i="26"/>
  <c r="K6" i="26"/>
  <c r="J6" i="26"/>
  <c r="I6" i="26"/>
  <c r="G6" i="26"/>
  <c r="H14" i="27"/>
  <c r="D22" i="27"/>
  <c r="D23" i="27"/>
  <c r="D24" i="27"/>
  <c r="D25" i="27"/>
  <c r="D26" i="27"/>
  <c r="C31" i="27"/>
  <c r="G31" i="27"/>
  <c r="I31" i="27"/>
  <c r="H41" i="26"/>
  <c r="I41" i="26"/>
  <c r="J41" i="26"/>
  <c r="J19" i="26" s="1"/>
  <c r="K41" i="26"/>
  <c r="L41" i="26"/>
  <c r="M41" i="26"/>
  <c r="N41" i="26"/>
  <c r="O41" i="26"/>
  <c r="P41" i="26"/>
  <c r="Q41" i="26"/>
  <c r="R41" i="26"/>
  <c r="T41" i="26"/>
  <c r="H42" i="26"/>
  <c r="H44" i="26" s="1"/>
  <c r="I42" i="26"/>
  <c r="I44" i="26" s="1"/>
  <c r="J42" i="26"/>
  <c r="J43" i="26" s="1"/>
  <c r="K42" i="26"/>
  <c r="K44" i="26" s="1"/>
  <c r="L42" i="26"/>
  <c r="L44" i="26" s="1"/>
  <c r="M42" i="26"/>
  <c r="M43" i="26" s="1"/>
  <c r="N42" i="26"/>
  <c r="N43" i="26" s="1"/>
  <c r="O42" i="26"/>
  <c r="O44" i="26" s="1"/>
  <c r="P42" i="26"/>
  <c r="P43" i="26" s="1"/>
  <c r="Q42" i="26"/>
  <c r="Q44" i="26" s="1"/>
  <c r="R42" i="26"/>
  <c r="R44" i="26" s="1"/>
  <c r="T42" i="26"/>
  <c r="G43" i="26"/>
  <c r="T43" i="26"/>
  <c r="G44" i="26"/>
  <c r="T44" i="26"/>
  <c r="H46" i="26"/>
  <c r="H47" i="26" s="1"/>
  <c r="I46" i="26"/>
  <c r="I48" i="26" s="1"/>
  <c r="J46" i="26"/>
  <c r="J48" i="26" s="1"/>
  <c r="K46" i="26"/>
  <c r="K47" i="26" s="1"/>
  <c r="L46" i="26"/>
  <c r="L48" i="26" s="1"/>
  <c r="M46" i="26"/>
  <c r="M48" i="26" s="1"/>
  <c r="N46" i="26"/>
  <c r="N47" i="26" s="1"/>
  <c r="O46" i="26"/>
  <c r="O48" i="26" s="1"/>
  <c r="P46" i="26"/>
  <c r="P48" i="26" s="1"/>
  <c r="Q46" i="26"/>
  <c r="Q48" i="26" s="1"/>
  <c r="R46" i="26"/>
  <c r="R48" i="26" s="1"/>
  <c r="T46" i="26"/>
  <c r="G47" i="26"/>
  <c r="G20" i="26" s="1"/>
  <c r="F58" i="26"/>
  <c r="G48" i="26"/>
  <c r="F51" i="26"/>
  <c r="F52" i="26"/>
  <c r="J52" i="26" s="1"/>
  <c r="F53" i="26"/>
  <c r="J53" i="26" s="1"/>
  <c r="F54" i="26"/>
  <c r="J54" i="26" s="1"/>
  <c r="F56" i="26"/>
  <c r="J56" i="26" s="1"/>
  <c r="F57" i="26"/>
  <c r="N57" i="26" s="1"/>
  <c r="AB19" i="26" l="1"/>
  <c r="H19" i="26"/>
  <c r="J57" i="26"/>
  <c r="N56" i="26"/>
  <c r="N51" i="26"/>
  <c r="P28" i="26" s="1"/>
  <c r="J51" i="26"/>
  <c r="F28" i="26" s="1"/>
  <c r="P44" i="26"/>
  <c r="P19" i="26" s="1"/>
  <c r="N54" i="26"/>
  <c r="O43" i="26"/>
  <c r="O19" i="26" s="1"/>
  <c r="E34" i="27"/>
  <c r="E35" i="27"/>
  <c r="E33" i="27"/>
  <c r="F34" i="27"/>
  <c r="F33" i="27"/>
  <c r="F35" i="27"/>
  <c r="J44" i="26"/>
  <c r="R43" i="26"/>
  <c r="R19" i="26" s="1"/>
  <c r="J14" i="27"/>
  <c r="E28" i="27"/>
  <c r="I14" i="27"/>
  <c r="T19" i="26"/>
  <c r="K43" i="26"/>
  <c r="K19" i="26" s="1"/>
  <c r="H43" i="26"/>
  <c r="R47" i="26"/>
  <c r="J47" i="26"/>
  <c r="M44" i="26"/>
  <c r="M19" i="26" s="1"/>
  <c r="S19" i="26"/>
  <c r="G12" i="27"/>
  <c r="P47" i="26"/>
  <c r="O47" i="26"/>
  <c r="H48" i="26"/>
  <c r="M47" i="26"/>
  <c r="K48" i="26"/>
  <c r="E9" i="27"/>
  <c r="G9" i="27" s="1"/>
  <c r="E8" i="27"/>
  <c r="G8" i="27" s="1"/>
  <c r="E11" i="27"/>
  <c r="G11" i="27" s="1"/>
  <c r="E10" i="27"/>
  <c r="G10" i="27" s="1"/>
  <c r="J58" i="26"/>
  <c r="N58" i="26"/>
  <c r="N53" i="26"/>
  <c r="L47" i="26"/>
  <c r="N44" i="26"/>
  <c r="N19" i="26" s="1"/>
  <c r="L43" i="26"/>
  <c r="L19" i="26" s="1"/>
  <c r="N48" i="26"/>
  <c r="N52" i="26"/>
  <c r="Q47" i="26"/>
  <c r="I47" i="26"/>
  <c r="F55" i="26"/>
  <c r="Q43" i="26"/>
  <c r="Q19" i="26" s="1"/>
  <c r="I43" i="26"/>
  <c r="I19" i="26" s="1"/>
  <c r="E102" i="20" l="1"/>
  <c r="E116" i="20"/>
  <c r="E114" i="20"/>
  <c r="E115" i="20"/>
  <c r="E108" i="20"/>
  <c r="E104" i="20"/>
  <c r="E110" i="20"/>
  <c r="E103" i="20"/>
  <c r="E109" i="20"/>
  <c r="F28" i="27"/>
  <c r="K14" i="27"/>
  <c r="AC19" i="26"/>
  <c r="N55" i="26"/>
  <c r="J55" i="26"/>
  <c r="U69" i="2" l="1"/>
  <c r="AC40" i="26" l="1"/>
  <c r="AC39" i="26"/>
  <c r="AC38" i="26"/>
  <c r="AC37" i="26"/>
  <c r="AC36" i="26"/>
  <c r="AC35" i="26"/>
  <c r="AC34" i="26"/>
  <c r="AC33" i="26"/>
  <c r="AC31" i="26"/>
  <c r="AC30" i="26"/>
  <c r="AB40" i="26"/>
  <c r="AB39" i="26"/>
  <c r="AB38" i="26"/>
  <c r="AB37" i="26"/>
  <c r="AB36" i="26"/>
  <c r="AB35" i="26"/>
  <c r="AB34" i="26"/>
  <c r="AB33" i="26"/>
  <c r="AB31" i="26"/>
  <c r="AB30" i="26"/>
  <c r="AE30" i="26" l="1"/>
  <c r="AF30" i="26"/>
  <c r="G55" i="26"/>
  <c r="K55" i="26"/>
  <c r="F28" i="30" l="1"/>
  <c r="P28" i="30" s="1"/>
  <c r="E31" i="29"/>
  <c r="G4" i="29"/>
  <c r="F4" i="29"/>
  <c r="I45" i="26"/>
  <c r="I20" i="26" s="1"/>
  <c r="Q45" i="26"/>
  <c r="Q20" i="26" s="1"/>
  <c r="J45" i="26"/>
  <c r="J20" i="26" s="1"/>
  <c r="R45" i="26"/>
  <c r="R20" i="26" s="1"/>
  <c r="P45" i="26"/>
  <c r="P20" i="26" s="1"/>
  <c r="K45" i="26"/>
  <c r="K20" i="26" s="1"/>
  <c r="L45" i="26"/>
  <c r="L20" i="26" s="1"/>
  <c r="T45" i="26"/>
  <c r="N45" i="26"/>
  <c r="N20" i="26" s="1"/>
  <c r="O45" i="26"/>
  <c r="O20" i="26" s="1"/>
  <c r="M45" i="26"/>
  <c r="M20" i="26" s="1"/>
  <c r="H45" i="26"/>
  <c r="H20" i="26" s="1"/>
  <c r="G27" i="26"/>
  <c r="Q27" i="26" s="1"/>
  <c r="D21" i="27"/>
  <c r="E31" i="27" s="1"/>
  <c r="G4" i="27"/>
  <c r="F4" i="27"/>
  <c r="O83" i="22" l="1"/>
  <c r="O99" i="22"/>
  <c r="O114" i="22"/>
  <c r="G114" i="22"/>
  <c r="G99" i="22"/>
  <c r="G83" i="22"/>
  <c r="G67" i="22"/>
  <c r="O67" i="22"/>
  <c r="C51" i="22"/>
  <c r="O51" i="22"/>
  <c r="K51" i="22"/>
  <c r="C27" i="22"/>
  <c r="K35" i="22"/>
  <c r="C35" i="22"/>
  <c r="G35" i="22"/>
  <c r="O35" i="22"/>
  <c r="G51" i="22"/>
  <c r="U67" i="2" l="1"/>
  <c r="U18" i="5" l="1"/>
  <c r="U114" i="5" s="1"/>
  <c r="T18" i="5"/>
  <c r="T114" i="5" s="1"/>
  <c r="V18" i="5"/>
  <c r="V114" i="5" s="1"/>
  <c r="S17" i="5"/>
  <c r="S113" i="5" s="1"/>
  <c r="AM30" i="19" l="1"/>
  <c r="J72" i="5" l="1"/>
  <c r="U93" i="2" l="1"/>
  <c r="U94" i="2"/>
  <c r="U95" i="2"/>
  <c r="U96" i="2"/>
  <c r="U97" i="2"/>
  <c r="U98" i="2"/>
  <c r="U99" i="2"/>
  <c r="U100" i="2"/>
  <c r="U101" i="2"/>
  <c r="U102" i="2"/>
  <c r="U103" i="2"/>
  <c r="U104" i="2"/>
  <c r="U105" i="2"/>
  <c r="U107" i="2"/>
  <c r="U108" i="2"/>
  <c r="U109" i="2"/>
  <c r="U110" i="2"/>
  <c r="U111" i="2"/>
  <c r="U112" i="2"/>
  <c r="U113" i="2"/>
  <c r="U114" i="2"/>
  <c r="U115" i="2"/>
  <c r="U116" i="2"/>
  <c r="U118" i="2"/>
  <c r="U119" i="2"/>
  <c r="U120" i="2"/>
  <c r="U121" i="2"/>
  <c r="U122" i="2"/>
  <c r="U123" i="2"/>
  <c r="U124" i="2"/>
  <c r="U125" i="2"/>
  <c r="U126" i="2"/>
  <c r="U66" i="2"/>
  <c r="U10" i="2"/>
  <c r="U11" i="2"/>
  <c r="U12" i="2"/>
  <c r="U14" i="2"/>
  <c r="U15" i="2"/>
  <c r="U16" i="2"/>
  <c r="U17" i="2"/>
  <c r="U18" i="2"/>
  <c r="U19" i="2"/>
  <c r="U20" i="2"/>
  <c r="U21" i="2"/>
  <c r="U22" i="2"/>
  <c r="U23" i="2"/>
  <c r="U25" i="2"/>
  <c r="U26" i="2"/>
  <c r="U27" i="2"/>
  <c r="U28" i="2"/>
  <c r="U29" i="2"/>
  <c r="U30" i="2"/>
  <c r="U31" i="2"/>
  <c r="U32" i="2"/>
  <c r="U33" i="2"/>
  <c r="U35" i="2"/>
  <c r="U36" i="2"/>
  <c r="U37" i="2"/>
  <c r="U38" i="2"/>
  <c r="U39" i="2"/>
  <c r="U40" i="2"/>
  <c r="U41" i="2"/>
  <c r="U42" i="2"/>
  <c r="U43" i="2"/>
  <c r="U44" i="2"/>
  <c r="U45" i="2"/>
  <c r="U46" i="2"/>
  <c r="U49" i="2"/>
  <c r="U50" i="2"/>
  <c r="U51" i="2"/>
  <c r="U52" i="2"/>
  <c r="U53" i="2"/>
  <c r="U54" i="2"/>
  <c r="U55" i="2"/>
  <c r="U60" i="2"/>
  <c r="U61" i="2"/>
  <c r="U62" i="2"/>
  <c r="U63" i="2"/>
  <c r="U64" i="2"/>
  <c r="U65" i="2"/>
  <c r="E93" i="5" l="1"/>
  <c r="G93" i="5" s="1"/>
  <c r="E94" i="5"/>
  <c r="G94" i="5" s="1"/>
  <c r="E95" i="5"/>
  <c r="E92" i="5"/>
  <c r="G92" i="5" s="1"/>
  <c r="S15" i="5" s="1"/>
  <c r="S111" i="5" s="1"/>
  <c r="E90" i="5"/>
  <c r="G90" i="5" s="1"/>
  <c r="E89" i="5"/>
  <c r="G89" i="5" s="1"/>
  <c r="E87" i="5"/>
  <c r="G95" i="5" l="1"/>
  <c r="S18" i="5"/>
  <c r="S114" i="5" s="1"/>
  <c r="G87" i="5"/>
  <c r="T35" i="19" l="1"/>
  <c r="S6" i="23" l="1"/>
  <c r="G6" i="23"/>
  <c r="P108" i="5" l="1"/>
  <c r="P107" i="5"/>
  <c r="E107" i="5" l="1"/>
  <c r="L107" i="5" l="1"/>
  <c r="AB49" i="18" l="1"/>
  <c r="AA49" i="18"/>
  <c r="Z49" i="18"/>
  <c r="Y49" i="18"/>
  <c r="S115" i="18" l="1"/>
  <c r="Q115" i="18"/>
  <c r="I115" i="18"/>
  <c r="G115" i="18"/>
  <c r="S100" i="18"/>
  <c r="Q100" i="18"/>
  <c r="I100" i="18"/>
  <c r="G100" i="18"/>
  <c r="S84" i="18"/>
  <c r="Q84" i="18"/>
  <c r="I84" i="18"/>
  <c r="G84" i="18"/>
  <c r="S68" i="18"/>
  <c r="Q68" i="18"/>
  <c r="I68" i="18"/>
  <c r="G68" i="18"/>
  <c r="S52" i="18"/>
  <c r="Q52" i="18"/>
  <c r="I52" i="18"/>
  <c r="G52" i="18"/>
  <c r="F54" i="19" l="1"/>
  <c r="F53" i="19"/>
  <c r="F52" i="19"/>
  <c r="F48" i="19"/>
  <c r="F58" i="19" s="1"/>
  <c r="F47" i="19"/>
  <c r="F57" i="19" s="1"/>
  <c r="F46" i="19"/>
  <c r="F56" i="19" s="1"/>
  <c r="F45" i="19"/>
  <c r="F55" i="19" s="1"/>
  <c r="J56" i="19" l="1"/>
  <c r="N56" i="19"/>
  <c r="N58" i="19"/>
  <c r="J58" i="19"/>
  <c r="N57" i="19"/>
  <c r="J57" i="19"/>
  <c r="J52" i="19"/>
  <c r="N52" i="19"/>
  <c r="J53" i="19"/>
  <c r="N53" i="19"/>
  <c r="J54" i="19"/>
  <c r="N54" i="19"/>
  <c r="N55" i="19"/>
  <c r="J55" i="19"/>
  <c r="N51" i="19"/>
  <c r="J51" i="19"/>
  <c r="U86" i="2"/>
  <c r="C11" i="2" l="1"/>
  <c r="D11" i="2"/>
  <c r="E11" i="2" l="1"/>
  <c r="F11" i="2" s="1"/>
  <c r="G11" i="2" s="1"/>
  <c r="M115" i="18"/>
  <c r="C100" i="18"/>
  <c r="C52" i="18"/>
  <c r="C84" i="18"/>
  <c r="C68" i="18"/>
  <c r="M100" i="18"/>
  <c r="M84" i="18"/>
  <c r="M68" i="18"/>
  <c r="M52" i="18"/>
  <c r="C115" i="18"/>
  <c r="D21" i="17" l="1"/>
  <c r="H11" i="5" l="1"/>
  <c r="E4" i="22"/>
  <c r="T23" i="5" l="1"/>
  <c r="I11" i="5"/>
  <c r="E4" i="18"/>
  <c r="I10" i="5" l="1"/>
  <c r="U23" i="5"/>
  <c r="E11" i="18"/>
  <c r="E12" i="18"/>
  <c r="J11" i="5"/>
  <c r="O135" i="5" s="1"/>
  <c r="T45" i="19"/>
  <c r="C17" i="23"/>
  <c r="S11" i="23" s="1"/>
  <c r="N135" i="5" l="1"/>
  <c r="U119" i="5" s="1"/>
  <c r="J148" i="5"/>
  <c r="N136" i="5"/>
  <c r="V23" i="5"/>
  <c r="V119" i="5" s="1"/>
  <c r="J10" i="5"/>
  <c r="S21" i="23"/>
  <c r="T41" i="19"/>
  <c r="S20" i="23"/>
  <c r="O136" i="5" l="1"/>
  <c r="Q16" i="24"/>
  <c r="Q29" i="24" s="1"/>
  <c r="O57" i="19"/>
  <c r="O57" i="26" s="1"/>
  <c r="O53" i="19"/>
  <c r="G53" i="19"/>
  <c r="T42" i="19" l="1"/>
  <c r="T46" i="19"/>
  <c r="K53" i="19"/>
  <c r="K57" i="19"/>
  <c r="K57" i="26" s="1"/>
  <c r="G57" i="19"/>
  <c r="G57" i="26" l="1"/>
  <c r="T47" i="26"/>
  <c r="T47" i="19"/>
  <c r="T43" i="19"/>
  <c r="S38" i="19"/>
  <c r="S37" i="19"/>
  <c r="S6" i="19" s="1"/>
  <c r="S20" i="26" l="1"/>
  <c r="U85" i="2"/>
  <c r="U87" i="2"/>
  <c r="U88" i="2"/>
  <c r="U89" i="2"/>
  <c r="U90" i="2"/>
  <c r="U91" i="2"/>
  <c r="U92" i="2"/>
  <c r="U136" i="2"/>
  <c r="U137" i="2"/>
  <c r="U138" i="2"/>
  <c r="U139" i="2"/>
  <c r="U140" i="2"/>
  <c r="E88" i="5" l="1"/>
  <c r="E91" i="5"/>
  <c r="G91" i="5" s="1"/>
  <c r="S20" i="19"/>
  <c r="S19" i="19"/>
  <c r="G88" i="5" l="1"/>
  <c r="R21" i="23"/>
  <c r="R20" i="23"/>
  <c r="I148" i="5" l="1"/>
  <c r="H77" i="5" l="1"/>
  <c r="M130" i="5" s="1"/>
  <c r="I77" i="5" l="1"/>
  <c r="H76" i="5"/>
  <c r="M132" i="5" s="1"/>
  <c r="J77" i="5" l="1"/>
  <c r="O130" i="5" s="1"/>
  <c r="N130" i="5"/>
  <c r="I76" i="5"/>
  <c r="S13" i="5"/>
  <c r="S109" i="5" s="1"/>
  <c r="J76" i="5" l="1"/>
  <c r="O132" i="5" s="1"/>
  <c r="N132" i="5"/>
  <c r="H61" i="5"/>
  <c r="M133" i="5" s="1"/>
  <c r="S22" i="5" l="1"/>
  <c r="S118" i="5" s="1"/>
  <c r="T17" i="5"/>
  <c r="T113" i="5" s="1"/>
  <c r="I61" i="5"/>
  <c r="N133" i="5" s="1"/>
  <c r="T13" i="5"/>
  <c r="T109" i="5" s="1"/>
  <c r="U13" i="5" l="1"/>
  <c r="U109" i="5" s="1"/>
  <c r="J61" i="5"/>
  <c r="O133" i="5" s="1"/>
  <c r="U17" i="5"/>
  <c r="U113" i="5" s="1"/>
  <c r="V17" i="5"/>
  <c r="V113" i="5" s="1"/>
  <c r="T22" i="5"/>
  <c r="T118" i="5" s="1"/>
  <c r="S11" i="5"/>
  <c r="S107" i="5" s="1"/>
  <c r="S14" i="5"/>
  <c r="S110" i="5" s="1"/>
  <c r="H64" i="5"/>
  <c r="V13" i="5" l="1"/>
  <c r="V109" i="5" s="1"/>
  <c r="U22" i="5"/>
  <c r="U118" i="5" s="1"/>
  <c r="V22" i="5"/>
  <c r="V118" i="5" s="1"/>
  <c r="I64" i="5"/>
  <c r="H62" i="5"/>
  <c r="M131" i="5" s="1"/>
  <c r="T16" i="5" l="1"/>
  <c r="V21" i="5"/>
  <c r="V117" i="5" s="1"/>
  <c r="J64" i="5"/>
  <c r="I62" i="5"/>
  <c r="N131" i="5" s="1"/>
  <c r="T11" i="5"/>
  <c r="T107" i="5" s="1"/>
  <c r="T14" i="5"/>
  <c r="H63" i="5"/>
  <c r="J62" i="5" l="1"/>
  <c r="O131" i="5" s="1"/>
  <c r="O148" i="5" s="1"/>
  <c r="I63" i="5"/>
  <c r="T110" i="5"/>
  <c r="J65" i="5"/>
  <c r="U11" i="5"/>
  <c r="U107" i="5" s="1"/>
  <c r="V11" i="5"/>
  <c r="V107" i="5" s="1"/>
  <c r="U14" i="5"/>
  <c r="U110" i="5" s="1"/>
  <c r="U16" i="5"/>
  <c r="U112" i="5" s="1"/>
  <c r="C14" i="23"/>
  <c r="N11" i="23" s="1"/>
  <c r="C15" i="23"/>
  <c r="R11" i="23" s="1"/>
  <c r="R10" i="23" s="1"/>
  <c r="C16" i="23"/>
  <c r="V16" i="5" l="1"/>
  <c r="V112" i="5" s="1"/>
  <c r="J63" i="5"/>
  <c r="V14" i="5"/>
  <c r="V110" i="5" s="1"/>
  <c r="Q11" i="23"/>
  <c r="AC17" i="19"/>
  <c r="R37" i="19"/>
  <c r="R38" i="19"/>
  <c r="R6" i="19" s="1"/>
  <c r="Q10" i="23" l="1"/>
  <c r="Q21" i="23" l="1"/>
  <c r="Q20" i="23"/>
  <c r="V10" i="5" l="1"/>
  <c r="V106" i="5" s="1"/>
  <c r="R46" i="19"/>
  <c r="R42" i="19"/>
  <c r="H42" i="19"/>
  <c r="R43" i="19" l="1"/>
  <c r="R47" i="19"/>
  <c r="R44" i="19"/>
  <c r="R48" i="19"/>
  <c r="H41" i="19"/>
  <c r="R45" i="19"/>
  <c r="R20" i="19" s="1"/>
  <c r="R41" i="19"/>
  <c r="R19" i="19" s="1"/>
  <c r="C16" i="26" l="1"/>
  <c r="R11" i="26" s="1"/>
  <c r="R10" i="26" s="1"/>
  <c r="R23" i="26" l="1"/>
  <c r="O28" i="23" l="1"/>
  <c r="E28" i="23"/>
  <c r="E23" i="23"/>
  <c r="O58" i="19" l="1"/>
  <c r="O58" i="26" s="1"/>
  <c r="P29" i="26" s="1"/>
  <c r="Q42" i="19"/>
  <c r="K58" i="19"/>
  <c r="K58" i="26" s="1"/>
  <c r="F29" i="26" s="1"/>
  <c r="T48" i="26" l="1"/>
  <c r="T20" i="26" s="1"/>
  <c r="T48" i="19"/>
  <c r="T20" i="19" s="1"/>
  <c r="G58" i="19"/>
  <c r="AB20" i="19" s="1"/>
  <c r="AC20" i="19" l="1"/>
  <c r="G58" i="26"/>
  <c r="AB20" i="26" s="1"/>
  <c r="AC20" i="26" s="1"/>
  <c r="L88" i="17"/>
  <c r="L81" i="17"/>
  <c r="L74" i="17"/>
  <c r="L67" i="17"/>
  <c r="L60" i="17"/>
  <c r="L53" i="17"/>
  <c r="L46" i="17"/>
  <c r="L39" i="17"/>
  <c r="L32" i="17"/>
  <c r="D88" i="17"/>
  <c r="D81" i="17"/>
  <c r="D67" i="17"/>
  <c r="D60" i="17"/>
  <c r="D53" i="17"/>
  <c r="D39" i="17"/>
  <c r="D32" i="17"/>
  <c r="P17" i="17" l="1"/>
  <c r="E25" i="17"/>
  <c r="C83" i="22" l="1"/>
  <c r="K114" i="22"/>
  <c r="K83" i="22"/>
  <c r="C67" i="22"/>
  <c r="C114" i="22"/>
  <c r="C99" i="22"/>
  <c r="K99" i="22"/>
  <c r="K67" i="22"/>
  <c r="M81" i="17"/>
  <c r="M67" i="17"/>
  <c r="M53" i="17"/>
  <c r="M39" i="17"/>
  <c r="M88" i="17"/>
  <c r="M74" i="17"/>
  <c r="M60" i="17"/>
  <c r="M46" i="17"/>
  <c r="M32" i="17"/>
  <c r="E81" i="17"/>
  <c r="E60" i="17"/>
  <c r="E88" i="17"/>
  <c r="E67" i="17"/>
  <c r="E74" i="17"/>
  <c r="E53" i="17"/>
  <c r="H25" i="17"/>
  <c r="H106" i="17" l="1"/>
  <c r="H100" i="17"/>
  <c r="H94" i="17"/>
  <c r="P88" i="17"/>
  <c r="P74" i="17"/>
  <c r="P60" i="17"/>
  <c r="P46" i="17"/>
  <c r="P32" i="17"/>
  <c r="P81" i="17"/>
  <c r="P67" i="17"/>
  <c r="P53" i="17"/>
  <c r="P39" i="17"/>
  <c r="H88" i="17"/>
  <c r="H67" i="17"/>
  <c r="H74" i="17"/>
  <c r="H53" i="17"/>
  <c r="H81" i="17"/>
  <c r="H60" i="17"/>
  <c r="S36" i="18" l="1"/>
  <c r="Q36" i="18"/>
  <c r="I36" i="18"/>
  <c r="G36" i="18"/>
  <c r="M36" i="18"/>
  <c r="C36" i="18"/>
  <c r="Q95" i="20" l="1"/>
  <c r="P95" i="20"/>
  <c r="N95" i="20"/>
  <c r="Q88" i="20"/>
  <c r="P88" i="20"/>
  <c r="N88" i="20"/>
  <c r="Q81" i="20"/>
  <c r="P81" i="20"/>
  <c r="N81" i="20"/>
  <c r="Q74" i="20"/>
  <c r="P74" i="20"/>
  <c r="N74" i="20"/>
  <c r="Q67" i="20"/>
  <c r="P67" i="20"/>
  <c r="N67" i="20"/>
  <c r="Q60" i="20"/>
  <c r="P60" i="20"/>
  <c r="N60" i="20"/>
  <c r="Q53" i="20"/>
  <c r="P53" i="20"/>
  <c r="N53" i="20"/>
  <c r="Q46" i="20"/>
  <c r="P46" i="20"/>
  <c r="N46" i="20"/>
  <c r="Q39" i="20"/>
  <c r="P39" i="20"/>
  <c r="N39" i="20"/>
  <c r="R33" i="22" l="1"/>
  <c r="N31" i="22" l="1"/>
  <c r="N27" i="22"/>
  <c r="N23" i="22"/>
  <c r="J29" i="22"/>
  <c r="J25" i="22"/>
  <c r="M26" i="22"/>
  <c r="I24" i="22"/>
  <c r="J31" i="22"/>
  <c r="J23" i="22"/>
  <c r="N28" i="22"/>
  <c r="I30" i="22"/>
  <c r="M31" i="22"/>
  <c r="M27" i="22"/>
  <c r="M23" i="22"/>
  <c r="I29" i="22"/>
  <c r="I25" i="22"/>
  <c r="J24" i="22"/>
  <c r="M22" i="22"/>
  <c r="N29" i="22"/>
  <c r="M25" i="22"/>
  <c r="I31" i="22"/>
  <c r="I23" i="22"/>
  <c r="J26" i="22"/>
  <c r="M24" i="22"/>
  <c r="I22" i="22"/>
  <c r="N30" i="22"/>
  <c r="N26" i="22"/>
  <c r="N22" i="22"/>
  <c r="J28" i="22"/>
  <c r="I28" i="22"/>
  <c r="J27" i="22"/>
  <c r="M29" i="22"/>
  <c r="I27" i="22"/>
  <c r="J30" i="22"/>
  <c r="M28" i="22"/>
  <c r="I26" i="22"/>
  <c r="M30" i="22"/>
  <c r="N25" i="22"/>
  <c r="N24" i="22"/>
  <c r="J22" i="22"/>
  <c r="O54" i="19"/>
  <c r="K123" i="22" l="1"/>
  <c r="K92" i="22"/>
  <c r="K108" i="22"/>
  <c r="K76" i="22"/>
  <c r="Q11" i="17"/>
  <c r="C92" i="22"/>
  <c r="C123" i="22"/>
  <c r="C108" i="22"/>
  <c r="C76" i="22"/>
  <c r="P11" i="17"/>
  <c r="L119" i="22"/>
  <c r="L88" i="22"/>
  <c r="L72" i="22"/>
  <c r="L104" i="22"/>
  <c r="K94" i="22"/>
  <c r="K125" i="22"/>
  <c r="K78" i="22"/>
  <c r="K110" i="22"/>
  <c r="D85" i="22"/>
  <c r="D116" i="22"/>
  <c r="D69" i="22"/>
  <c r="D101" i="22"/>
  <c r="K118" i="22"/>
  <c r="K87" i="22"/>
  <c r="K71" i="22"/>
  <c r="K103" i="22"/>
  <c r="L118" i="22"/>
  <c r="L87" i="22"/>
  <c r="L103" i="22"/>
  <c r="L71" i="22"/>
  <c r="C118" i="22"/>
  <c r="C87" i="22"/>
  <c r="C71" i="22"/>
  <c r="C103" i="22"/>
  <c r="K86" i="22"/>
  <c r="K117" i="22"/>
  <c r="K70" i="22"/>
  <c r="K102" i="22"/>
  <c r="K124" i="22"/>
  <c r="K93" i="22"/>
  <c r="K109" i="22"/>
  <c r="K77" i="22"/>
  <c r="K121" i="22"/>
  <c r="K90" i="22"/>
  <c r="K106" i="22"/>
  <c r="K74" i="22"/>
  <c r="C120" i="22"/>
  <c r="C89" i="22"/>
  <c r="C105" i="22"/>
  <c r="C73" i="22"/>
  <c r="K88" i="22"/>
  <c r="K119" i="22"/>
  <c r="K104" i="22"/>
  <c r="K72" i="22"/>
  <c r="C93" i="22"/>
  <c r="C124" i="22"/>
  <c r="C77" i="22"/>
  <c r="C109" i="22"/>
  <c r="C88" i="22"/>
  <c r="C119" i="22"/>
  <c r="C72" i="22"/>
  <c r="C104" i="22"/>
  <c r="D90" i="22"/>
  <c r="D121" i="22"/>
  <c r="D106" i="22"/>
  <c r="D74" i="22"/>
  <c r="C117" i="22"/>
  <c r="C86" i="22"/>
  <c r="C70" i="22"/>
  <c r="C102" i="22"/>
  <c r="C94" i="22"/>
  <c r="C125" i="22"/>
  <c r="C110" i="22"/>
  <c r="C78" i="22"/>
  <c r="K116" i="22"/>
  <c r="K85" i="22"/>
  <c r="K101" i="22"/>
  <c r="K69" i="22"/>
  <c r="D125" i="22"/>
  <c r="D94" i="22"/>
  <c r="D78" i="22"/>
  <c r="D110" i="22"/>
  <c r="D89" i="22"/>
  <c r="D120" i="22"/>
  <c r="D105" i="22"/>
  <c r="D73" i="22"/>
  <c r="C122" i="22"/>
  <c r="C91" i="22"/>
  <c r="C107" i="22"/>
  <c r="C75" i="22"/>
  <c r="K120" i="22"/>
  <c r="K89" i="22"/>
  <c r="K73" i="22"/>
  <c r="K105" i="22"/>
  <c r="D122" i="22"/>
  <c r="D91" i="22"/>
  <c r="D75" i="22"/>
  <c r="D107" i="22"/>
  <c r="D88" i="22"/>
  <c r="D119" i="22"/>
  <c r="D72" i="22"/>
  <c r="D104" i="22"/>
  <c r="L85" i="22"/>
  <c r="L116" i="22"/>
  <c r="L101" i="22"/>
  <c r="L69" i="22"/>
  <c r="D123" i="22"/>
  <c r="D92" i="22"/>
  <c r="D108" i="22"/>
  <c r="D76" i="22"/>
  <c r="P12" i="17"/>
  <c r="K122" i="22"/>
  <c r="K91" i="22"/>
  <c r="K107" i="22"/>
  <c r="K75" i="22"/>
  <c r="L89" i="22"/>
  <c r="L120" i="22"/>
  <c r="L105" i="22"/>
  <c r="L73" i="22"/>
  <c r="L92" i="22"/>
  <c r="L123" i="22"/>
  <c r="L76" i="22"/>
  <c r="L108" i="22"/>
  <c r="Q12" i="17"/>
  <c r="L86" i="22"/>
  <c r="L117" i="22"/>
  <c r="L102" i="22"/>
  <c r="L70" i="22"/>
  <c r="D124" i="22"/>
  <c r="D93" i="22"/>
  <c r="D109" i="22"/>
  <c r="D77" i="22"/>
  <c r="L124" i="22"/>
  <c r="L93" i="22"/>
  <c r="L77" i="22"/>
  <c r="L109" i="22"/>
  <c r="L91" i="22"/>
  <c r="L122" i="22"/>
  <c r="L107" i="22"/>
  <c r="L75" i="22"/>
  <c r="L121" i="22"/>
  <c r="L90" i="22"/>
  <c r="L74" i="22"/>
  <c r="L106" i="22"/>
  <c r="C121" i="22"/>
  <c r="C90" i="22"/>
  <c r="C74" i="22"/>
  <c r="C106" i="22"/>
  <c r="C85" i="22"/>
  <c r="C116" i="22"/>
  <c r="C101" i="22"/>
  <c r="C69" i="22"/>
  <c r="D118" i="22"/>
  <c r="D87" i="22"/>
  <c r="D71" i="22"/>
  <c r="D103" i="22"/>
  <c r="D86" i="22"/>
  <c r="D117" i="22"/>
  <c r="D70" i="22"/>
  <c r="D102" i="22"/>
  <c r="L94" i="22"/>
  <c r="L125" i="22"/>
  <c r="L110" i="22"/>
  <c r="L78" i="22"/>
  <c r="K54" i="19"/>
  <c r="F28" i="19" s="1"/>
  <c r="G54" i="19"/>
  <c r="AB19" i="19" s="1"/>
  <c r="AC19" i="19" s="1"/>
  <c r="AB16" i="19" l="1"/>
  <c r="T44" i="19"/>
  <c r="T19" i="19" s="1"/>
  <c r="R33" i="18"/>
  <c r="N24" i="18" l="1"/>
  <c r="M26" i="18"/>
  <c r="J28" i="18"/>
  <c r="I30" i="18"/>
  <c r="I22" i="18"/>
  <c r="N31" i="18"/>
  <c r="N23" i="18"/>
  <c r="M25" i="18"/>
  <c r="J27" i="18"/>
  <c r="I29" i="18"/>
  <c r="N22" i="18"/>
  <c r="M24" i="18"/>
  <c r="J26" i="18"/>
  <c r="N29" i="18"/>
  <c r="M31" i="18"/>
  <c r="J25" i="18"/>
  <c r="N28" i="18"/>
  <c r="J24" i="18"/>
  <c r="M29" i="18"/>
  <c r="M28" i="18"/>
  <c r="I24" i="18"/>
  <c r="J29" i="18"/>
  <c r="I28" i="18"/>
  <c r="I26" i="18"/>
  <c r="J31" i="18"/>
  <c r="I25" i="18"/>
  <c r="J30" i="18"/>
  <c r="M27" i="18"/>
  <c r="I31" i="18"/>
  <c r="N30" i="18"/>
  <c r="M23" i="18"/>
  <c r="I27" i="18"/>
  <c r="M30" i="18"/>
  <c r="M22" i="18"/>
  <c r="N27" i="18"/>
  <c r="J23" i="18"/>
  <c r="J22" i="18"/>
  <c r="N25" i="18"/>
  <c r="I23" i="18"/>
  <c r="N26" i="18"/>
  <c r="C91" i="18" l="1"/>
  <c r="C122" i="18"/>
  <c r="C75" i="18"/>
  <c r="C107" i="18"/>
  <c r="N89" i="18"/>
  <c r="N73" i="18"/>
  <c r="C121" i="18"/>
  <c r="C90" i="18"/>
  <c r="C74" i="18"/>
  <c r="C106" i="18"/>
  <c r="M87" i="18"/>
  <c r="M71" i="18"/>
  <c r="N87" i="18"/>
  <c r="N71" i="18"/>
  <c r="N94" i="18"/>
  <c r="N78" i="18"/>
  <c r="D86" i="18"/>
  <c r="D117" i="18"/>
  <c r="D70" i="18"/>
  <c r="D102" i="18"/>
  <c r="C86" i="18"/>
  <c r="C117" i="18"/>
  <c r="C70" i="18"/>
  <c r="C102" i="18"/>
  <c r="D125" i="18"/>
  <c r="D94" i="18"/>
  <c r="D110" i="18"/>
  <c r="D78" i="18"/>
  <c r="D120" i="18"/>
  <c r="D89" i="18"/>
  <c r="D73" i="18"/>
  <c r="D105" i="18"/>
  <c r="C87" i="18"/>
  <c r="C118" i="18"/>
  <c r="C103" i="18"/>
  <c r="C71" i="18"/>
  <c r="M95" i="18"/>
  <c r="M79" i="18"/>
  <c r="N93" i="18"/>
  <c r="N77" i="18"/>
  <c r="C126" i="18"/>
  <c r="C95" i="18"/>
  <c r="C111" i="18"/>
  <c r="C79" i="18"/>
  <c r="D90" i="18"/>
  <c r="D121" i="18"/>
  <c r="D74" i="18"/>
  <c r="D106" i="18"/>
  <c r="D118" i="18"/>
  <c r="D87" i="18"/>
  <c r="D103" i="18"/>
  <c r="D71" i="18"/>
  <c r="C125" i="18"/>
  <c r="C94" i="18"/>
  <c r="C78" i="18"/>
  <c r="C110" i="18"/>
  <c r="M90" i="18"/>
  <c r="M74" i="18"/>
  <c r="N90" i="18"/>
  <c r="N74" i="18"/>
  <c r="M89" i="18"/>
  <c r="M73" i="18"/>
  <c r="C92" i="18"/>
  <c r="C123" i="18"/>
  <c r="C108" i="18"/>
  <c r="C76" i="18"/>
  <c r="D93" i="18"/>
  <c r="D109" i="18"/>
  <c r="D77" i="18"/>
  <c r="N95" i="18"/>
  <c r="N79" i="18"/>
  <c r="C119" i="18"/>
  <c r="C88" i="18"/>
  <c r="C104" i="18"/>
  <c r="C72" i="18"/>
  <c r="M91" i="18"/>
  <c r="M75" i="18"/>
  <c r="M92" i="18"/>
  <c r="M76" i="18"/>
  <c r="M88" i="18"/>
  <c r="M72" i="18"/>
  <c r="N91" i="18"/>
  <c r="N75" i="18"/>
  <c r="M93" i="18"/>
  <c r="M77" i="18"/>
  <c r="Q10" i="20"/>
  <c r="N86" i="18"/>
  <c r="N70" i="18"/>
  <c r="D92" i="18"/>
  <c r="D123" i="18"/>
  <c r="D76" i="18"/>
  <c r="D108" i="18"/>
  <c r="M86" i="18"/>
  <c r="M70" i="18"/>
  <c r="C120" i="18"/>
  <c r="C89" i="18"/>
  <c r="C105" i="18"/>
  <c r="C73" i="18"/>
  <c r="D88" i="18"/>
  <c r="D119" i="18"/>
  <c r="D104" i="18"/>
  <c r="D72" i="18"/>
  <c r="C93" i="18"/>
  <c r="C109" i="18"/>
  <c r="C77" i="18"/>
  <c r="P10" i="20"/>
  <c r="M94" i="18"/>
  <c r="M78" i="18"/>
  <c r="D126" i="18"/>
  <c r="D95" i="18"/>
  <c r="D79" i="18"/>
  <c r="D111" i="18"/>
  <c r="N92" i="18"/>
  <c r="N76" i="18"/>
  <c r="D122" i="18"/>
  <c r="D91" i="18"/>
  <c r="D75" i="18"/>
  <c r="D107" i="18"/>
  <c r="N88" i="18"/>
  <c r="N72" i="18"/>
  <c r="Q15" i="17"/>
  <c r="Q11" i="20"/>
  <c r="Q14" i="20" s="1"/>
  <c r="G95" i="20"/>
  <c r="F95" i="20"/>
  <c r="D95" i="20"/>
  <c r="G88" i="20"/>
  <c r="F88" i="20"/>
  <c r="D88" i="20"/>
  <c r="G81" i="20"/>
  <c r="F81" i="20"/>
  <c r="D81" i="20"/>
  <c r="G74" i="20"/>
  <c r="F74" i="20"/>
  <c r="D74" i="20"/>
  <c r="G67" i="20"/>
  <c r="F67" i="20"/>
  <c r="D67" i="20"/>
  <c r="G60" i="20"/>
  <c r="F60" i="20"/>
  <c r="D60" i="20"/>
  <c r="N68" i="20" l="1"/>
  <c r="N76" i="20"/>
  <c r="N69" i="20"/>
  <c r="Q12" i="20"/>
  <c r="Q15" i="20" s="1"/>
  <c r="Q13" i="20"/>
  <c r="Q14" i="17"/>
  <c r="Q13" i="17"/>
  <c r="Q16" i="17" s="1"/>
  <c r="N75" i="20"/>
  <c r="N62" i="20" l="1"/>
  <c r="N61" i="20"/>
  <c r="N77" i="20"/>
  <c r="N70" i="20"/>
  <c r="N63" i="20" l="1"/>
  <c r="D22" i="18" l="1"/>
  <c r="F78" i="18" l="1"/>
  <c r="F76" i="18"/>
  <c r="F74" i="18"/>
  <c r="F72" i="18"/>
  <c r="F70" i="18"/>
  <c r="E78" i="18"/>
  <c r="E76" i="18"/>
  <c r="E74" i="18"/>
  <c r="E72" i="18"/>
  <c r="E70" i="18"/>
  <c r="P78" i="18"/>
  <c r="P76" i="18"/>
  <c r="P74" i="18"/>
  <c r="P72" i="18"/>
  <c r="P70" i="18"/>
  <c r="E108" i="18"/>
  <c r="E104" i="18"/>
  <c r="O78" i="18"/>
  <c r="O76" i="18"/>
  <c r="O74" i="18"/>
  <c r="O72" i="18"/>
  <c r="O70" i="18"/>
  <c r="F79" i="18"/>
  <c r="F77" i="18"/>
  <c r="F75" i="18"/>
  <c r="F73" i="18"/>
  <c r="F71" i="18"/>
  <c r="E71" i="18"/>
  <c r="P71" i="18"/>
  <c r="E73" i="18"/>
  <c r="P79" i="18"/>
  <c r="P73" i="18"/>
  <c r="E75" i="18"/>
  <c r="O79" i="18"/>
  <c r="P77" i="18"/>
  <c r="E77" i="18"/>
  <c r="O73" i="18"/>
  <c r="O71" i="18"/>
  <c r="E79" i="18"/>
  <c r="O77" i="18"/>
  <c r="P75" i="18"/>
  <c r="O75" i="18"/>
  <c r="O75" i="20" l="1"/>
  <c r="O68" i="20"/>
  <c r="D39" i="20"/>
  <c r="O61" i="20" l="1"/>
  <c r="C11" i="26"/>
  <c r="Q11" i="26" s="1"/>
  <c r="Q10" i="26" s="1"/>
  <c r="C7" i="26"/>
  <c r="P11" i="26" s="1"/>
  <c r="P10" i="26" l="1"/>
  <c r="W23" i="26"/>
  <c r="Q23" i="26"/>
  <c r="P23" i="26" l="1"/>
  <c r="W22" i="26"/>
  <c r="R4" i="22"/>
  <c r="Q4" i="22"/>
  <c r="G4" i="22"/>
  <c r="F4" i="22"/>
  <c r="H21" i="23"/>
  <c r="G21" i="23"/>
  <c r="I21" i="23"/>
  <c r="P21" i="23"/>
  <c r="O21" i="23"/>
  <c r="N21" i="23"/>
  <c r="M21" i="23"/>
  <c r="K21" i="23"/>
  <c r="L21" i="23"/>
  <c r="J21" i="23"/>
  <c r="L4" i="20" l="1"/>
  <c r="F22" i="26" s="1"/>
  <c r="P4" i="22" l="1"/>
  <c r="P4" i="18"/>
  <c r="AB53" i="18" l="1"/>
  <c r="AA53" i="18"/>
  <c r="P10" i="18" s="1"/>
  <c r="P12" i="18"/>
  <c r="AB51" i="18"/>
  <c r="AA51" i="18"/>
  <c r="AA50" i="18"/>
  <c r="AB50" i="18"/>
  <c r="P11" i="18"/>
  <c r="AB52" i="18"/>
  <c r="AA52" i="18"/>
  <c r="P9" i="18" s="1"/>
  <c r="P7" i="18" l="1"/>
  <c r="P8" i="18"/>
  <c r="F27" i="19"/>
  <c r="P27" i="19" s="1"/>
  <c r="I45" i="19"/>
  <c r="J45" i="19"/>
  <c r="K45" i="19"/>
  <c r="L45" i="19"/>
  <c r="M45" i="19"/>
  <c r="N45" i="19"/>
  <c r="O45" i="19"/>
  <c r="P45" i="19"/>
  <c r="Q45" i="19"/>
  <c r="H45" i="19"/>
  <c r="I41" i="19"/>
  <c r="J41" i="19"/>
  <c r="K41" i="19"/>
  <c r="L41" i="19"/>
  <c r="M41" i="19"/>
  <c r="O41" i="19"/>
  <c r="P41" i="19"/>
  <c r="Q41" i="19"/>
  <c r="G48" i="19"/>
  <c r="G47" i="19"/>
  <c r="G20" i="19" s="1"/>
  <c r="G44" i="19"/>
  <c r="G43" i="19"/>
  <c r="G19" i="19" s="1"/>
  <c r="Q37" i="19"/>
  <c r="P38" i="19"/>
  <c r="O38" i="19"/>
  <c r="N37" i="19"/>
  <c r="M37" i="19"/>
  <c r="L38" i="19"/>
  <c r="K38" i="19"/>
  <c r="J37" i="19"/>
  <c r="I37" i="19"/>
  <c r="G37" i="19"/>
  <c r="G38" i="19" l="1"/>
  <c r="G6" i="19" s="1"/>
  <c r="F10" i="23" s="1"/>
  <c r="N38" i="19"/>
  <c r="N6" i="19" s="1"/>
  <c r="J38" i="19"/>
  <c r="J6" i="19" s="1"/>
  <c r="P37" i="19"/>
  <c r="P6" i="19" s="1"/>
  <c r="L6" i="19"/>
  <c r="Q38" i="19"/>
  <c r="Q6" i="19" s="1"/>
  <c r="M38" i="19"/>
  <c r="M6" i="19" s="1"/>
  <c r="I38" i="19"/>
  <c r="I6" i="19" s="1"/>
  <c r="O37" i="19"/>
  <c r="O6" i="19" s="1"/>
  <c r="K37" i="19"/>
  <c r="K6" i="19" s="1"/>
  <c r="P28" i="19" l="1"/>
  <c r="P29" i="19"/>
  <c r="F29" i="19"/>
  <c r="L46" i="19" l="1"/>
  <c r="M46" i="19"/>
  <c r="N46" i="19"/>
  <c r="I46" i="19"/>
  <c r="O46" i="19"/>
  <c r="J46" i="19"/>
  <c r="P46" i="19"/>
  <c r="K46" i="19"/>
  <c r="Q46" i="19"/>
  <c r="P42" i="19"/>
  <c r="K42" i="19"/>
  <c r="M42" i="19"/>
  <c r="O42" i="19"/>
  <c r="N42" i="19"/>
  <c r="L42" i="19"/>
  <c r="J42" i="19"/>
  <c r="J43" i="19" l="1"/>
  <c r="J44" i="19"/>
  <c r="J19" i="19" s="1"/>
  <c r="M44" i="19"/>
  <c r="M43" i="19"/>
  <c r="Q47" i="19"/>
  <c r="Q48" i="19"/>
  <c r="O47" i="19"/>
  <c r="O48" i="19"/>
  <c r="L43" i="19"/>
  <c r="L44" i="19"/>
  <c r="L19" i="19" s="1"/>
  <c r="K48" i="19"/>
  <c r="K47" i="19"/>
  <c r="M47" i="19"/>
  <c r="M48" i="19"/>
  <c r="H44" i="19"/>
  <c r="H43" i="19"/>
  <c r="K43" i="19"/>
  <c r="K44" i="19"/>
  <c r="K19" i="19" s="1"/>
  <c r="I48" i="19"/>
  <c r="I47" i="19"/>
  <c r="N43" i="19"/>
  <c r="N44" i="19"/>
  <c r="P44" i="19"/>
  <c r="P19" i="19" s="1"/>
  <c r="P43" i="19"/>
  <c r="P47" i="19"/>
  <c r="P48" i="19"/>
  <c r="P20" i="19" s="1"/>
  <c r="N48" i="19"/>
  <c r="N47" i="19"/>
  <c r="H48" i="19"/>
  <c r="H47" i="19"/>
  <c r="Q43" i="19"/>
  <c r="Q44" i="19"/>
  <c r="I44" i="19"/>
  <c r="I43" i="19"/>
  <c r="O43" i="19"/>
  <c r="O44" i="19"/>
  <c r="O19" i="19" s="1"/>
  <c r="J48" i="19"/>
  <c r="J47" i="19"/>
  <c r="L48" i="19"/>
  <c r="L47" i="19"/>
  <c r="L20" i="19" s="1"/>
  <c r="H20" i="19" l="1"/>
  <c r="H19" i="19"/>
  <c r="J20" i="19"/>
  <c r="N19" i="19"/>
  <c r="M20" i="19"/>
  <c r="Q20" i="19"/>
  <c r="M19" i="19"/>
  <c r="N20" i="19"/>
  <c r="K20" i="19"/>
  <c r="I19" i="19"/>
  <c r="I20" i="19"/>
  <c r="Q19" i="19"/>
  <c r="O20" i="19"/>
  <c r="AC16" i="19"/>
  <c r="S20" i="5" l="1"/>
  <c r="S116" i="5" s="1"/>
  <c r="H98" i="5" l="1"/>
  <c r="S19" i="5"/>
  <c r="S115" i="5" s="1"/>
  <c r="H32" i="20"/>
  <c r="T19" i="5" l="1"/>
  <c r="T20" i="5"/>
  <c r="T116" i="5" s="1"/>
  <c r="I98" i="5"/>
  <c r="I99" i="5"/>
  <c r="R95" i="20"/>
  <c r="R81" i="20"/>
  <c r="R88" i="20"/>
  <c r="R74" i="20"/>
  <c r="R46" i="20"/>
  <c r="R53" i="20"/>
  <c r="R39" i="20"/>
  <c r="R60" i="20"/>
  <c r="R67" i="20"/>
  <c r="H88" i="20"/>
  <c r="H74" i="20"/>
  <c r="H60" i="20"/>
  <c r="H95" i="20"/>
  <c r="H81" i="20"/>
  <c r="H67" i="20"/>
  <c r="I32" i="20"/>
  <c r="G27" i="19"/>
  <c r="F28" i="23"/>
  <c r="I113" i="20" l="1"/>
  <c r="I107" i="20"/>
  <c r="I101" i="20"/>
  <c r="T115" i="5"/>
  <c r="U19" i="5"/>
  <c r="U115" i="5" s="1"/>
  <c r="J98" i="5"/>
  <c r="U20" i="5"/>
  <c r="U116" i="5" s="1"/>
  <c r="J99" i="5"/>
  <c r="S95" i="20"/>
  <c r="S88" i="20"/>
  <c r="S81" i="20"/>
  <c r="S46" i="20"/>
  <c r="S53" i="20"/>
  <c r="S39" i="20"/>
  <c r="S74" i="20"/>
  <c r="S60" i="20"/>
  <c r="S67" i="20"/>
  <c r="I95" i="20"/>
  <c r="I67" i="20"/>
  <c r="I74" i="20"/>
  <c r="I81" i="20"/>
  <c r="I88" i="20"/>
  <c r="I60" i="20"/>
  <c r="V20" i="5" l="1"/>
  <c r="V116" i="5" s="1"/>
  <c r="V19" i="5"/>
  <c r="V115" i="5" s="1"/>
  <c r="C14" i="26"/>
  <c r="O11" i="26" s="1"/>
  <c r="O10" i="26" s="1"/>
  <c r="O23" i="26" s="1"/>
  <c r="C13" i="26"/>
  <c r="L11" i="26" s="1"/>
  <c r="L10" i="26" s="1"/>
  <c r="L23" i="26" s="1"/>
  <c r="G25" i="17"/>
  <c r="G106" i="17" l="1"/>
  <c r="G100" i="17"/>
  <c r="G94" i="17"/>
  <c r="O81" i="17"/>
  <c r="O53" i="17"/>
  <c r="G88" i="17"/>
  <c r="G60" i="17"/>
  <c r="O67" i="17"/>
  <c r="O88" i="17"/>
  <c r="O74" i="17"/>
  <c r="O46" i="17"/>
  <c r="G81" i="17"/>
  <c r="G53" i="17"/>
  <c r="O39" i="17"/>
  <c r="G74" i="17"/>
  <c r="O60" i="17"/>
  <c r="O32" i="17"/>
  <c r="G67" i="17"/>
  <c r="L83" i="17"/>
  <c r="G32" i="17"/>
  <c r="L89" i="17"/>
  <c r="L82" i="17"/>
  <c r="L61" i="17"/>
  <c r="D21" i="18"/>
  <c r="R4" i="18"/>
  <c r="Q4" i="18"/>
  <c r="G4" i="18"/>
  <c r="F4" i="18"/>
  <c r="L75" i="17" l="1"/>
  <c r="L69" i="17"/>
  <c r="L68" i="17"/>
  <c r="L54" i="17" s="1"/>
  <c r="L90" i="17"/>
  <c r="L91" i="17" s="1"/>
  <c r="L62" i="17"/>
  <c r="L84" i="17"/>
  <c r="P19" i="22"/>
  <c r="L55" i="17" l="1"/>
  <c r="L77" i="17"/>
  <c r="L76" i="17"/>
  <c r="L70" i="17"/>
  <c r="L63" i="17"/>
  <c r="L56" i="17" l="1"/>
  <c r="C16" i="19"/>
  <c r="S105" i="5"/>
  <c r="H106" i="5"/>
  <c r="I106" i="5" s="1"/>
  <c r="J106" i="5" s="1"/>
  <c r="M106" i="5" l="1"/>
  <c r="T105" i="5" s="1"/>
  <c r="R11" i="19"/>
  <c r="R10" i="19" s="1"/>
  <c r="K20" i="23"/>
  <c r="O20" i="23"/>
  <c r="P20" i="23"/>
  <c r="H20" i="23"/>
  <c r="L20" i="23"/>
  <c r="I20" i="23"/>
  <c r="M20" i="23"/>
  <c r="G20" i="23"/>
  <c r="J20" i="23"/>
  <c r="N20" i="23"/>
  <c r="I39" i="20"/>
  <c r="R32" i="20"/>
  <c r="H53" i="20"/>
  <c r="H46" i="20"/>
  <c r="H39" i="20"/>
  <c r="G11" i="23"/>
  <c r="O11" i="23"/>
  <c r="T25" i="23" s="1"/>
  <c r="C8" i="23"/>
  <c r="L11" i="23" s="1"/>
  <c r="H11" i="23"/>
  <c r="I11" i="23"/>
  <c r="P11" i="23"/>
  <c r="C12" i="23"/>
  <c r="M11" i="23" s="1"/>
  <c r="C13" i="23"/>
  <c r="K11" i="23" s="1"/>
  <c r="N106" i="5" l="1"/>
  <c r="U105" i="5" s="1"/>
  <c r="D5" i="26" s="1"/>
  <c r="C18" i="23"/>
  <c r="J11" i="23"/>
  <c r="T11" i="23" s="1"/>
  <c r="Q30" i="23" s="1"/>
  <c r="M10" i="23"/>
  <c r="D11" i="19" l="1"/>
  <c r="D12" i="26"/>
  <c r="D5" i="19"/>
  <c r="D7" i="26"/>
  <c r="D13" i="26"/>
  <c r="D7" i="19"/>
  <c r="D13" i="19"/>
  <c r="D8" i="26"/>
  <c r="D9" i="19"/>
  <c r="D14" i="19"/>
  <c r="D16" i="19"/>
  <c r="D8" i="19"/>
  <c r="D16" i="26"/>
  <c r="D14" i="26"/>
  <c r="D9" i="26"/>
  <c r="D12" i="19"/>
  <c r="D11" i="26"/>
  <c r="O106" i="5"/>
  <c r="V105" i="5" s="1"/>
  <c r="T21" i="23"/>
  <c r="U21" i="23" s="1"/>
  <c r="G30" i="23" s="1"/>
  <c r="D30" i="22"/>
  <c r="D29" i="22"/>
  <c r="D28" i="22"/>
  <c r="D24" i="22"/>
  <c r="D23" i="22"/>
  <c r="D22" i="22"/>
  <c r="R12" i="22"/>
  <c r="G12" i="22"/>
  <c r="R11" i="22"/>
  <c r="G11" i="22"/>
  <c r="R10" i="22"/>
  <c r="G10" i="22"/>
  <c r="R9" i="22"/>
  <c r="G9" i="22"/>
  <c r="R8" i="22"/>
  <c r="G8" i="22"/>
  <c r="R7" i="22"/>
  <c r="G7" i="22"/>
  <c r="F22" i="19"/>
  <c r="R14" i="26" l="1"/>
  <c r="R13" i="26" s="1"/>
  <c r="R14" i="19"/>
  <c r="R13" i="19" s="1"/>
  <c r="Q14" i="26"/>
  <c r="Q13" i="26" s="1"/>
  <c r="E125" i="22"/>
  <c r="E123" i="22"/>
  <c r="E121" i="22"/>
  <c r="E119" i="22"/>
  <c r="E117" i="22"/>
  <c r="E93" i="22"/>
  <c r="E91" i="22"/>
  <c r="E89" i="22"/>
  <c r="E87" i="22"/>
  <c r="E85" i="22"/>
  <c r="N125" i="22"/>
  <c r="N123" i="22"/>
  <c r="N121" i="22"/>
  <c r="N119" i="22"/>
  <c r="N117" i="22"/>
  <c r="N93" i="22"/>
  <c r="N91" i="22"/>
  <c r="N89" i="22"/>
  <c r="N87" i="22"/>
  <c r="N85" i="22"/>
  <c r="N124" i="22"/>
  <c r="N122" i="22"/>
  <c r="N120" i="22"/>
  <c r="N118" i="22"/>
  <c r="N116" i="22"/>
  <c r="N94" i="22"/>
  <c r="N92" i="22"/>
  <c r="N90" i="22"/>
  <c r="N88" i="22"/>
  <c r="N86" i="22"/>
  <c r="M123" i="22"/>
  <c r="M122" i="22"/>
  <c r="F116" i="22"/>
  <c r="M93" i="22"/>
  <c r="M92" i="22"/>
  <c r="F86" i="22"/>
  <c r="F85" i="22"/>
  <c r="M125" i="22"/>
  <c r="M124" i="22"/>
  <c r="F118" i="22"/>
  <c r="F117" i="22"/>
  <c r="E116" i="22"/>
  <c r="M94" i="22"/>
  <c r="F88" i="22"/>
  <c r="F87" i="22"/>
  <c r="E86" i="22"/>
  <c r="F120" i="22"/>
  <c r="F119" i="22"/>
  <c r="E118" i="22"/>
  <c r="F90" i="22"/>
  <c r="F89" i="22"/>
  <c r="E88" i="22"/>
  <c r="F124" i="22"/>
  <c r="F123" i="22"/>
  <c r="E122" i="22"/>
  <c r="F125" i="22"/>
  <c r="E124" i="22"/>
  <c r="M117" i="22"/>
  <c r="M116" i="22"/>
  <c r="E94" i="22"/>
  <c r="M87" i="22"/>
  <c r="M86" i="22"/>
  <c r="M119" i="22"/>
  <c r="M118" i="22"/>
  <c r="F121" i="22"/>
  <c r="M91" i="22"/>
  <c r="E120" i="22"/>
  <c r="M88" i="22"/>
  <c r="M120" i="22"/>
  <c r="F91" i="22"/>
  <c r="F93" i="22"/>
  <c r="M90" i="22"/>
  <c r="F92" i="22"/>
  <c r="E90" i="22"/>
  <c r="F122" i="22"/>
  <c r="F94" i="22"/>
  <c r="E92" i="22"/>
  <c r="M85" i="22"/>
  <c r="M121" i="22"/>
  <c r="M89" i="22"/>
  <c r="M110" i="22"/>
  <c r="M108" i="22"/>
  <c r="M106" i="22"/>
  <c r="M104" i="22"/>
  <c r="M102" i="22"/>
  <c r="M77" i="22"/>
  <c r="M75" i="22"/>
  <c r="M73" i="22"/>
  <c r="M71" i="22"/>
  <c r="M69" i="22"/>
  <c r="F109" i="22"/>
  <c r="F107" i="22"/>
  <c r="F105" i="22"/>
  <c r="F103" i="22"/>
  <c r="F101" i="22"/>
  <c r="F78" i="22"/>
  <c r="F76" i="22"/>
  <c r="F74" i="22"/>
  <c r="F72" i="22"/>
  <c r="F70" i="22"/>
  <c r="F110" i="22"/>
  <c r="F108" i="22"/>
  <c r="F106" i="22"/>
  <c r="F104" i="22"/>
  <c r="F102" i="22"/>
  <c r="F77" i="22"/>
  <c r="F75" i="22"/>
  <c r="F73" i="22"/>
  <c r="F71" i="22"/>
  <c r="F69" i="22"/>
  <c r="N110" i="22"/>
  <c r="M109" i="22"/>
  <c r="E103" i="22"/>
  <c r="E102" i="22"/>
  <c r="M78" i="22"/>
  <c r="E105" i="22"/>
  <c r="E104" i="22"/>
  <c r="E74" i="22"/>
  <c r="E73" i="22"/>
  <c r="E107" i="22"/>
  <c r="E106" i="22"/>
  <c r="E76" i="22"/>
  <c r="E75" i="22"/>
  <c r="N105" i="22"/>
  <c r="N104" i="22"/>
  <c r="M103" i="22"/>
  <c r="N74" i="22"/>
  <c r="N73" i="22"/>
  <c r="M72" i="22"/>
  <c r="N107" i="22"/>
  <c r="N106" i="22"/>
  <c r="M105" i="22"/>
  <c r="E109" i="22"/>
  <c r="N103" i="22"/>
  <c r="N70" i="22"/>
  <c r="E69" i="22"/>
  <c r="E77" i="22"/>
  <c r="N102" i="22"/>
  <c r="N77" i="22"/>
  <c r="N75" i="22"/>
  <c r="M70" i="22"/>
  <c r="N108" i="22"/>
  <c r="E72" i="22"/>
  <c r="E108" i="22"/>
  <c r="E70" i="22"/>
  <c r="N76" i="22"/>
  <c r="N71" i="22"/>
  <c r="E78" i="22"/>
  <c r="N72" i="22"/>
  <c r="M107" i="22"/>
  <c r="N101" i="22"/>
  <c r="N78" i="22"/>
  <c r="M76" i="22"/>
  <c r="N69" i="22"/>
  <c r="E110" i="22"/>
  <c r="M101" i="22"/>
  <c r="M74" i="22"/>
  <c r="N109" i="22"/>
  <c r="E101" i="22"/>
  <c r="E71" i="22"/>
  <c r="Y8" i="22"/>
  <c r="P16" i="20"/>
  <c r="E62" i="17" l="1"/>
  <c r="E61" i="17"/>
  <c r="E83" i="17"/>
  <c r="D83" i="17"/>
  <c r="D82" i="17"/>
  <c r="D62" i="17"/>
  <c r="D90" i="17"/>
  <c r="D89" i="17"/>
  <c r="E89" i="17"/>
  <c r="E68" i="17"/>
  <c r="E82" i="17"/>
  <c r="E69" i="17"/>
  <c r="D69" i="17"/>
  <c r="D61" i="17"/>
  <c r="D68" i="17"/>
  <c r="M89" i="17"/>
  <c r="M69" i="17"/>
  <c r="M90" i="17"/>
  <c r="M61" i="17"/>
  <c r="M82" i="17"/>
  <c r="E90" i="17"/>
  <c r="M68" i="17"/>
  <c r="M83" i="17"/>
  <c r="M62" i="17"/>
  <c r="D75" i="17" l="1"/>
  <c r="D55" i="17"/>
  <c r="D76" i="17"/>
  <c r="M76" i="17"/>
  <c r="M55" i="17"/>
  <c r="E54" i="17"/>
  <c r="D54" i="17"/>
  <c r="M75" i="17"/>
  <c r="E76" i="17"/>
  <c r="M54" i="17"/>
  <c r="E75" i="17"/>
  <c r="E55" i="17"/>
  <c r="E63" i="17"/>
  <c r="D84" i="17"/>
  <c r="D91" i="17"/>
  <c r="E91" i="17"/>
  <c r="D70" i="17"/>
  <c r="E84" i="17"/>
  <c r="D63" i="17"/>
  <c r="E70" i="17"/>
  <c r="M70" i="17"/>
  <c r="M84" i="17"/>
  <c r="M63" i="17"/>
  <c r="M91" i="17"/>
  <c r="P28" i="23"/>
  <c r="P10" i="23"/>
  <c r="O10" i="23"/>
  <c r="T24" i="23" s="1"/>
  <c r="N10" i="23"/>
  <c r="L10" i="23"/>
  <c r="K10" i="23"/>
  <c r="J10" i="23"/>
  <c r="I10" i="23"/>
  <c r="H10" i="23"/>
  <c r="M56" i="17" l="1"/>
  <c r="E77" i="17"/>
  <c r="D56" i="17"/>
  <c r="D77" i="17"/>
  <c r="E56" i="17"/>
  <c r="M77" i="17"/>
  <c r="Q27" i="19"/>
  <c r="F28" i="17" l="1"/>
  <c r="R30" i="23"/>
  <c r="N28" i="17"/>
  <c r="H30" i="23" l="1"/>
  <c r="P15" i="17"/>
  <c r="P11" i="20"/>
  <c r="P14" i="20" s="1"/>
  <c r="I53" i="20"/>
  <c r="G53" i="20"/>
  <c r="F53" i="20"/>
  <c r="D53" i="20"/>
  <c r="I46" i="20"/>
  <c r="G46" i="20"/>
  <c r="F46" i="20"/>
  <c r="D46" i="20"/>
  <c r="G39" i="20"/>
  <c r="F39" i="20"/>
  <c r="S32" i="20"/>
  <c r="Q32" i="20"/>
  <c r="P32" i="20"/>
  <c r="N32" i="20"/>
  <c r="G32" i="20"/>
  <c r="F32" i="20"/>
  <c r="D29" i="18"/>
  <c r="D28" i="18"/>
  <c r="D23" i="18"/>
  <c r="D27" i="18"/>
  <c r="E52" i="18" s="1"/>
  <c r="R12" i="18"/>
  <c r="G12" i="18"/>
  <c r="R11" i="18"/>
  <c r="G11" i="18"/>
  <c r="R10" i="18"/>
  <c r="R9" i="18"/>
  <c r="R8" i="18"/>
  <c r="R7" i="18"/>
  <c r="D21" i="22"/>
  <c r="M114" i="22" l="1"/>
  <c r="M51" i="22"/>
  <c r="M99" i="22"/>
  <c r="D27" i="22"/>
  <c r="E51" i="22" s="1"/>
  <c r="M83" i="22"/>
  <c r="M67" i="22"/>
  <c r="M35" i="22"/>
  <c r="E102" i="18"/>
  <c r="F111" i="18"/>
  <c r="F107" i="18"/>
  <c r="F103" i="18"/>
  <c r="E111" i="18"/>
  <c r="F109" i="18"/>
  <c r="E103" i="18"/>
  <c r="E110" i="18"/>
  <c r="F110" i="18"/>
  <c r="F106" i="18"/>
  <c r="F102" i="18"/>
  <c r="F105" i="18"/>
  <c r="F104" i="18"/>
  <c r="E109" i="18"/>
  <c r="E89" i="20" s="1"/>
  <c r="E105" i="18"/>
  <c r="F108" i="18"/>
  <c r="E107" i="18"/>
  <c r="E106" i="18"/>
  <c r="O115" i="18"/>
  <c r="E100" i="18"/>
  <c r="E84" i="18"/>
  <c r="E68" i="18"/>
  <c r="E115" i="18"/>
  <c r="O100" i="18"/>
  <c r="O52" i="18"/>
  <c r="O68" i="18"/>
  <c r="O84" i="18"/>
  <c r="F126" i="18"/>
  <c r="F125" i="18"/>
  <c r="F124" i="18"/>
  <c r="F123" i="18"/>
  <c r="F122" i="18"/>
  <c r="F121" i="18"/>
  <c r="F120" i="18"/>
  <c r="F119" i="18"/>
  <c r="F118" i="18"/>
  <c r="F117" i="18"/>
  <c r="P95" i="18"/>
  <c r="F95" i="18"/>
  <c r="P94" i="18"/>
  <c r="F94" i="18"/>
  <c r="P93" i="18"/>
  <c r="F93" i="18"/>
  <c r="E124" i="18"/>
  <c r="E120" i="18"/>
  <c r="E119" i="18"/>
  <c r="O93" i="18"/>
  <c r="F92" i="18"/>
  <c r="F90" i="18"/>
  <c r="F88" i="18"/>
  <c r="F86" i="18"/>
  <c r="E118" i="18"/>
  <c r="E95" i="18"/>
  <c r="E92" i="18"/>
  <c r="E90" i="18"/>
  <c r="E88" i="18"/>
  <c r="E86" i="18"/>
  <c r="E125" i="18"/>
  <c r="E121" i="18"/>
  <c r="P92" i="18"/>
  <c r="P90" i="18"/>
  <c r="P88" i="18"/>
  <c r="P86" i="18"/>
  <c r="E117" i="18"/>
  <c r="E94" i="18"/>
  <c r="O92" i="18"/>
  <c r="O90" i="18"/>
  <c r="O88" i="18"/>
  <c r="O86" i="18"/>
  <c r="E126" i="18"/>
  <c r="E122" i="18"/>
  <c r="O95" i="18"/>
  <c r="F91" i="18"/>
  <c r="F89" i="18"/>
  <c r="F87" i="18"/>
  <c r="P91" i="18"/>
  <c r="O94" i="18"/>
  <c r="E93" i="18"/>
  <c r="O91" i="18"/>
  <c r="P89" i="18"/>
  <c r="E89" i="18"/>
  <c r="E123" i="18"/>
  <c r="E91" i="18"/>
  <c r="O89" i="18"/>
  <c r="P87" i="18"/>
  <c r="O87" i="18"/>
  <c r="E87" i="18"/>
  <c r="P14" i="17"/>
  <c r="P13" i="17"/>
  <c r="P16" i="17" s="1"/>
  <c r="P13" i="20"/>
  <c r="P12" i="20"/>
  <c r="P15" i="20" s="1"/>
  <c r="O88" i="20"/>
  <c r="O81" i="20"/>
  <c r="O95" i="20"/>
  <c r="E36" i="18"/>
  <c r="O36" i="18"/>
  <c r="O67" i="20"/>
  <c r="O60" i="20"/>
  <c r="O74" i="20"/>
  <c r="O39" i="20"/>
  <c r="O46" i="20"/>
  <c r="O53" i="20"/>
  <c r="O32" i="20"/>
  <c r="E81" i="20"/>
  <c r="E88" i="20"/>
  <c r="E60" i="20"/>
  <c r="E95" i="20"/>
  <c r="E67" i="20"/>
  <c r="E74" i="20"/>
  <c r="D96" i="20"/>
  <c r="D76" i="20"/>
  <c r="D68" i="20"/>
  <c r="E46" i="20"/>
  <c r="E53" i="20"/>
  <c r="E39" i="20"/>
  <c r="E99" i="22" l="1"/>
  <c r="E67" i="22"/>
  <c r="E114" i="22"/>
  <c r="E83" i="22"/>
  <c r="E68" i="20"/>
  <c r="E76" i="20"/>
  <c r="E35" i="22"/>
  <c r="E96" i="20"/>
  <c r="E69" i="20"/>
  <c r="D83" i="20"/>
  <c r="E90" i="20"/>
  <c r="E97" i="20"/>
  <c r="D75" i="20"/>
  <c r="D61" i="20" s="1"/>
  <c r="D69" i="20"/>
  <c r="D62" i="20" s="1"/>
  <c r="D89" i="20"/>
  <c r="D82" i="20" s="1"/>
  <c r="E75" i="20"/>
  <c r="O76" i="20"/>
  <c r="O77" i="20" s="1"/>
  <c r="O69" i="20"/>
  <c r="D98" i="20"/>
  <c r="E62" i="20" l="1"/>
  <c r="O62" i="20"/>
  <c r="E82" i="20"/>
  <c r="E61" i="20"/>
  <c r="E83" i="20"/>
  <c r="E70" i="20"/>
  <c r="E91" i="20"/>
  <c r="E98" i="20"/>
  <c r="D77" i="20"/>
  <c r="D91" i="20"/>
  <c r="D84" i="20" s="1"/>
  <c r="D70" i="20"/>
  <c r="E77" i="20"/>
  <c r="O70" i="20"/>
  <c r="O63" i="20" s="1"/>
  <c r="E63" i="20" l="1"/>
  <c r="E84" i="20"/>
  <c r="D63" i="20"/>
  <c r="G46" i="17"/>
  <c r="D46" i="17"/>
  <c r="G39" i="17"/>
  <c r="O25" i="17"/>
  <c r="L25" i="17"/>
  <c r="H32" i="17"/>
  <c r="E39" i="17" l="1"/>
  <c r="M25" i="17"/>
  <c r="E32" i="17"/>
  <c r="E46" i="17"/>
  <c r="H46" i="17" l="1"/>
  <c r="H39" i="17"/>
  <c r="P25" i="17"/>
  <c r="O28" i="17" l="1"/>
  <c r="P28" i="17"/>
  <c r="H28" i="17" l="1"/>
  <c r="G28" i="17"/>
  <c r="L14" i="26" l="1"/>
  <c r="L13" i="26" s="1"/>
  <c r="B3" i="5" l="1"/>
  <c r="B2" i="5"/>
  <c r="C13" i="19" l="1"/>
  <c r="L11" i="19" s="1"/>
  <c r="L10" i="19" l="1"/>
  <c r="L14" i="19"/>
  <c r="C5" i="26" l="1"/>
  <c r="K11" i="26" s="1"/>
  <c r="K10" i="26" s="1"/>
  <c r="K23" i="26" l="1"/>
  <c r="C8" i="26"/>
  <c r="M11" i="26" s="1"/>
  <c r="M10" i="26" s="1"/>
  <c r="M23" i="26" l="1"/>
  <c r="C12" i="26"/>
  <c r="N11" i="26" s="1"/>
  <c r="N10" i="26" s="1"/>
  <c r="N14" i="26" l="1"/>
  <c r="N13" i="26" s="1"/>
  <c r="N23" i="26"/>
  <c r="C12" i="19"/>
  <c r="N11" i="19" l="1"/>
  <c r="N10" i="19" s="1"/>
  <c r="N14" i="19" l="1"/>
  <c r="N13" i="19" s="1"/>
  <c r="O14" i="26" l="1"/>
  <c r="O13" i="26" s="1"/>
  <c r="P14" i="26" l="1"/>
  <c r="P13" i="26" l="1"/>
  <c r="X22" i="26" s="1"/>
  <c r="X23" i="26"/>
  <c r="C7" i="19"/>
  <c r="P11" i="19" s="1"/>
  <c r="W23" i="19" s="1"/>
  <c r="C11" i="19"/>
  <c r="Q11" i="19" s="1"/>
  <c r="Q14" i="19"/>
  <c r="P14" i="19"/>
  <c r="X23" i="19" s="1"/>
  <c r="C14" i="19"/>
  <c r="Q10" i="19" l="1"/>
  <c r="O11" i="19"/>
  <c r="O10" i="19" s="1"/>
  <c r="Q13" i="19"/>
  <c r="P13" i="19"/>
  <c r="X22" i="19" s="1"/>
  <c r="O14" i="19"/>
  <c r="L13" i="19"/>
  <c r="P10" i="19" l="1"/>
  <c r="W22" i="19" s="1"/>
  <c r="O13" i="19"/>
  <c r="M14" i="26" l="1"/>
  <c r="M13" i="26" s="1"/>
  <c r="K14" i="26"/>
  <c r="K13" i="26" s="1"/>
  <c r="C8" i="19" l="1"/>
  <c r="M11" i="19" s="1"/>
  <c r="C5" i="19"/>
  <c r="K11" i="19" s="1"/>
  <c r="K10" i="19" l="1"/>
  <c r="M14" i="19"/>
  <c r="M13" i="19" s="1"/>
  <c r="M10" i="19"/>
  <c r="K14" i="19" l="1"/>
  <c r="K13" i="19" s="1"/>
  <c r="C9" i="26" l="1"/>
  <c r="I11" i="26" s="1"/>
  <c r="I10" i="26" s="1"/>
  <c r="I23" i="26" l="1"/>
  <c r="C9" i="19"/>
  <c r="I14" i="19" l="1"/>
  <c r="I13" i="19" s="1"/>
  <c r="I14" i="26"/>
  <c r="I13" i="26" s="1"/>
  <c r="I11" i="19"/>
  <c r="I10" i="19" s="1"/>
  <c r="S23" i="5"/>
  <c r="C17" i="26" l="1"/>
  <c r="T11" i="26" s="1"/>
  <c r="C17" i="19"/>
  <c r="T11" i="19" s="1"/>
  <c r="N148" i="5" l="1"/>
  <c r="H6" i="26" l="1"/>
  <c r="AA39" i="18" l="1"/>
  <c r="AB39" i="18"/>
  <c r="AA40" i="18"/>
  <c r="AB40" i="18"/>
  <c r="AA41" i="18"/>
  <c r="AB41" i="18"/>
  <c r="AA42" i="18"/>
  <c r="AB42" i="18"/>
  <c r="AA34" i="27"/>
  <c r="AB34" i="27"/>
  <c r="E10" i="18" l="1"/>
  <c r="G10" i="18" s="1"/>
  <c r="E8" i="18"/>
  <c r="G8" i="18" s="1"/>
  <c r="E7" i="27"/>
  <c r="G7" i="27" s="1"/>
  <c r="G15" i="27" s="1"/>
  <c r="E7" i="18"/>
  <c r="G7" i="18" s="1"/>
  <c r="E9" i="18"/>
  <c r="G9" i="18" s="1"/>
  <c r="AD29" i="22"/>
  <c r="V29" i="22"/>
  <c r="AC28" i="22"/>
  <c r="U23" i="22"/>
  <c r="Y8" i="18" l="1"/>
  <c r="V26" i="22"/>
  <c r="D42" i="18"/>
  <c r="R26" i="22"/>
  <c r="F42" i="18"/>
  <c r="U28" i="22"/>
  <c r="C39" i="18"/>
  <c r="Q23" i="22"/>
  <c r="E39" i="18"/>
  <c r="Y29" i="22"/>
  <c r="M45" i="18"/>
  <c r="O10" i="20"/>
  <c r="O45" i="18"/>
  <c r="D39" i="18"/>
  <c r="R23" i="22"/>
  <c r="F39" i="18"/>
  <c r="C45" i="18"/>
  <c r="Q29" i="22"/>
  <c r="N10" i="20"/>
  <c r="E45" i="18"/>
  <c r="C38" i="18"/>
  <c r="Q22" i="22"/>
  <c r="E38" i="18"/>
  <c r="D46" i="18"/>
  <c r="R30" i="22"/>
  <c r="F46" i="18"/>
  <c r="Z23" i="22"/>
  <c r="N39" i="18"/>
  <c r="P39" i="18"/>
  <c r="M38" i="18"/>
  <c r="Y22" i="22"/>
  <c r="O38" i="18"/>
  <c r="AC23" i="22"/>
  <c r="C62" i="18"/>
  <c r="S30" i="22"/>
  <c r="M125" i="18"/>
  <c r="M110" i="18"/>
  <c r="O110" i="18"/>
  <c r="O125" i="18"/>
  <c r="E62" i="18"/>
  <c r="D57" i="18"/>
  <c r="N105" i="18"/>
  <c r="T25" i="22"/>
  <c r="N120" i="18"/>
  <c r="F57" i="18"/>
  <c r="P105" i="18"/>
  <c r="P120" i="18"/>
  <c r="M62" i="18"/>
  <c r="AA30" i="22"/>
  <c r="O62" i="18"/>
  <c r="AB25" i="22"/>
  <c r="N57" i="18"/>
  <c r="P57" i="18"/>
  <c r="V27" i="22"/>
  <c r="C42" i="18"/>
  <c r="Q26" i="22"/>
  <c r="E42" i="18"/>
  <c r="C43" i="18"/>
  <c r="Q27" i="22"/>
  <c r="E43" i="18"/>
  <c r="U26" i="22"/>
  <c r="Y26" i="22"/>
  <c r="M42" i="18"/>
  <c r="O42" i="18"/>
  <c r="M40" i="18"/>
  <c r="Y24" i="22"/>
  <c r="O40" i="18"/>
  <c r="AC25" i="22"/>
  <c r="Z25" i="22"/>
  <c r="N41" i="18"/>
  <c r="P41" i="18"/>
  <c r="V24" i="22"/>
  <c r="D56" i="18"/>
  <c r="T24" i="22"/>
  <c r="N119" i="18"/>
  <c r="N104" i="18"/>
  <c r="P104" i="18"/>
  <c r="P119" i="18"/>
  <c r="F56" i="18"/>
  <c r="D60" i="18"/>
  <c r="N123" i="18"/>
  <c r="N108" i="18"/>
  <c r="T28" i="22"/>
  <c r="P108" i="18"/>
  <c r="F60" i="18"/>
  <c r="P123" i="18"/>
  <c r="C60" i="18"/>
  <c r="M123" i="18"/>
  <c r="M108" i="18"/>
  <c r="S28" i="22"/>
  <c r="O108" i="18"/>
  <c r="O123" i="18"/>
  <c r="E60" i="18"/>
  <c r="AD24" i="22"/>
  <c r="N56" i="18"/>
  <c r="AB24" i="22"/>
  <c r="P56" i="18"/>
  <c r="N60" i="18"/>
  <c r="AB28" i="22"/>
  <c r="P60" i="18"/>
  <c r="M60" i="18"/>
  <c r="AA28" i="22"/>
  <c r="O60" i="18"/>
  <c r="U29" i="22"/>
  <c r="D43" i="18"/>
  <c r="R27" i="22"/>
  <c r="F43" i="18"/>
  <c r="C47" i="18"/>
  <c r="Q31" i="22"/>
  <c r="E47" i="18"/>
  <c r="AC29" i="22"/>
  <c r="AC27" i="22"/>
  <c r="Z27" i="22"/>
  <c r="N43" i="18"/>
  <c r="P43" i="18"/>
  <c r="M44" i="18"/>
  <c r="Y28" i="22"/>
  <c r="O44" i="18"/>
  <c r="D58" i="18"/>
  <c r="N106" i="18"/>
  <c r="N121" i="18"/>
  <c r="T26" i="22"/>
  <c r="F58" i="18"/>
  <c r="P121" i="18"/>
  <c r="P106" i="18"/>
  <c r="C59" i="18"/>
  <c r="M122" i="18"/>
  <c r="M107" i="18"/>
  <c r="S27" i="22"/>
  <c r="O107" i="18"/>
  <c r="O122" i="18"/>
  <c r="E59" i="18"/>
  <c r="D54" i="18"/>
  <c r="T22" i="22"/>
  <c r="N117" i="18"/>
  <c r="N102" i="18"/>
  <c r="P102" i="18"/>
  <c r="P117" i="18"/>
  <c r="F54" i="18"/>
  <c r="V31" i="22"/>
  <c r="N58" i="18"/>
  <c r="AB26" i="22"/>
  <c r="P58" i="18"/>
  <c r="AA27" i="22"/>
  <c r="M59" i="18"/>
  <c r="O59" i="18"/>
  <c r="N54" i="18"/>
  <c r="AB22" i="22"/>
  <c r="P54" i="18"/>
  <c r="AD31" i="22"/>
  <c r="N47" i="18"/>
  <c r="Z31" i="22"/>
  <c r="P47" i="18"/>
  <c r="N45" i="18"/>
  <c r="Z29" i="22"/>
  <c r="O11" i="20"/>
  <c r="P45" i="18"/>
  <c r="Y30" i="22"/>
  <c r="M46" i="18"/>
  <c r="O46" i="18"/>
  <c r="AC31" i="22"/>
  <c r="C61" i="18"/>
  <c r="M109" i="18"/>
  <c r="M124" i="18"/>
  <c r="S29" i="22"/>
  <c r="N13" i="20"/>
  <c r="E61" i="18"/>
  <c r="O109" i="18"/>
  <c r="O124" i="18"/>
  <c r="V30" i="22"/>
  <c r="C57" i="18"/>
  <c r="S25" i="22"/>
  <c r="M120" i="18"/>
  <c r="M105" i="18"/>
  <c r="O105" i="18"/>
  <c r="O120" i="18"/>
  <c r="E57" i="18"/>
  <c r="C55" i="18"/>
  <c r="S23" i="22"/>
  <c r="M118" i="18"/>
  <c r="M103" i="18"/>
  <c r="O118" i="18"/>
  <c r="E55" i="18"/>
  <c r="O103" i="18"/>
  <c r="AA29" i="22"/>
  <c r="M61" i="18"/>
  <c r="O13" i="20"/>
  <c r="O61" i="18"/>
  <c r="AD30" i="22"/>
  <c r="M57" i="18"/>
  <c r="AA25" i="22"/>
  <c r="O57" i="18"/>
  <c r="M55" i="18"/>
  <c r="AA23" i="22"/>
  <c r="O55" i="18"/>
  <c r="U31" i="22"/>
  <c r="Z26" i="22"/>
  <c r="N42" i="18"/>
  <c r="P42" i="18"/>
  <c r="M43" i="18"/>
  <c r="Y27" i="22"/>
  <c r="O43" i="18"/>
  <c r="U25" i="22"/>
  <c r="D47" i="18"/>
  <c r="R31" i="22"/>
  <c r="F47" i="18"/>
  <c r="C40" i="18"/>
  <c r="Q24" i="22"/>
  <c r="E40" i="18"/>
  <c r="C46" i="18"/>
  <c r="Q30" i="22"/>
  <c r="E46" i="18"/>
  <c r="U30" i="22"/>
  <c r="Z22" i="22"/>
  <c r="N38" i="18"/>
  <c r="P38" i="18"/>
  <c r="D55" i="18"/>
  <c r="T23" i="22"/>
  <c r="N103" i="18"/>
  <c r="N118" i="18"/>
  <c r="F55" i="18"/>
  <c r="P118" i="18"/>
  <c r="P103" i="18"/>
  <c r="C63" i="18"/>
  <c r="M126" i="18"/>
  <c r="M111" i="18"/>
  <c r="S31" i="22"/>
  <c r="E63" i="18"/>
  <c r="O126" i="18"/>
  <c r="O111" i="18"/>
  <c r="V28" i="22"/>
  <c r="AB23" i="22"/>
  <c r="N55" i="18"/>
  <c r="P55" i="18"/>
  <c r="AA31" i="22"/>
  <c r="M63" i="18"/>
  <c r="O63" i="18"/>
  <c r="AD28" i="22"/>
  <c r="Y23" i="22"/>
  <c r="M39" i="18"/>
  <c r="O39" i="18"/>
  <c r="U27" i="22"/>
  <c r="D44" i="18"/>
  <c r="R28" i="22"/>
  <c r="F44" i="18"/>
  <c r="D41" i="18"/>
  <c r="R25" i="22"/>
  <c r="F41" i="18"/>
  <c r="D45" i="18"/>
  <c r="R29" i="22"/>
  <c r="N11" i="20"/>
  <c r="F45" i="18"/>
  <c r="D38" i="18"/>
  <c r="R22" i="22"/>
  <c r="F38" i="18"/>
  <c r="C44" i="18"/>
  <c r="Q28" i="22"/>
  <c r="E44" i="18"/>
  <c r="AC24" i="22"/>
  <c r="Z24" i="22"/>
  <c r="N40" i="18"/>
  <c r="P40" i="18"/>
  <c r="M41" i="18"/>
  <c r="Y25" i="22"/>
  <c r="O41" i="18"/>
  <c r="C58" i="18"/>
  <c r="M106" i="18"/>
  <c r="S26" i="22"/>
  <c r="M121" i="18"/>
  <c r="O121" i="18"/>
  <c r="O106" i="18"/>
  <c r="E58" i="18"/>
  <c r="C56" i="18"/>
  <c r="S24" i="22"/>
  <c r="M119" i="18"/>
  <c r="M104" i="18"/>
  <c r="O104" i="18"/>
  <c r="E56" i="18"/>
  <c r="O119" i="18"/>
  <c r="C54" i="18"/>
  <c r="M102" i="18"/>
  <c r="S22" i="22"/>
  <c r="M117" i="18"/>
  <c r="O102" i="18"/>
  <c r="E54" i="18"/>
  <c r="O117" i="18"/>
  <c r="D62" i="18"/>
  <c r="T30" i="22"/>
  <c r="N125" i="18"/>
  <c r="N110" i="18"/>
  <c r="P110" i="18"/>
  <c r="F62" i="18"/>
  <c r="P125" i="18"/>
  <c r="M58" i="18"/>
  <c r="AA26" i="22"/>
  <c r="O58" i="18"/>
  <c r="AA24" i="22"/>
  <c r="M56" i="18"/>
  <c r="O56" i="18"/>
  <c r="M54" i="18"/>
  <c r="AA22" i="22"/>
  <c r="O54" i="18"/>
  <c r="N62" i="18"/>
  <c r="AB30" i="22"/>
  <c r="P62" i="18"/>
  <c r="AC26" i="22"/>
  <c r="U24" i="22"/>
  <c r="D40" i="18"/>
  <c r="R24" i="22"/>
  <c r="F40" i="18"/>
  <c r="C41" i="18"/>
  <c r="Q25" i="22"/>
  <c r="E41" i="18"/>
  <c r="V25" i="22"/>
  <c r="AD27" i="22"/>
  <c r="AD25" i="22"/>
  <c r="AD26" i="22"/>
  <c r="N44" i="18"/>
  <c r="Z28" i="22"/>
  <c r="P44" i="18"/>
  <c r="AC30" i="22"/>
  <c r="Z30" i="22"/>
  <c r="N46" i="18"/>
  <c r="P46" i="18"/>
  <c r="D63" i="18"/>
  <c r="N126" i="18"/>
  <c r="N111" i="18"/>
  <c r="T31" i="22"/>
  <c r="P111" i="18"/>
  <c r="P126" i="18"/>
  <c r="F63" i="18"/>
  <c r="D61" i="18"/>
  <c r="T29" i="22"/>
  <c r="N124" i="18"/>
  <c r="N109" i="18"/>
  <c r="N14" i="20"/>
  <c r="P109" i="18"/>
  <c r="F61" i="18"/>
  <c r="P124" i="18"/>
  <c r="D59" i="18"/>
  <c r="T27" i="22"/>
  <c r="N122" i="18"/>
  <c r="N107" i="18"/>
  <c r="F59" i="18"/>
  <c r="P122" i="18"/>
  <c r="P107" i="18"/>
  <c r="V23" i="22"/>
  <c r="AB31" i="22"/>
  <c r="N63" i="18"/>
  <c r="P63" i="18"/>
  <c r="N61" i="18"/>
  <c r="AB29" i="22"/>
  <c r="O14" i="20"/>
  <c r="P61" i="18"/>
  <c r="AB27" i="22"/>
  <c r="N59" i="18"/>
  <c r="P59" i="18"/>
  <c r="AD23" i="22"/>
  <c r="M47" i="18"/>
  <c r="Y31" i="22"/>
  <c r="O47" i="18"/>
  <c r="O48" i="20" l="1"/>
  <c r="O55" i="20"/>
  <c r="N48" i="20"/>
  <c r="D48" i="20"/>
  <c r="E47" i="20"/>
  <c r="N55" i="20"/>
  <c r="E55" i="20"/>
  <c r="D47" i="20"/>
  <c r="E54" i="20"/>
  <c r="O54" i="20"/>
  <c r="E48" i="20"/>
  <c r="O47" i="20"/>
  <c r="D55" i="20"/>
  <c r="D54" i="20"/>
  <c r="N54" i="20"/>
  <c r="N47" i="20"/>
  <c r="N89" i="20"/>
  <c r="O96" i="20"/>
  <c r="N96" i="20"/>
  <c r="O89" i="20"/>
  <c r="N90" i="20"/>
  <c r="O97" i="20"/>
  <c r="O90" i="20"/>
  <c r="N97" i="20"/>
  <c r="N48" i="18"/>
  <c r="M112" i="18"/>
  <c r="O15" i="17"/>
  <c r="L60" i="22"/>
  <c r="L48" i="17" s="1"/>
  <c r="N60" i="22"/>
  <c r="M48" i="17" s="1"/>
  <c r="M64" i="18"/>
  <c r="O112" i="18"/>
  <c r="C55" i="22"/>
  <c r="E55" i="22"/>
  <c r="L39" i="22"/>
  <c r="N39" i="22"/>
  <c r="D44" i="22"/>
  <c r="D47" i="17" s="1"/>
  <c r="N12" i="17"/>
  <c r="F44" i="22"/>
  <c r="E47" i="17" s="1"/>
  <c r="L41" i="22"/>
  <c r="N41" i="22"/>
  <c r="O15" i="20"/>
  <c r="C60" i="22"/>
  <c r="D41" i="17" s="1"/>
  <c r="N14" i="17"/>
  <c r="E60" i="22"/>
  <c r="E41" i="17" s="1"/>
  <c r="P64" i="18"/>
  <c r="N127" i="18"/>
  <c r="K43" i="22"/>
  <c r="M43" i="22"/>
  <c r="L40" i="22"/>
  <c r="N40" i="22"/>
  <c r="C42" i="22"/>
  <c r="E42" i="22"/>
  <c r="K61" i="22"/>
  <c r="M61" i="22"/>
  <c r="L38" i="22"/>
  <c r="N38" i="22"/>
  <c r="E48" i="18"/>
  <c r="L62" i="22"/>
  <c r="N62" i="22"/>
  <c r="U22" i="22"/>
  <c r="D80" i="18"/>
  <c r="C112" i="18"/>
  <c r="D112" i="18"/>
  <c r="C80" i="18"/>
  <c r="F80" i="18"/>
  <c r="E80" i="18"/>
  <c r="E112" i="18"/>
  <c r="F112" i="18"/>
  <c r="K57" i="22"/>
  <c r="M57" i="22"/>
  <c r="M127" i="18"/>
  <c r="F48" i="18"/>
  <c r="K38" i="22"/>
  <c r="M38" i="22"/>
  <c r="K45" i="22"/>
  <c r="M45" i="22"/>
  <c r="L53" i="22"/>
  <c r="N53" i="22"/>
  <c r="D53" i="22"/>
  <c r="F53" i="22"/>
  <c r="D57" i="22"/>
  <c r="F57" i="22"/>
  <c r="D42" i="22"/>
  <c r="F42" i="22"/>
  <c r="L55" i="22"/>
  <c r="N55" i="22"/>
  <c r="D55" i="22"/>
  <c r="F55" i="22"/>
  <c r="O48" i="18"/>
  <c r="C37" i="22"/>
  <c r="E37" i="22"/>
  <c r="O12" i="20"/>
  <c r="L61" i="22"/>
  <c r="N61" i="22"/>
  <c r="C53" i="22"/>
  <c r="E53" i="22"/>
  <c r="K40" i="22"/>
  <c r="M40" i="22"/>
  <c r="D37" i="22"/>
  <c r="F37" i="22"/>
  <c r="D43" i="22"/>
  <c r="F43" i="22"/>
  <c r="P48" i="18"/>
  <c r="C45" i="22"/>
  <c r="E45" i="22"/>
  <c r="K42" i="22"/>
  <c r="M42" i="22"/>
  <c r="K56" i="22"/>
  <c r="M56" i="22"/>
  <c r="O14" i="17"/>
  <c r="K60" i="22"/>
  <c r="L41" i="17" s="1"/>
  <c r="M60" i="22"/>
  <c r="M41" i="17" s="1"/>
  <c r="N64" i="18"/>
  <c r="D64" i="18"/>
  <c r="D59" i="22"/>
  <c r="F59" i="22"/>
  <c r="AD22" i="22"/>
  <c r="N96" i="18"/>
  <c r="M96" i="18"/>
  <c r="P96" i="18"/>
  <c r="O96" i="18"/>
  <c r="K37" i="22"/>
  <c r="M37" i="22"/>
  <c r="C48" i="18"/>
  <c r="D48" i="18"/>
  <c r="C56" i="22"/>
  <c r="E56" i="22"/>
  <c r="L46" i="22"/>
  <c r="N46" i="22"/>
  <c r="L57" i="22"/>
  <c r="N57" i="22"/>
  <c r="K41" i="22"/>
  <c r="M41" i="22"/>
  <c r="C61" i="22"/>
  <c r="E61" i="22"/>
  <c r="M48" i="18"/>
  <c r="O11" i="17"/>
  <c r="K44" i="22"/>
  <c r="L40" i="17" s="1"/>
  <c r="M44" i="22"/>
  <c r="M40" i="17" s="1"/>
  <c r="D60" i="22"/>
  <c r="D48" i="17" s="1"/>
  <c r="N15" i="17"/>
  <c r="F60" i="22"/>
  <c r="E48" i="17" s="1"/>
  <c r="C64" i="18"/>
  <c r="C57" i="22"/>
  <c r="E57" i="22"/>
  <c r="L54" i="22"/>
  <c r="N54" i="22"/>
  <c r="L37" i="22"/>
  <c r="N37" i="22"/>
  <c r="D46" i="22"/>
  <c r="F46" i="22"/>
  <c r="F64" i="18"/>
  <c r="C58" i="22"/>
  <c r="E58" i="22"/>
  <c r="C46" i="22"/>
  <c r="E46" i="22"/>
  <c r="L59" i="22"/>
  <c r="N59" i="22"/>
  <c r="L56" i="22"/>
  <c r="N56" i="22"/>
  <c r="D45" i="22"/>
  <c r="F45" i="22"/>
  <c r="D38" i="22"/>
  <c r="F38" i="22"/>
  <c r="L43" i="22"/>
  <c r="N43" i="22"/>
  <c r="K55" i="22"/>
  <c r="M55" i="22"/>
  <c r="C43" i="22"/>
  <c r="E43" i="22"/>
  <c r="D40" i="22"/>
  <c r="F40" i="22"/>
  <c r="AC22" i="22"/>
  <c r="M80" i="18"/>
  <c r="N80" i="18"/>
  <c r="P80" i="18"/>
  <c r="O80" i="18"/>
  <c r="K54" i="22"/>
  <c r="M54" i="22"/>
  <c r="P127" i="18"/>
  <c r="C59" i="22"/>
  <c r="E59" i="22"/>
  <c r="K39" i="22"/>
  <c r="M39" i="22"/>
  <c r="C41" i="22"/>
  <c r="E41" i="22"/>
  <c r="D56" i="22"/>
  <c r="F56" i="22"/>
  <c r="V22" i="22"/>
  <c r="D96" i="18"/>
  <c r="C96" i="18"/>
  <c r="C127" i="18"/>
  <c r="D127" i="18"/>
  <c r="E96" i="18"/>
  <c r="E127" i="18"/>
  <c r="F96" i="18"/>
  <c r="F127" i="18"/>
  <c r="D41" i="22"/>
  <c r="F41" i="22"/>
  <c r="C40" i="22"/>
  <c r="E40" i="22"/>
  <c r="O64" i="18"/>
  <c r="D61" i="22"/>
  <c r="F61" i="22"/>
  <c r="O127" i="18"/>
  <c r="D54" i="22"/>
  <c r="F54" i="22"/>
  <c r="C54" i="22"/>
  <c r="E54" i="22"/>
  <c r="O12" i="17"/>
  <c r="L44" i="22"/>
  <c r="L47" i="17" s="1"/>
  <c r="N44" i="22"/>
  <c r="M47" i="17" s="1"/>
  <c r="P112" i="18"/>
  <c r="L42" i="22"/>
  <c r="N42" i="22"/>
  <c r="N12" i="20"/>
  <c r="D39" i="22"/>
  <c r="F39" i="22"/>
  <c r="L58" i="22"/>
  <c r="N58" i="22"/>
  <c r="D58" i="22"/>
  <c r="F58" i="22"/>
  <c r="K46" i="22"/>
  <c r="M46" i="22"/>
  <c r="D62" i="22"/>
  <c r="F62" i="22"/>
  <c r="L45" i="22"/>
  <c r="N45" i="22"/>
  <c r="K53" i="22"/>
  <c r="M53" i="22"/>
  <c r="E64" i="18"/>
  <c r="K62" i="22"/>
  <c r="M62" i="22"/>
  <c r="C62" i="22"/>
  <c r="E62" i="22"/>
  <c r="C39" i="22"/>
  <c r="E39" i="22"/>
  <c r="N15" i="20"/>
  <c r="K58" i="22"/>
  <c r="M58" i="22"/>
  <c r="N112" i="18"/>
  <c r="K59" i="22"/>
  <c r="M59" i="22"/>
  <c r="C44" i="22"/>
  <c r="D40" i="17" s="1"/>
  <c r="N11" i="17"/>
  <c r="E44" i="22"/>
  <c r="E40" i="17" s="1"/>
  <c r="C38" i="22"/>
  <c r="E38" i="22"/>
  <c r="D56" i="20" l="1"/>
  <c r="O56" i="20"/>
  <c r="O82" i="20"/>
  <c r="E41" i="20"/>
  <c r="D40" i="20"/>
  <c r="N41" i="20"/>
  <c r="O41" i="20"/>
  <c r="N82" i="20"/>
  <c r="E56" i="20"/>
  <c r="O91" i="20"/>
  <c r="N40" i="20"/>
  <c r="D49" i="20"/>
  <c r="E49" i="20"/>
  <c r="O40" i="20"/>
  <c r="E40" i="20"/>
  <c r="D41" i="20"/>
  <c r="N91" i="20"/>
  <c r="O49" i="20"/>
  <c r="N49" i="20"/>
  <c r="O16" i="17"/>
  <c r="N56" i="20"/>
  <c r="O98" i="20"/>
  <c r="O83" i="20"/>
  <c r="N83" i="20"/>
  <c r="N98" i="20"/>
  <c r="N13" i="17"/>
  <c r="M49" i="17"/>
  <c r="L34" i="17"/>
  <c r="K63" i="22"/>
  <c r="M47" i="22"/>
  <c r="M34" i="17"/>
  <c r="L42" i="17"/>
  <c r="E42" i="17"/>
  <c r="E33" i="17"/>
  <c r="M63" i="22"/>
  <c r="M42" i="17"/>
  <c r="M33" i="17"/>
  <c r="N63" i="22"/>
  <c r="E63" i="22"/>
  <c r="L63" i="22"/>
  <c r="K79" i="22"/>
  <c r="K111" i="22"/>
  <c r="L79" i="22"/>
  <c r="L111" i="22"/>
  <c r="M79" i="22"/>
  <c r="M111" i="22"/>
  <c r="N111" i="22"/>
  <c r="N79" i="22"/>
  <c r="O13" i="17"/>
  <c r="K47" i="22"/>
  <c r="C63" i="22"/>
  <c r="E49" i="17"/>
  <c r="C95" i="22"/>
  <c r="D126" i="22"/>
  <c r="D95" i="22"/>
  <c r="C126" i="22"/>
  <c r="F126" i="22"/>
  <c r="E126" i="22"/>
  <c r="E95" i="22"/>
  <c r="F95" i="22"/>
  <c r="N47" i="22"/>
  <c r="L95" i="22"/>
  <c r="L126" i="22"/>
  <c r="K95" i="22"/>
  <c r="K126" i="22"/>
  <c r="N126" i="22"/>
  <c r="M126" i="22"/>
  <c r="M95" i="22"/>
  <c r="N95" i="22"/>
  <c r="F47" i="22"/>
  <c r="L47" i="22"/>
  <c r="D47" i="22"/>
  <c r="E47" i="22"/>
  <c r="F63" i="22"/>
  <c r="C111" i="22"/>
  <c r="D79" i="22"/>
  <c r="C79" i="22"/>
  <c r="D111" i="22"/>
  <c r="F111" i="22"/>
  <c r="E111" i="22"/>
  <c r="E79" i="22"/>
  <c r="F79" i="22"/>
  <c r="E34" i="17"/>
  <c r="D49" i="17"/>
  <c r="C47" i="22"/>
  <c r="D63" i="22"/>
  <c r="N16" i="17"/>
  <c r="D33" i="17"/>
  <c r="D42" i="17"/>
  <c r="L33" i="17"/>
  <c r="L49" i="17"/>
  <c r="D34" i="17"/>
  <c r="O42" i="20" l="1"/>
  <c r="D42" i="20"/>
  <c r="E42" i="20"/>
  <c r="O84" i="20"/>
  <c r="N84" i="20"/>
  <c r="N42" i="20"/>
  <c r="M35" i="17"/>
  <c r="L35" i="17"/>
  <c r="D35" i="17"/>
  <c r="E35" i="17"/>
  <c r="S10" i="5" l="1"/>
  <c r="S106" i="5" l="1"/>
  <c r="N133" i="2" l="1"/>
  <c r="N143" i="2" l="1"/>
  <c r="N145" i="2" l="1"/>
  <c r="T10" i="5" l="1"/>
  <c r="U10" i="5"/>
  <c r="U106" i="5" s="1"/>
  <c r="T106" i="5" l="1"/>
  <c r="D4" i="26" s="1"/>
  <c r="C4" i="26"/>
  <c r="C4" i="19"/>
  <c r="D4" i="19" l="1"/>
  <c r="G14" i="19" s="1"/>
  <c r="G11" i="19"/>
  <c r="G11" i="26"/>
  <c r="G14" i="26"/>
  <c r="G10" i="26" l="1"/>
  <c r="G23" i="26" s="1"/>
  <c r="G10" i="19"/>
  <c r="G13" i="26"/>
  <c r="G13" i="19"/>
  <c r="O143" i="2"/>
  <c r="O145" i="2" l="1"/>
  <c r="U21" i="5"/>
  <c r="U117" i="5" l="1"/>
  <c r="T112" i="5" l="1"/>
  <c r="Q22" i="24" l="1"/>
  <c r="M107" i="5"/>
  <c r="H37" i="19" l="1"/>
  <c r="H38" i="19" l="1"/>
  <c r="H6" i="19"/>
  <c r="G10" i="23" s="1"/>
  <c r="R70" i="2" l="1"/>
  <c r="T21" i="5" l="1"/>
  <c r="T117" i="5" s="1"/>
  <c r="S21" i="5"/>
  <c r="R81" i="2"/>
  <c r="C15" i="19" l="1"/>
  <c r="S11" i="19" s="1"/>
  <c r="S10" i="19" s="1"/>
  <c r="C15" i="26"/>
  <c r="S11" i="26" s="1"/>
  <c r="S10" i="26" s="1"/>
  <c r="S23" i="26" s="1"/>
  <c r="R108" i="2"/>
  <c r="S108" i="2" s="1"/>
  <c r="E65" i="5" l="1"/>
  <c r="G65" i="5" l="1"/>
  <c r="Q133" i="2"/>
  <c r="Q143" i="2" s="1"/>
  <c r="Q145" i="2" s="1"/>
  <c r="R92" i="2"/>
  <c r="S92" i="2" s="1"/>
  <c r="S133" i="2" s="1"/>
  <c r="S143" i="2" s="1"/>
  <c r="C5" i="5" l="1"/>
  <c r="S145" i="2"/>
  <c r="S16" i="5"/>
  <c r="S112" i="5" s="1"/>
  <c r="R133" i="2"/>
  <c r="E66" i="5"/>
  <c r="G66" i="5" s="1"/>
  <c r="C10" i="19" l="1"/>
  <c r="J11" i="19" s="1"/>
  <c r="J10" i="19" s="1"/>
  <c r="C10" i="26"/>
  <c r="J11" i="26" s="1"/>
  <c r="J10" i="26" s="1"/>
  <c r="J23" i="26" s="1"/>
  <c r="E101" i="5"/>
  <c r="D10" i="19"/>
  <c r="J14" i="19" s="1"/>
  <c r="J13" i="19" s="1"/>
  <c r="D10" i="26"/>
  <c r="J14" i="26" s="1"/>
  <c r="J13" i="26" s="1"/>
  <c r="H66" i="5"/>
  <c r="H101" i="5" l="1"/>
  <c r="T12" i="5"/>
  <c r="I66" i="5"/>
  <c r="U12" i="5" l="1"/>
  <c r="I101" i="5"/>
  <c r="J66" i="5"/>
  <c r="T24" i="5"/>
  <c r="V12" i="5" l="1"/>
  <c r="J101" i="5"/>
  <c r="U108" i="5"/>
  <c r="U120" i="5" s="1"/>
  <c r="Q41" i="24" s="1"/>
  <c r="U24" i="5"/>
  <c r="V108" i="5" l="1"/>
  <c r="V120" i="5" s="1"/>
  <c r="Q42" i="24" s="1"/>
  <c r="V24" i="5"/>
  <c r="AB27" i="26" l="1"/>
  <c r="T35" i="26" s="1"/>
  <c r="S6" i="30" l="1"/>
  <c r="S10" i="30" s="1"/>
  <c r="T20" i="30" l="1"/>
  <c r="T10" i="30"/>
  <c r="Q29" i="30" s="1"/>
  <c r="N27" i="17" l="1"/>
  <c r="R29" i="30"/>
  <c r="O27" i="17" l="1"/>
  <c r="P27" i="17"/>
  <c r="R143" i="2" l="1"/>
  <c r="Q5" i="24" l="1"/>
  <c r="Q6" i="24" s="1"/>
  <c r="R145" i="2"/>
  <c r="S12" i="5" l="1"/>
  <c r="S24" i="5" s="1"/>
  <c r="E102" i="5"/>
  <c r="G101" i="5"/>
  <c r="S108" i="5" l="1"/>
  <c r="C6" i="19"/>
  <c r="C18" i="19" s="1"/>
  <c r="C6" i="26"/>
  <c r="C18" i="26" s="1"/>
  <c r="D6" i="19" l="1"/>
  <c r="D6" i="26"/>
  <c r="H14" i="26" s="1"/>
  <c r="H11" i="19"/>
  <c r="H11" i="26"/>
  <c r="U11" i="26" s="1"/>
  <c r="H10" i="19" l="1"/>
  <c r="U20" i="19"/>
  <c r="V20" i="19" s="1"/>
  <c r="H29" i="19" s="1"/>
  <c r="F35" i="20" s="1"/>
  <c r="H14" i="19"/>
  <c r="H13" i="19" s="1"/>
  <c r="H10" i="26"/>
  <c r="U11" i="19"/>
  <c r="R29" i="19" s="1"/>
  <c r="T29" i="19" s="1"/>
  <c r="U20" i="26"/>
  <c r="V20" i="26" s="1"/>
  <c r="H29" i="26" s="1"/>
  <c r="J29" i="26" s="1"/>
  <c r="H13" i="26"/>
  <c r="H23" i="26" l="1"/>
  <c r="P35" i="20"/>
  <c r="J29" i="19"/>
  <c r="E115" i="5" l="1"/>
  <c r="L115" i="5"/>
  <c r="S117" i="5" s="1"/>
  <c r="Q11" i="24"/>
  <c r="Q24" i="24" s="1"/>
  <c r="E114" i="5"/>
  <c r="E148" i="5" s="1"/>
  <c r="L114" i="5"/>
  <c r="G148" i="5"/>
  <c r="L148" i="5" l="1"/>
  <c r="S119" i="5"/>
  <c r="S120" i="5" s="1"/>
  <c r="Q39" i="24" s="1"/>
  <c r="D15" i="26"/>
  <c r="D15" i="19"/>
  <c r="S14" i="19" l="1"/>
  <c r="S14" i="26"/>
  <c r="D17" i="26"/>
  <c r="T14" i="26" s="1"/>
  <c r="D17" i="19"/>
  <c r="T14" i="19" s="1"/>
  <c r="D18" i="26" l="1"/>
  <c r="S13" i="26"/>
  <c r="W20" i="26"/>
  <c r="U14" i="26"/>
  <c r="D18" i="19"/>
  <c r="S13" i="19"/>
  <c r="W20" i="19"/>
  <c r="U14" i="19"/>
  <c r="S29" i="19" s="1"/>
  <c r="U29" i="19" l="1"/>
  <c r="Q35" i="20"/>
  <c r="I29" i="19"/>
  <c r="X20" i="19"/>
  <c r="I29" i="26"/>
  <c r="K29" i="26" s="1"/>
  <c r="X20" i="26"/>
  <c r="K29" i="19" l="1"/>
  <c r="G35" i="20"/>
  <c r="R35" i="20"/>
  <c r="T35" i="20"/>
  <c r="S35" i="20"/>
  <c r="I35" i="20" l="1"/>
  <c r="J35" i="20"/>
  <c r="H35" i="20"/>
  <c r="M111" i="5" l="1"/>
  <c r="T108" i="5" s="1"/>
  <c r="Q10" i="24" l="1"/>
  <c r="Q23" i="24" s="1"/>
  <c r="M109" i="5"/>
  <c r="H148" i="5"/>
  <c r="T119" i="5" l="1"/>
  <c r="M148" i="5"/>
  <c r="AJ27" i="26" l="1"/>
  <c r="T36" i="26" s="1"/>
  <c r="T37" i="26" s="1"/>
  <c r="T38" i="26" s="1"/>
  <c r="T6" i="26" s="1"/>
  <c r="AJ27" i="19"/>
  <c r="T36" i="19" s="1"/>
  <c r="T37" i="19" s="1"/>
  <c r="T38" i="19" s="1"/>
  <c r="T6" i="19" s="1"/>
  <c r="T120" i="5"/>
  <c r="Q40" i="24" s="1"/>
  <c r="T10" i="19" l="1"/>
  <c r="U19" i="19" s="1"/>
  <c r="S10" i="23"/>
  <c r="T13" i="19"/>
  <c r="T10" i="26"/>
  <c r="T13" i="26"/>
  <c r="W19" i="26" l="1"/>
  <c r="U13" i="26"/>
  <c r="AC18" i="19"/>
  <c r="U13" i="19"/>
  <c r="S28" i="19" s="1"/>
  <c r="W19" i="19"/>
  <c r="T20" i="23"/>
  <c r="Y19" i="23"/>
  <c r="T10" i="23"/>
  <c r="Q29" i="23" s="1"/>
  <c r="T23" i="26"/>
  <c r="U19" i="26"/>
  <c r="U10" i="26"/>
  <c r="AB18" i="19"/>
  <c r="U10" i="19"/>
  <c r="R28" i="19" s="1"/>
  <c r="R29" i="23" l="1"/>
  <c r="N26" i="17"/>
  <c r="Y19" i="30"/>
  <c r="Y22" i="30" s="1"/>
  <c r="U20" i="30" s="1"/>
  <c r="Y22" i="23"/>
  <c r="U20" i="23" s="1"/>
  <c r="U28" i="19"/>
  <c r="Q33" i="20"/>
  <c r="AC18" i="26"/>
  <c r="AC21" i="26" s="1"/>
  <c r="S29" i="26" s="1"/>
  <c r="U29" i="26" s="1"/>
  <c r="AC21" i="19"/>
  <c r="X19" i="19" s="1"/>
  <c r="P33" i="20"/>
  <c r="T28" i="19"/>
  <c r="AB21" i="19"/>
  <c r="V19" i="19" s="1"/>
  <c r="AB18" i="26"/>
  <c r="AB21" i="26" s="1"/>
  <c r="R29" i="26" s="1"/>
  <c r="T29" i="26" s="1"/>
  <c r="V19" i="26" l="1"/>
  <c r="H28" i="26" s="1"/>
  <c r="Y10" i="18"/>
  <c r="I28" i="19"/>
  <c r="S33" i="20"/>
  <c r="T33" i="20"/>
  <c r="R33" i="20"/>
  <c r="G29" i="23"/>
  <c r="Y9" i="22"/>
  <c r="Y10" i="22" s="1"/>
  <c r="H7" i="22" s="1"/>
  <c r="X19" i="26"/>
  <c r="I15" i="29"/>
  <c r="G29" i="30"/>
  <c r="O26" i="17"/>
  <c r="P26" i="17"/>
  <c r="Y9" i="18"/>
  <c r="H28" i="19"/>
  <c r="S28" i="26"/>
  <c r="R28" i="26"/>
  <c r="I15" i="27" l="1"/>
  <c r="H12" i="27" s="1"/>
  <c r="I28" i="26"/>
  <c r="K15" i="27"/>
  <c r="F27" i="17"/>
  <c r="H29" i="30"/>
  <c r="H9" i="29"/>
  <c r="H12" i="29"/>
  <c r="H10" i="29"/>
  <c r="H8" i="29"/>
  <c r="H7" i="29"/>
  <c r="H11" i="29"/>
  <c r="J28" i="26"/>
  <c r="F34" i="20"/>
  <c r="H9" i="22"/>
  <c r="E22" i="22"/>
  <c r="H11" i="22"/>
  <c r="I7" i="22"/>
  <c r="H8" i="22"/>
  <c r="S7" i="22"/>
  <c r="H7" i="18"/>
  <c r="Z9" i="18"/>
  <c r="F26" i="17"/>
  <c r="H29" i="23"/>
  <c r="T28" i="26"/>
  <c r="P34" i="20"/>
  <c r="Q34" i="20"/>
  <c r="U28" i="26"/>
  <c r="J28" i="19"/>
  <c r="F33" i="20"/>
  <c r="G33" i="20"/>
  <c r="K28" i="19"/>
  <c r="Z10" i="18"/>
  <c r="J7" i="18"/>
  <c r="H7" i="27" l="1"/>
  <c r="H9" i="27"/>
  <c r="H10" i="27"/>
  <c r="H11" i="27"/>
  <c r="I11" i="27" s="1"/>
  <c r="H8" i="27"/>
  <c r="E23" i="27" s="1"/>
  <c r="S8" i="22"/>
  <c r="T8" i="22" s="1"/>
  <c r="I8" i="22"/>
  <c r="I33" i="20"/>
  <c r="J33" i="20"/>
  <c r="H33" i="20"/>
  <c r="E22" i="29"/>
  <c r="I7" i="29"/>
  <c r="E24" i="22"/>
  <c r="I11" i="22"/>
  <c r="S11" i="22"/>
  <c r="T11" i="22" s="1"/>
  <c r="H12" i="22"/>
  <c r="H78" i="22"/>
  <c r="P74" i="22"/>
  <c r="P73" i="22"/>
  <c r="G77" i="22"/>
  <c r="G69" i="22"/>
  <c r="P78" i="22"/>
  <c r="P103" i="22"/>
  <c r="G73" i="22"/>
  <c r="O71" i="22"/>
  <c r="G76" i="22"/>
  <c r="F61" i="17" s="1"/>
  <c r="G103" i="22"/>
  <c r="G74" i="22"/>
  <c r="G70" i="22"/>
  <c r="P43" i="22"/>
  <c r="P42" i="22"/>
  <c r="P75" i="22"/>
  <c r="P40" i="22"/>
  <c r="P72" i="22"/>
  <c r="P76" i="22"/>
  <c r="N68" i="17" s="1"/>
  <c r="H69" i="22"/>
  <c r="G107" i="22"/>
  <c r="H75" i="22"/>
  <c r="P70" i="22"/>
  <c r="H46" i="22"/>
  <c r="P107" i="22"/>
  <c r="P45" i="22"/>
  <c r="O72" i="22"/>
  <c r="O69" i="22"/>
  <c r="P37" i="22"/>
  <c r="P106" i="22"/>
  <c r="O77" i="22"/>
  <c r="P102" i="22"/>
  <c r="H73" i="22"/>
  <c r="G72" i="22"/>
  <c r="P71" i="22"/>
  <c r="H76" i="22"/>
  <c r="F68" i="17" s="1"/>
  <c r="P38" i="22"/>
  <c r="O74" i="22"/>
  <c r="G78" i="22"/>
  <c r="P41" i="22"/>
  <c r="H71" i="22"/>
  <c r="O76" i="22"/>
  <c r="N61" i="17" s="1"/>
  <c r="O78" i="22"/>
  <c r="P101" i="22"/>
  <c r="H72" i="22"/>
  <c r="P39" i="22"/>
  <c r="O104" i="22"/>
  <c r="O73" i="22"/>
  <c r="P77" i="22"/>
  <c r="G71" i="22"/>
  <c r="H74" i="22"/>
  <c r="H77" i="22"/>
  <c r="P104" i="22"/>
  <c r="P69" i="22"/>
  <c r="H70" i="22"/>
  <c r="O75" i="22"/>
  <c r="G75" i="22"/>
  <c r="P46" i="22"/>
  <c r="O103" i="22"/>
  <c r="O70" i="22"/>
  <c r="P109" i="22"/>
  <c r="O107" i="22"/>
  <c r="H45" i="22"/>
  <c r="O46" i="22"/>
  <c r="E23" i="29"/>
  <c r="I8" i="29"/>
  <c r="I10" i="29"/>
  <c r="E25" i="29"/>
  <c r="T7" i="22"/>
  <c r="E28" i="22"/>
  <c r="I11" i="29"/>
  <c r="E26" i="29"/>
  <c r="S34" i="20"/>
  <c r="T34" i="20"/>
  <c r="R34" i="20"/>
  <c r="I12" i="29"/>
  <c r="E27" i="29"/>
  <c r="I12" i="27"/>
  <c r="E27" i="27"/>
  <c r="I9" i="29"/>
  <c r="E24" i="29"/>
  <c r="G26" i="17"/>
  <c r="H26" i="17"/>
  <c r="H27" i="17"/>
  <c r="G27" i="17"/>
  <c r="J9" i="18"/>
  <c r="J11" i="18"/>
  <c r="J8" i="18"/>
  <c r="K7" i="18"/>
  <c r="F22" i="18"/>
  <c r="U7" i="18"/>
  <c r="J9" i="27"/>
  <c r="J11" i="27"/>
  <c r="J8" i="27"/>
  <c r="J12" i="27"/>
  <c r="J7" i="27"/>
  <c r="J10" i="27"/>
  <c r="H10" i="22"/>
  <c r="I9" i="22"/>
  <c r="S9" i="22"/>
  <c r="E23" i="22"/>
  <c r="O101" i="22" s="1"/>
  <c r="E25" i="27"/>
  <c r="I10" i="27"/>
  <c r="E22" i="27"/>
  <c r="I7" i="27"/>
  <c r="I7" i="18"/>
  <c r="S7" i="18"/>
  <c r="H11" i="18"/>
  <c r="H8" i="18"/>
  <c r="H9" i="18"/>
  <c r="E22" i="18"/>
  <c r="E24" i="27"/>
  <c r="I9" i="27"/>
  <c r="K28" i="26"/>
  <c r="G34" i="20"/>
  <c r="E26" i="27" l="1"/>
  <c r="I8" i="27"/>
  <c r="H79" i="22"/>
  <c r="P79" i="22"/>
  <c r="G79" i="22"/>
  <c r="O79" i="22"/>
  <c r="G44" i="22"/>
  <c r="F40" i="17" s="1"/>
  <c r="G45" i="22"/>
  <c r="O102" i="22"/>
  <c r="G105" i="22"/>
  <c r="G68" i="17"/>
  <c r="H68" i="17"/>
  <c r="S12" i="22"/>
  <c r="I12" i="22"/>
  <c r="H12" i="18"/>
  <c r="I11" i="18"/>
  <c r="S11" i="18"/>
  <c r="T11" i="18" s="1"/>
  <c r="K7" i="27"/>
  <c r="F22" i="27"/>
  <c r="G40" i="22"/>
  <c r="H38" i="22"/>
  <c r="G106" i="22"/>
  <c r="H44" i="22"/>
  <c r="F47" i="17" s="1"/>
  <c r="G104" i="22"/>
  <c r="T7" i="18"/>
  <c r="E28" i="18"/>
  <c r="K12" i="27"/>
  <c r="F27" i="27"/>
  <c r="H107" i="22"/>
  <c r="O37" i="22"/>
  <c r="O45" i="22"/>
  <c r="H39" i="22"/>
  <c r="O38" i="22"/>
  <c r="F54" i="17"/>
  <c r="H61" i="17"/>
  <c r="G61" i="17"/>
  <c r="F23" i="27"/>
  <c r="K8" i="27"/>
  <c r="H37" i="22"/>
  <c r="O42" i="22"/>
  <c r="G108" i="22"/>
  <c r="F82" i="17" s="1"/>
  <c r="O105" i="22"/>
  <c r="G109" i="22"/>
  <c r="K11" i="27"/>
  <c r="F26" i="27"/>
  <c r="O109" i="22"/>
  <c r="H102" i="22"/>
  <c r="H109" i="22"/>
  <c r="G110" i="22"/>
  <c r="F25" i="27"/>
  <c r="K10" i="27"/>
  <c r="F24" i="27"/>
  <c r="K9" i="27"/>
  <c r="O41" i="22"/>
  <c r="O43" i="22"/>
  <c r="G102" i="22"/>
  <c r="G43" i="22"/>
  <c r="G38" i="22"/>
  <c r="O68" i="17"/>
  <c r="P68" i="17"/>
  <c r="G34" i="29"/>
  <c r="G33" i="29"/>
  <c r="G35" i="29"/>
  <c r="V7" i="18"/>
  <c r="F28" i="18"/>
  <c r="H101" i="22"/>
  <c r="G42" i="22"/>
  <c r="G46" i="22"/>
  <c r="H110" i="22"/>
  <c r="G41" i="22"/>
  <c r="O61" i="17"/>
  <c r="N54" i="17"/>
  <c r="P61" i="17"/>
  <c r="H35" i="27"/>
  <c r="F116" i="20" s="1"/>
  <c r="H34" i="27"/>
  <c r="F115" i="20" s="1"/>
  <c r="H33" i="27"/>
  <c r="F114" i="20" s="1"/>
  <c r="T76" i="18"/>
  <c r="S73" i="18"/>
  <c r="J79" i="18"/>
  <c r="T47" i="18"/>
  <c r="T41" i="18"/>
  <c r="I79" i="18"/>
  <c r="T72" i="18"/>
  <c r="T42" i="18"/>
  <c r="S105" i="18"/>
  <c r="I72" i="18"/>
  <c r="T73" i="18"/>
  <c r="S74" i="18"/>
  <c r="S110" i="18"/>
  <c r="S70" i="18"/>
  <c r="I77" i="18"/>
  <c r="G68" i="20" s="1"/>
  <c r="T75" i="18"/>
  <c r="J70" i="18"/>
  <c r="I108" i="18"/>
  <c r="T74" i="18"/>
  <c r="S108" i="18"/>
  <c r="T43" i="18"/>
  <c r="J71" i="18"/>
  <c r="J74" i="18"/>
  <c r="S77" i="18"/>
  <c r="Q68" i="20" s="1"/>
  <c r="T71" i="18"/>
  <c r="I76" i="18"/>
  <c r="S72" i="18"/>
  <c r="S71" i="18"/>
  <c r="J47" i="18"/>
  <c r="T39" i="18"/>
  <c r="T78" i="18"/>
  <c r="J76" i="18"/>
  <c r="T38" i="18"/>
  <c r="T110" i="18"/>
  <c r="I78" i="18"/>
  <c r="I70" i="18"/>
  <c r="T40" i="18"/>
  <c r="J75" i="18"/>
  <c r="I75" i="18"/>
  <c r="T46" i="18"/>
  <c r="J73" i="18"/>
  <c r="S102" i="18"/>
  <c r="T102" i="18"/>
  <c r="S79" i="18"/>
  <c r="J77" i="18"/>
  <c r="G75" i="20" s="1"/>
  <c r="S76" i="18"/>
  <c r="I104" i="18"/>
  <c r="S75" i="18"/>
  <c r="S78" i="18"/>
  <c r="S104" i="18"/>
  <c r="I71" i="18"/>
  <c r="T77" i="18"/>
  <c r="Q75" i="20" s="1"/>
  <c r="J72" i="18"/>
  <c r="T79" i="18"/>
  <c r="I73" i="18"/>
  <c r="I74" i="18"/>
  <c r="J78" i="18"/>
  <c r="S47" i="18"/>
  <c r="T70" i="18"/>
  <c r="T44" i="18"/>
  <c r="J46" i="18"/>
  <c r="P124" i="22"/>
  <c r="P87" i="22"/>
  <c r="P118" i="22"/>
  <c r="H90" i="22"/>
  <c r="G88" i="22"/>
  <c r="P116" i="22"/>
  <c r="O94" i="22"/>
  <c r="O85" i="22"/>
  <c r="G87" i="22"/>
  <c r="P56" i="22"/>
  <c r="P119" i="22"/>
  <c r="G90" i="22"/>
  <c r="O119" i="22"/>
  <c r="G93" i="22"/>
  <c r="P58" i="22"/>
  <c r="H88" i="22"/>
  <c r="G94" i="22"/>
  <c r="P92" i="22"/>
  <c r="N69" i="17" s="1"/>
  <c r="N70" i="17" s="1"/>
  <c r="H85" i="22"/>
  <c r="P88" i="22"/>
  <c r="P89" i="22"/>
  <c r="P85" i="22"/>
  <c r="P59" i="22"/>
  <c r="G92" i="22"/>
  <c r="F62" i="17" s="1"/>
  <c r="O88" i="22"/>
  <c r="H86" i="22"/>
  <c r="O91" i="22"/>
  <c r="G122" i="22"/>
  <c r="O87" i="22"/>
  <c r="P55" i="22"/>
  <c r="G89" i="22"/>
  <c r="P117" i="22"/>
  <c r="H87" i="22"/>
  <c r="P61" i="22"/>
  <c r="H92" i="22"/>
  <c r="F69" i="17" s="1"/>
  <c r="P94" i="22"/>
  <c r="H93" i="22"/>
  <c r="H94" i="22"/>
  <c r="P54" i="22"/>
  <c r="P91" i="22"/>
  <c r="O92" i="22"/>
  <c r="N62" i="17" s="1"/>
  <c r="O90" i="22"/>
  <c r="P90" i="22"/>
  <c r="H89" i="22"/>
  <c r="O89" i="22"/>
  <c r="O93" i="22"/>
  <c r="P122" i="22"/>
  <c r="G91" i="22"/>
  <c r="P60" i="22"/>
  <c r="N48" i="17" s="1"/>
  <c r="P93" i="22"/>
  <c r="P53" i="22"/>
  <c r="G118" i="22"/>
  <c r="G86" i="22"/>
  <c r="O86" i="22"/>
  <c r="P57" i="22"/>
  <c r="G85" i="22"/>
  <c r="P121" i="22"/>
  <c r="O122" i="22"/>
  <c r="H91" i="22"/>
  <c r="P62" i="22"/>
  <c r="O118" i="22"/>
  <c r="P86" i="22"/>
  <c r="O40" i="22"/>
  <c r="O39" i="22"/>
  <c r="H106" i="22"/>
  <c r="H105" i="22"/>
  <c r="H108" i="22"/>
  <c r="F89" i="17" s="1"/>
  <c r="H34" i="20"/>
  <c r="J34" i="20"/>
  <c r="I34" i="20"/>
  <c r="H41" i="22"/>
  <c r="H40" i="22"/>
  <c r="H104" i="22"/>
  <c r="O106" i="22"/>
  <c r="G39" i="22"/>
  <c r="G33" i="27"/>
  <c r="G35" i="27"/>
  <c r="G34" i="27"/>
  <c r="E29" i="22"/>
  <c r="H116" i="22" s="1"/>
  <c r="T9" i="22"/>
  <c r="H33" i="29"/>
  <c r="F107" i="17" s="1"/>
  <c r="H34" i="29"/>
  <c r="F108" i="17" s="1"/>
  <c r="H35" i="29"/>
  <c r="F109" i="17" s="1"/>
  <c r="O110" i="22"/>
  <c r="O108" i="22"/>
  <c r="N82" i="17" s="1"/>
  <c r="H103" i="22"/>
  <c r="P44" i="22"/>
  <c r="N47" i="17" s="1"/>
  <c r="I8" i="18"/>
  <c r="S8" i="18"/>
  <c r="T8" i="18" s="1"/>
  <c r="R70" i="18"/>
  <c r="G70" i="18"/>
  <c r="H79" i="18"/>
  <c r="G72" i="18"/>
  <c r="Q104" i="18"/>
  <c r="Q73" i="18"/>
  <c r="R74" i="18"/>
  <c r="Q72" i="18"/>
  <c r="R77" i="18"/>
  <c r="P75" i="20" s="1"/>
  <c r="R46" i="18"/>
  <c r="H77" i="18"/>
  <c r="F75" i="20" s="1"/>
  <c r="R47" i="18"/>
  <c r="Q105" i="18"/>
  <c r="R71" i="18"/>
  <c r="G71" i="18"/>
  <c r="Q70" i="18"/>
  <c r="Q74" i="18"/>
  <c r="Q108" i="18"/>
  <c r="H71" i="18"/>
  <c r="G74" i="18"/>
  <c r="H72" i="18"/>
  <c r="R76" i="18"/>
  <c r="H73" i="18"/>
  <c r="Q102" i="18"/>
  <c r="G78" i="18"/>
  <c r="H74" i="18"/>
  <c r="R72" i="18"/>
  <c r="H47" i="18"/>
  <c r="Q77" i="18"/>
  <c r="P68" i="20" s="1"/>
  <c r="R75" i="18"/>
  <c r="Q76" i="18"/>
  <c r="R44" i="18"/>
  <c r="G76" i="18"/>
  <c r="R110" i="18"/>
  <c r="H78" i="18"/>
  <c r="Q78" i="18"/>
  <c r="R38" i="18"/>
  <c r="R73" i="18"/>
  <c r="H70" i="18"/>
  <c r="G79" i="18"/>
  <c r="G75" i="18"/>
  <c r="Q71" i="18"/>
  <c r="R39" i="18"/>
  <c r="R42" i="18"/>
  <c r="G108" i="18"/>
  <c r="G104" i="18"/>
  <c r="G77" i="18"/>
  <c r="F68" i="20" s="1"/>
  <c r="R40" i="18"/>
  <c r="R43" i="18"/>
  <c r="Q79" i="18"/>
  <c r="R41" i="18"/>
  <c r="R78" i="18"/>
  <c r="H75" i="18"/>
  <c r="G73" i="18"/>
  <c r="R79" i="18"/>
  <c r="H76" i="18"/>
  <c r="Q75" i="18"/>
  <c r="R102" i="18"/>
  <c r="H46" i="18"/>
  <c r="Q110" i="18"/>
  <c r="Q47" i="18"/>
  <c r="K11" i="18"/>
  <c r="J12" i="18"/>
  <c r="U11" i="18"/>
  <c r="V11" i="18" s="1"/>
  <c r="P110" i="22"/>
  <c r="G101" i="22"/>
  <c r="P108" i="22"/>
  <c r="N89" i="17" s="1"/>
  <c r="G37" i="22"/>
  <c r="U8" i="18"/>
  <c r="V8" i="18" s="1"/>
  <c r="K8" i="18"/>
  <c r="H10" i="18"/>
  <c r="S9" i="18"/>
  <c r="I9" i="18"/>
  <c r="E23" i="18"/>
  <c r="R108" i="18" s="1"/>
  <c r="S10" i="22"/>
  <c r="T10" i="22" s="1"/>
  <c r="I10" i="22"/>
  <c r="U9" i="18"/>
  <c r="F23" i="18"/>
  <c r="J43" i="18" s="1"/>
  <c r="K9" i="18"/>
  <c r="J10" i="18"/>
  <c r="P105" i="22"/>
  <c r="O44" i="22"/>
  <c r="N40" i="17" s="1"/>
  <c r="H42" i="22"/>
  <c r="H43" i="22"/>
  <c r="G111" i="22" l="1"/>
  <c r="O111" i="22"/>
  <c r="P111" i="22"/>
  <c r="P63" i="22"/>
  <c r="F33" i="17"/>
  <c r="H33" i="17" s="1"/>
  <c r="G47" i="22"/>
  <c r="H111" i="22"/>
  <c r="O47" i="22"/>
  <c r="P47" i="22"/>
  <c r="H47" i="22"/>
  <c r="P95" i="22"/>
  <c r="H40" i="17"/>
  <c r="G40" i="17"/>
  <c r="H95" i="22"/>
  <c r="O95" i="22"/>
  <c r="G95" i="22"/>
  <c r="O61" i="22"/>
  <c r="G117" i="22"/>
  <c r="O120" i="22"/>
  <c r="H62" i="22"/>
  <c r="H119" i="22"/>
  <c r="H58" i="22"/>
  <c r="O116" i="22"/>
  <c r="H120" i="22"/>
  <c r="H55" i="22"/>
  <c r="O57" i="22"/>
  <c r="G56" i="22"/>
  <c r="G125" i="22"/>
  <c r="P61" i="20"/>
  <c r="G123" i="22"/>
  <c r="F83" i="17" s="1"/>
  <c r="H83" i="17" s="1"/>
  <c r="H61" i="22"/>
  <c r="H53" i="22"/>
  <c r="O62" i="22"/>
  <c r="H122" i="22"/>
  <c r="H118" i="22"/>
  <c r="O60" i="22"/>
  <c r="N41" i="17" s="1"/>
  <c r="N42" i="17" s="1"/>
  <c r="O123" i="22"/>
  <c r="N83" i="17" s="1"/>
  <c r="O83" i="17" s="1"/>
  <c r="H59" i="22"/>
  <c r="G62" i="22"/>
  <c r="H125" i="22"/>
  <c r="P120" i="22"/>
  <c r="H123" i="22"/>
  <c r="F90" i="17" s="1"/>
  <c r="G90" i="17" s="1"/>
  <c r="O55" i="22"/>
  <c r="H57" i="22"/>
  <c r="P70" i="17"/>
  <c r="O70" i="17"/>
  <c r="T9" i="18"/>
  <c r="E29" i="18"/>
  <c r="R123" i="18" s="1"/>
  <c r="Q39" i="18"/>
  <c r="Q42" i="18"/>
  <c r="G40" i="18"/>
  <c r="Q43" i="18"/>
  <c r="Q46" i="18"/>
  <c r="P47" i="17"/>
  <c r="O47" i="17"/>
  <c r="N49" i="17"/>
  <c r="P48" i="17"/>
  <c r="O48" i="17"/>
  <c r="S44" i="18"/>
  <c r="S42" i="18"/>
  <c r="I40" i="18"/>
  <c r="J110" i="18"/>
  <c r="I80" i="18"/>
  <c r="S68" i="20"/>
  <c r="R68" i="20"/>
  <c r="Q61" i="20"/>
  <c r="T68" i="20"/>
  <c r="G82" i="17"/>
  <c r="H82" i="17"/>
  <c r="F75" i="17"/>
  <c r="I10" i="18"/>
  <c r="S10" i="18"/>
  <c r="T10" i="18" s="1"/>
  <c r="H108" i="18"/>
  <c r="G45" i="18"/>
  <c r="F47" i="20" s="1"/>
  <c r="R107" i="18"/>
  <c r="Q106" i="18"/>
  <c r="G38" i="18"/>
  <c r="O121" i="22"/>
  <c r="F63" i="17"/>
  <c r="G62" i="17"/>
  <c r="F55" i="17"/>
  <c r="H62" i="17"/>
  <c r="T108" i="18"/>
  <c r="J38" i="18"/>
  <c r="T111" i="18"/>
  <c r="S45" i="18"/>
  <c r="Q47" i="20" s="1"/>
  <c r="T103" i="18"/>
  <c r="T80" i="18"/>
  <c r="F97" i="17"/>
  <c r="F103" i="17"/>
  <c r="N33" i="17"/>
  <c r="O40" i="17"/>
  <c r="P40" i="17"/>
  <c r="Q111" i="18"/>
  <c r="H110" i="18"/>
  <c r="G111" i="18"/>
  <c r="G41" i="18"/>
  <c r="H111" i="18"/>
  <c r="N75" i="17"/>
  <c r="P82" i="17"/>
  <c r="O82" i="17"/>
  <c r="H69" i="17"/>
  <c r="G69" i="17"/>
  <c r="J108" i="18"/>
  <c r="J41" i="18"/>
  <c r="I39" i="18"/>
  <c r="J42" i="18"/>
  <c r="J39" i="18"/>
  <c r="F101" i="17"/>
  <c r="F95" i="17"/>
  <c r="I12" i="18"/>
  <c r="S12" i="18"/>
  <c r="T12" i="18" s="1"/>
  <c r="Q103" i="18"/>
  <c r="Q45" i="18"/>
  <c r="P47" i="20" s="1"/>
  <c r="Q40" i="18"/>
  <c r="G110" i="18"/>
  <c r="R109" i="18"/>
  <c r="P96" i="20" s="1"/>
  <c r="I43" i="18"/>
  <c r="T109" i="18"/>
  <c r="Q96" i="20" s="1"/>
  <c r="J109" i="18"/>
  <c r="G96" i="20" s="1"/>
  <c r="J107" i="18"/>
  <c r="I105" i="18"/>
  <c r="J75" i="20"/>
  <c r="I75" i="20"/>
  <c r="H75" i="20"/>
  <c r="F102" i="17"/>
  <c r="F96" i="17"/>
  <c r="J34" i="27"/>
  <c r="G115" i="20" s="1"/>
  <c r="J33" i="27"/>
  <c r="G114" i="20" s="1"/>
  <c r="J35" i="27"/>
  <c r="G116" i="20" s="1"/>
  <c r="R58" i="18"/>
  <c r="R92" i="18"/>
  <c r="H92" i="18"/>
  <c r="Q92" i="18"/>
  <c r="G86" i="18"/>
  <c r="R117" i="18"/>
  <c r="G89" i="18"/>
  <c r="R63" i="18"/>
  <c r="Q91" i="18"/>
  <c r="H87" i="18"/>
  <c r="G87" i="18"/>
  <c r="H89" i="18"/>
  <c r="R59" i="18"/>
  <c r="R93" i="18"/>
  <c r="P76" i="20" s="1"/>
  <c r="P77" i="20" s="1"/>
  <c r="H93" i="18"/>
  <c r="F76" i="20" s="1"/>
  <c r="F77" i="20" s="1"/>
  <c r="Q117" i="18"/>
  <c r="Q88" i="18"/>
  <c r="G94" i="18"/>
  <c r="G93" i="18"/>
  <c r="F69" i="20" s="1"/>
  <c r="F70" i="20" s="1"/>
  <c r="R125" i="18"/>
  <c r="G92" i="18"/>
  <c r="R56" i="18"/>
  <c r="R60" i="18"/>
  <c r="R94" i="18"/>
  <c r="H94" i="18"/>
  <c r="G123" i="18"/>
  <c r="Q86" i="18"/>
  <c r="Q95" i="18"/>
  <c r="Q119" i="18"/>
  <c r="R89" i="18"/>
  <c r="Q89" i="18"/>
  <c r="G91" i="18"/>
  <c r="R91" i="18"/>
  <c r="Q93" i="18"/>
  <c r="P69" i="20" s="1"/>
  <c r="R61" i="18"/>
  <c r="P55" i="20" s="1"/>
  <c r="R95" i="18"/>
  <c r="H95" i="18"/>
  <c r="Q87" i="18"/>
  <c r="G119" i="18"/>
  <c r="R62" i="18"/>
  <c r="G88" i="18"/>
  <c r="R88" i="18"/>
  <c r="Q90" i="18"/>
  <c r="R54" i="18"/>
  <c r="Q123" i="18"/>
  <c r="H90" i="18"/>
  <c r="R57" i="18"/>
  <c r="R86" i="18"/>
  <c r="H86" i="18"/>
  <c r="Q94" i="18"/>
  <c r="Q120" i="18"/>
  <c r="R87" i="18"/>
  <c r="H88" i="18"/>
  <c r="R55" i="18"/>
  <c r="R90" i="18"/>
  <c r="G95" i="18"/>
  <c r="G90" i="18"/>
  <c r="H91" i="18"/>
  <c r="Q125" i="18"/>
  <c r="U10" i="18"/>
  <c r="V10" i="18" s="1"/>
  <c r="K10" i="18"/>
  <c r="Q109" i="18"/>
  <c r="P89" i="20" s="1"/>
  <c r="H41" i="18"/>
  <c r="G47" i="18"/>
  <c r="Q44" i="18"/>
  <c r="R103" i="18"/>
  <c r="H109" i="17"/>
  <c r="G109" i="17"/>
  <c r="G124" i="22"/>
  <c r="G53" i="22"/>
  <c r="P125" i="22"/>
  <c r="G61" i="22"/>
  <c r="O58" i="22"/>
  <c r="I109" i="18"/>
  <c r="G89" i="20" s="1"/>
  <c r="S106" i="18"/>
  <c r="S38" i="18"/>
  <c r="T45" i="18"/>
  <c r="Q54" i="20" s="1"/>
  <c r="S103" i="18"/>
  <c r="O54" i="17"/>
  <c r="P54" i="17"/>
  <c r="P89" i="17"/>
  <c r="O89" i="17"/>
  <c r="G106" i="18"/>
  <c r="R106" i="18"/>
  <c r="H107" i="18"/>
  <c r="G108" i="17"/>
  <c r="H108" i="17"/>
  <c r="I42" i="18"/>
  <c r="I110" i="18"/>
  <c r="T105" i="18"/>
  <c r="I45" i="18"/>
  <c r="G47" i="20" s="1"/>
  <c r="I106" i="18"/>
  <c r="G43" i="18"/>
  <c r="G109" i="18"/>
  <c r="F89" i="20" s="1"/>
  <c r="H103" i="18"/>
  <c r="G44" i="18"/>
  <c r="H106" i="18"/>
  <c r="Q80" i="18"/>
  <c r="H107" i="17"/>
  <c r="G107" i="17"/>
  <c r="G58" i="22"/>
  <c r="H117" i="22"/>
  <c r="H54" i="22"/>
  <c r="O117" i="22"/>
  <c r="G119" i="22"/>
  <c r="S46" i="18"/>
  <c r="T106" i="18"/>
  <c r="J102" i="18"/>
  <c r="S39" i="18"/>
  <c r="S40" i="18"/>
  <c r="H47" i="17"/>
  <c r="G47" i="17"/>
  <c r="V9" i="18"/>
  <c r="F29" i="18"/>
  <c r="I54" i="18" s="1"/>
  <c r="R111" i="18"/>
  <c r="H43" i="18"/>
  <c r="G46" i="18"/>
  <c r="G105" i="18"/>
  <c r="H40" i="18"/>
  <c r="H80" i="18"/>
  <c r="O69" i="17"/>
  <c r="P69" i="17"/>
  <c r="S41" i="18"/>
  <c r="I44" i="18"/>
  <c r="S107" i="18"/>
  <c r="I41" i="18"/>
  <c r="I46" i="18"/>
  <c r="J80" i="18"/>
  <c r="H54" i="17"/>
  <c r="G54" i="17"/>
  <c r="H102" i="18"/>
  <c r="G42" i="18"/>
  <c r="H42" i="18"/>
  <c r="R105" i="18"/>
  <c r="G39" i="18"/>
  <c r="G80" i="18"/>
  <c r="H60" i="22"/>
  <c r="F48" i="17" s="1"/>
  <c r="F49" i="17" s="1"/>
  <c r="O53" i="22"/>
  <c r="G116" i="22"/>
  <c r="O56" i="22"/>
  <c r="O59" i="22"/>
  <c r="N63" i="17"/>
  <c r="O62" i="17"/>
  <c r="P62" i="17"/>
  <c r="N55" i="17"/>
  <c r="S43" i="18"/>
  <c r="J45" i="18"/>
  <c r="G54" i="20" s="1"/>
  <c r="J40" i="18"/>
  <c r="J105" i="18"/>
  <c r="I107" i="18"/>
  <c r="T75" i="20"/>
  <c r="R75" i="20"/>
  <c r="S75" i="20"/>
  <c r="E30" i="22"/>
  <c r="T12" i="22"/>
  <c r="U12" i="18"/>
  <c r="V12" i="18" s="1"/>
  <c r="K12" i="18"/>
  <c r="G103" i="18"/>
  <c r="Q41" i="18"/>
  <c r="H39" i="18"/>
  <c r="H44" i="18"/>
  <c r="H104" i="18"/>
  <c r="R80" i="18"/>
  <c r="F109" i="20"/>
  <c r="F103" i="20"/>
  <c r="H89" i="17"/>
  <c r="G89" i="17"/>
  <c r="G57" i="22"/>
  <c r="O54" i="22"/>
  <c r="H56" i="22"/>
  <c r="G59" i="22"/>
  <c r="P123" i="22"/>
  <c r="N90" i="17" s="1"/>
  <c r="I103" i="18"/>
  <c r="J44" i="18"/>
  <c r="I111" i="18"/>
  <c r="S109" i="18"/>
  <c r="Q89" i="20" s="1"/>
  <c r="J106" i="18"/>
  <c r="H68" i="20"/>
  <c r="G61" i="20"/>
  <c r="J68" i="20"/>
  <c r="I68" i="20"/>
  <c r="F70" i="17"/>
  <c r="Q38" i="18"/>
  <c r="H109" i="18"/>
  <c r="F96" i="20" s="1"/>
  <c r="H38" i="18"/>
  <c r="H45" i="18"/>
  <c r="F54" i="20" s="1"/>
  <c r="H105" i="18"/>
  <c r="F104" i="20"/>
  <c r="F110" i="20"/>
  <c r="O124" i="22"/>
  <c r="G55" i="22"/>
  <c r="G121" i="22"/>
  <c r="G60" i="22"/>
  <c r="F41" i="17" s="1"/>
  <c r="H124" i="22"/>
  <c r="J104" i="18"/>
  <c r="J111" i="18"/>
  <c r="S111" i="18"/>
  <c r="I47" i="18"/>
  <c r="J103" i="18"/>
  <c r="S80" i="18"/>
  <c r="I34" i="27"/>
  <c r="I33" i="27"/>
  <c r="I35" i="27"/>
  <c r="G102" i="18"/>
  <c r="R104" i="18"/>
  <c r="Q107" i="18"/>
  <c r="G107" i="18"/>
  <c r="R45" i="18"/>
  <c r="P54" i="20" s="1"/>
  <c r="F61" i="20"/>
  <c r="F108" i="20"/>
  <c r="F102" i="20"/>
  <c r="G54" i="22"/>
  <c r="H121" i="22"/>
  <c r="G120" i="22"/>
  <c r="O125" i="22"/>
  <c r="I102" i="18"/>
  <c r="T107" i="18"/>
  <c r="I38" i="18"/>
  <c r="T104" i="18"/>
  <c r="J91" i="18"/>
  <c r="I119" i="18"/>
  <c r="J94" i="18"/>
  <c r="S123" i="18"/>
  <c r="T90" i="18"/>
  <c r="T86" i="18"/>
  <c r="S95" i="18"/>
  <c r="T88" i="18"/>
  <c r="T58" i="18"/>
  <c r="T54" i="18"/>
  <c r="T55" i="18"/>
  <c r="S91" i="18"/>
  <c r="J95" i="18"/>
  <c r="I88" i="18"/>
  <c r="J89" i="18"/>
  <c r="T89" i="18"/>
  <c r="T62" i="18"/>
  <c r="T87" i="18"/>
  <c r="T91" i="18"/>
  <c r="J87" i="18"/>
  <c r="T94" i="18"/>
  <c r="I89" i="18"/>
  <c r="I123" i="18"/>
  <c r="J93" i="18"/>
  <c r="G76" i="20" s="1"/>
  <c r="G77" i="20" s="1"/>
  <c r="T61" i="18"/>
  <c r="Q55" i="20" s="1"/>
  <c r="T63" i="18"/>
  <c r="T92" i="18"/>
  <c r="T93" i="18"/>
  <c r="Q76" i="20" s="1"/>
  <c r="Q77" i="20" s="1"/>
  <c r="J90" i="18"/>
  <c r="T95" i="18"/>
  <c r="T125" i="18"/>
  <c r="T56" i="18"/>
  <c r="J92" i="18"/>
  <c r="S89" i="18"/>
  <c r="I91" i="18"/>
  <c r="J86" i="18"/>
  <c r="I93" i="18"/>
  <c r="G69" i="20" s="1"/>
  <c r="S92" i="18"/>
  <c r="S90" i="18"/>
  <c r="T59" i="18"/>
  <c r="S86" i="18"/>
  <c r="T60" i="18"/>
  <c r="I90" i="18"/>
  <c r="I94" i="18"/>
  <c r="S87" i="18"/>
  <c r="T117" i="18"/>
  <c r="T57" i="18"/>
  <c r="S94" i="18"/>
  <c r="I86" i="18"/>
  <c r="J88" i="18"/>
  <c r="S120" i="18"/>
  <c r="I87" i="18"/>
  <c r="I95" i="18"/>
  <c r="S117" i="18"/>
  <c r="I92" i="18"/>
  <c r="S93" i="18"/>
  <c r="Q69" i="20" s="1"/>
  <c r="S125" i="18"/>
  <c r="S119" i="18"/>
  <c r="S88" i="18"/>
  <c r="H61" i="18" l="1"/>
  <c r="F55" i="20" s="1"/>
  <c r="R122" i="18"/>
  <c r="G33" i="17"/>
  <c r="G57" i="18"/>
  <c r="H126" i="22"/>
  <c r="G83" i="17"/>
  <c r="P126" i="22"/>
  <c r="G63" i="22"/>
  <c r="F84" i="17"/>
  <c r="H84" i="17" s="1"/>
  <c r="O126" i="22"/>
  <c r="H63" i="22"/>
  <c r="O63" i="22"/>
  <c r="G126" i="22"/>
  <c r="I59" i="18"/>
  <c r="N34" i="17"/>
  <c r="O34" i="17" s="1"/>
  <c r="J62" i="18"/>
  <c r="P41" i="17"/>
  <c r="I117" i="18"/>
  <c r="T126" i="18"/>
  <c r="H120" i="18"/>
  <c r="J125" i="18"/>
  <c r="I120" i="18"/>
  <c r="J57" i="18"/>
  <c r="Q124" i="18"/>
  <c r="P90" i="20" s="1"/>
  <c r="P91" i="20" s="1"/>
  <c r="Q63" i="18"/>
  <c r="Q122" i="18"/>
  <c r="G60" i="18"/>
  <c r="H121" i="18"/>
  <c r="H62" i="18"/>
  <c r="G61" i="18"/>
  <c r="F48" i="20" s="1"/>
  <c r="F49" i="20" s="1"/>
  <c r="Q57" i="18"/>
  <c r="G63" i="18"/>
  <c r="G62" i="18"/>
  <c r="H57" i="18"/>
  <c r="G120" i="18"/>
  <c r="H63" i="18"/>
  <c r="H123" i="18"/>
  <c r="O41" i="17"/>
  <c r="Q62" i="18"/>
  <c r="G54" i="18"/>
  <c r="J60" i="18"/>
  <c r="J58" i="18"/>
  <c r="T112" i="18"/>
  <c r="P56" i="20"/>
  <c r="R120" i="18"/>
  <c r="G117" i="18"/>
  <c r="G124" i="18"/>
  <c r="F90" i="20" s="1"/>
  <c r="F91" i="20" s="1"/>
  <c r="Q118" i="18"/>
  <c r="H118" i="18"/>
  <c r="N84" i="17"/>
  <c r="O84" i="17" s="1"/>
  <c r="Q55" i="18"/>
  <c r="G56" i="18"/>
  <c r="Q60" i="18"/>
  <c r="H124" i="18"/>
  <c r="F97" i="20" s="1"/>
  <c r="F98" i="20" s="1"/>
  <c r="H55" i="18"/>
  <c r="R126" i="18"/>
  <c r="Q126" i="18"/>
  <c r="H58" i="18"/>
  <c r="Q59" i="18"/>
  <c r="P83" i="17"/>
  <c r="I55" i="18"/>
  <c r="G59" i="18"/>
  <c r="G118" i="18"/>
  <c r="H122" i="18"/>
  <c r="G58" i="18"/>
  <c r="Q56" i="18"/>
  <c r="R118" i="18"/>
  <c r="S62" i="18"/>
  <c r="R124" i="18"/>
  <c r="P97" i="20" s="1"/>
  <c r="P98" i="20" s="1"/>
  <c r="Q121" i="18"/>
  <c r="Q58" i="18"/>
  <c r="H125" i="18"/>
  <c r="H56" i="18"/>
  <c r="J122" i="18"/>
  <c r="S126" i="18"/>
  <c r="I118" i="18"/>
  <c r="H117" i="18"/>
  <c r="G126" i="18"/>
  <c r="H60" i="18"/>
  <c r="G55" i="18"/>
  <c r="R121" i="18"/>
  <c r="H119" i="18"/>
  <c r="P82" i="20"/>
  <c r="H59" i="18"/>
  <c r="H126" i="18"/>
  <c r="H54" i="18"/>
  <c r="Q61" i="18"/>
  <c r="P48" i="20" s="1"/>
  <c r="P41" i="20" s="1"/>
  <c r="G125" i="18"/>
  <c r="S55" i="18"/>
  <c r="S58" i="18"/>
  <c r="J124" i="18"/>
  <c r="G97" i="20" s="1"/>
  <c r="I97" i="20" s="1"/>
  <c r="Q54" i="18"/>
  <c r="G122" i="18"/>
  <c r="R119" i="18"/>
  <c r="G121" i="18"/>
  <c r="F63" i="20"/>
  <c r="Q112" i="18"/>
  <c r="S124" i="18"/>
  <c r="Q90" i="20" s="1"/>
  <c r="R90" i="20" s="1"/>
  <c r="R112" i="18"/>
  <c r="J55" i="18"/>
  <c r="F91" i="17"/>
  <c r="G91" i="17" s="1"/>
  <c r="H90" i="17"/>
  <c r="F76" i="17"/>
  <c r="H76" i="17" s="1"/>
  <c r="S112" i="18"/>
  <c r="R48" i="18"/>
  <c r="R64" i="18"/>
  <c r="Q48" i="18"/>
  <c r="I112" i="18"/>
  <c r="S77" i="20"/>
  <c r="R77" i="20"/>
  <c r="T77" i="20"/>
  <c r="H77" i="20"/>
  <c r="J77" i="20"/>
  <c r="I77" i="20"/>
  <c r="T89" i="20"/>
  <c r="S89" i="20"/>
  <c r="R89" i="20"/>
  <c r="Q82" i="20"/>
  <c r="H112" i="18"/>
  <c r="F62" i="20"/>
  <c r="T48" i="18"/>
  <c r="G55" i="17"/>
  <c r="H55" i="17"/>
  <c r="T124" i="18"/>
  <c r="Q97" i="20" s="1"/>
  <c r="S59" i="18"/>
  <c r="I62" i="18"/>
  <c r="J123" i="18"/>
  <c r="I57" i="18"/>
  <c r="I96" i="18"/>
  <c r="H69" i="20"/>
  <c r="G62" i="20"/>
  <c r="J69" i="20"/>
  <c r="I69" i="20"/>
  <c r="R55" i="20"/>
  <c r="T55" i="20"/>
  <c r="S55" i="20"/>
  <c r="O63" i="17"/>
  <c r="P63" i="17"/>
  <c r="N56" i="17"/>
  <c r="J112" i="18"/>
  <c r="P40" i="20"/>
  <c r="N35" i="17"/>
  <c r="P42" i="17"/>
  <c r="O42" i="17"/>
  <c r="T120" i="18"/>
  <c r="S56" i="18"/>
  <c r="I125" i="18"/>
  <c r="S122" i="18"/>
  <c r="T119" i="18"/>
  <c r="J96" i="18"/>
  <c r="I76" i="20"/>
  <c r="J76" i="20"/>
  <c r="H76" i="20"/>
  <c r="H48" i="18"/>
  <c r="S54" i="20"/>
  <c r="T54" i="20"/>
  <c r="R54" i="20"/>
  <c r="Q56" i="20"/>
  <c r="G96" i="18"/>
  <c r="P33" i="17"/>
  <c r="O33" i="17"/>
  <c r="H63" i="17"/>
  <c r="G63" i="17"/>
  <c r="G102" i="17"/>
  <c r="H102" i="17"/>
  <c r="I56" i="18"/>
  <c r="J54" i="18"/>
  <c r="S118" i="18"/>
  <c r="J126" i="18"/>
  <c r="J121" i="18"/>
  <c r="I48" i="18"/>
  <c r="F82" i="20"/>
  <c r="S48" i="18"/>
  <c r="H103" i="17"/>
  <c r="G103" i="17"/>
  <c r="G75" i="17"/>
  <c r="H75" i="17"/>
  <c r="I124" i="18"/>
  <c r="G90" i="20" s="1"/>
  <c r="T64" i="18"/>
  <c r="N91" i="17"/>
  <c r="P90" i="17"/>
  <c r="O90" i="17"/>
  <c r="Q96" i="18"/>
  <c r="G97" i="17"/>
  <c r="H97" i="17"/>
  <c r="H41" i="17"/>
  <c r="F34" i="17"/>
  <c r="G41" i="17"/>
  <c r="F42" i="17"/>
  <c r="F56" i="17"/>
  <c r="G70" i="17"/>
  <c r="H70" i="17"/>
  <c r="I89" i="20"/>
  <c r="J89" i="20"/>
  <c r="H89" i="20"/>
  <c r="G82" i="20"/>
  <c r="H95" i="17"/>
  <c r="G95" i="17"/>
  <c r="P75" i="17"/>
  <c r="O75" i="17"/>
  <c r="I60" i="18"/>
  <c r="T118" i="18"/>
  <c r="I121" i="18"/>
  <c r="J56" i="18"/>
  <c r="I126" i="18"/>
  <c r="Q70" i="20"/>
  <c r="S69" i="20"/>
  <c r="Q62" i="20"/>
  <c r="T69" i="20"/>
  <c r="R69" i="20"/>
  <c r="G112" i="18"/>
  <c r="G70" i="20"/>
  <c r="G48" i="17"/>
  <c r="H48" i="17"/>
  <c r="H96" i="18"/>
  <c r="G101" i="17"/>
  <c r="H101" i="17"/>
  <c r="N76" i="17"/>
  <c r="T121" i="18"/>
  <c r="I61" i="18"/>
  <c r="G48" i="20" s="1"/>
  <c r="G49" i="20" s="1"/>
  <c r="S121" i="18"/>
  <c r="J59" i="18"/>
  <c r="T123" i="18"/>
  <c r="G104" i="20"/>
  <c r="G110" i="20"/>
  <c r="G49" i="17"/>
  <c r="H49" i="17"/>
  <c r="H47" i="20"/>
  <c r="I47" i="20"/>
  <c r="G40" i="20"/>
  <c r="J47" i="20"/>
  <c r="F56" i="20"/>
  <c r="R96" i="18"/>
  <c r="J116" i="20"/>
  <c r="H116" i="20"/>
  <c r="I116" i="20"/>
  <c r="J96" i="20"/>
  <c r="H96" i="20"/>
  <c r="I96" i="20"/>
  <c r="T47" i="20"/>
  <c r="R47" i="20"/>
  <c r="S47" i="20"/>
  <c r="Q40" i="20"/>
  <c r="G48" i="18"/>
  <c r="S61" i="20"/>
  <c r="R61" i="20"/>
  <c r="T61" i="20"/>
  <c r="S61" i="18"/>
  <c r="Q48" i="20" s="1"/>
  <c r="S60" i="18"/>
  <c r="S54" i="18"/>
  <c r="I122" i="18"/>
  <c r="J120" i="18"/>
  <c r="T96" i="18"/>
  <c r="G108" i="20"/>
  <c r="G102" i="20"/>
  <c r="H54" i="20"/>
  <c r="I54" i="20"/>
  <c r="J54" i="20"/>
  <c r="J114" i="20"/>
  <c r="I114" i="20"/>
  <c r="H114" i="20"/>
  <c r="S96" i="20"/>
  <c r="R96" i="20"/>
  <c r="T96" i="20"/>
  <c r="P49" i="17"/>
  <c r="O49" i="17"/>
  <c r="J61" i="18"/>
  <c r="G55" i="20" s="1"/>
  <c r="J117" i="18"/>
  <c r="T122" i="18"/>
  <c r="J63" i="18"/>
  <c r="S57" i="18"/>
  <c r="S96" i="18"/>
  <c r="G109" i="20"/>
  <c r="G103" i="20"/>
  <c r="H61" i="20"/>
  <c r="J61" i="20"/>
  <c r="I61" i="20"/>
  <c r="P70" i="20"/>
  <c r="P63" i="20" s="1"/>
  <c r="P62" i="20"/>
  <c r="J115" i="20"/>
  <c r="H115" i="20"/>
  <c r="I115" i="20"/>
  <c r="J48" i="18"/>
  <c r="J118" i="18"/>
  <c r="I63" i="18"/>
  <c r="S63" i="18"/>
  <c r="J119" i="18"/>
  <c r="I58" i="18"/>
  <c r="T76" i="20"/>
  <c r="S76" i="20"/>
  <c r="R76" i="20"/>
  <c r="P55" i="17"/>
  <c r="O55" i="17"/>
  <c r="G96" i="17"/>
  <c r="H96" i="17"/>
  <c r="F40" i="20"/>
  <c r="F41" i="20" l="1"/>
  <c r="H97" i="20"/>
  <c r="G84" i="17"/>
  <c r="F83" i="20"/>
  <c r="G98" i="20"/>
  <c r="J98" i="20" s="1"/>
  <c r="R127" i="18"/>
  <c r="Q127" i="18"/>
  <c r="J97" i="20"/>
  <c r="Q83" i="20"/>
  <c r="R83" i="20" s="1"/>
  <c r="P34" i="17"/>
  <c r="P83" i="20"/>
  <c r="T90" i="20"/>
  <c r="Q98" i="20"/>
  <c r="S98" i="20" s="1"/>
  <c r="F77" i="17"/>
  <c r="G77" i="17" s="1"/>
  <c r="H91" i="17"/>
  <c r="S90" i="20"/>
  <c r="H64" i="18"/>
  <c r="H127" i="18"/>
  <c r="G64" i="18"/>
  <c r="G127" i="18"/>
  <c r="Q64" i="18"/>
  <c r="P49" i="20"/>
  <c r="P42" i="20" s="1"/>
  <c r="P84" i="17"/>
  <c r="Q91" i="20"/>
  <c r="S91" i="20" s="1"/>
  <c r="N77" i="17"/>
  <c r="P77" i="17" s="1"/>
  <c r="S127" i="18"/>
  <c r="I127" i="18"/>
  <c r="T127" i="18"/>
  <c r="J64" i="18"/>
  <c r="I64" i="18"/>
  <c r="P84" i="20"/>
  <c r="G76" i="17"/>
  <c r="F42" i="20"/>
  <c r="H103" i="20"/>
  <c r="I103" i="20"/>
  <c r="J103" i="20"/>
  <c r="I49" i="20"/>
  <c r="H49" i="20"/>
  <c r="J49" i="20"/>
  <c r="H48" i="20"/>
  <c r="G41" i="20"/>
  <c r="J48" i="20"/>
  <c r="I48" i="20"/>
  <c r="H34" i="17"/>
  <c r="G34" i="17"/>
  <c r="S64" i="18"/>
  <c r="S62" i="20"/>
  <c r="R62" i="20"/>
  <c r="T62" i="20"/>
  <c r="P56" i="17"/>
  <c r="O56" i="17"/>
  <c r="T82" i="20"/>
  <c r="S82" i="20"/>
  <c r="R82" i="20"/>
  <c r="H40" i="20"/>
  <c r="J40" i="20"/>
  <c r="I40" i="20"/>
  <c r="O76" i="17"/>
  <c r="P76" i="17"/>
  <c r="I82" i="20"/>
  <c r="J82" i="20"/>
  <c r="H82" i="20"/>
  <c r="G91" i="20"/>
  <c r="I90" i="20"/>
  <c r="J90" i="20"/>
  <c r="G83" i="20"/>
  <c r="H90" i="20"/>
  <c r="T56" i="20"/>
  <c r="R56" i="20"/>
  <c r="S56" i="20"/>
  <c r="R48" i="20"/>
  <c r="Q41" i="20"/>
  <c r="T48" i="20"/>
  <c r="S48" i="20"/>
  <c r="S70" i="20"/>
  <c r="T70" i="20"/>
  <c r="R70" i="20"/>
  <c r="J127" i="18"/>
  <c r="F84" i="20"/>
  <c r="T97" i="20"/>
  <c r="S97" i="20"/>
  <c r="R97" i="20"/>
  <c r="G56" i="20"/>
  <c r="G42" i="20" s="1"/>
  <c r="I55" i="20"/>
  <c r="H55" i="20"/>
  <c r="J55" i="20"/>
  <c r="O35" i="17"/>
  <c r="P35" i="17"/>
  <c r="J102" i="20"/>
  <c r="I102" i="20"/>
  <c r="H102" i="20"/>
  <c r="J110" i="20"/>
  <c r="H110" i="20"/>
  <c r="I110" i="20"/>
  <c r="J109" i="20"/>
  <c r="I109" i="20"/>
  <c r="H109" i="20"/>
  <c r="I108" i="20"/>
  <c r="J108" i="20"/>
  <c r="H108" i="20"/>
  <c r="Q49" i="20"/>
  <c r="H104" i="20"/>
  <c r="I104" i="20"/>
  <c r="J104" i="20"/>
  <c r="T40" i="20"/>
  <c r="R40" i="20"/>
  <c r="S40" i="20"/>
  <c r="I70" i="20"/>
  <c r="J70" i="20"/>
  <c r="G63" i="20"/>
  <c r="H70" i="20"/>
  <c r="G56" i="17"/>
  <c r="H56" i="17"/>
  <c r="J62" i="20"/>
  <c r="H62" i="20"/>
  <c r="I62" i="20"/>
  <c r="H42" i="17"/>
  <c r="F35" i="17"/>
  <c r="G42" i="17"/>
  <c r="O91" i="17"/>
  <c r="P91" i="17"/>
  <c r="Q63" i="20"/>
  <c r="I98" i="20" l="1"/>
  <c r="H98" i="20"/>
  <c r="G84" i="20"/>
  <c r="J84" i="20" s="1"/>
  <c r="T83" i="20"/>
  <c r="S83" i="20"/>
  <c r="R98" i="20"/>
  <c r="T98" i="20"/>
  <c r="H77" i="17"/>
  <c r="T91" i="20"/>
  <c r="R91" i="20"/>
  <c r="Q84" i="20"/>
  <c r="S84" i="20" s="1"/>
  <c r="O77" i="17"/>
  <c r="I42" i="20"/>
  <c r="H42" i="20"/>
  <c r="J42" i="20"/>
  <c r="I84" i="20"/>
  <c r="G35" i="17"/>
  <c r="H35" i="17"/>
  <c r="I91" i="20"/>
  <c r="J91" i="20"/>
  <c r="H91" i="20"/>
  <c r="S49" i="20"/>
  <c r="T49" i="20"/>
  <c r="Q42" i="20"/>
  <c r="R49" i="20"/>
  <c r="J56" i="20"/>
  <c r="I56" i="20"/>
  <c r="H56" i="20"/>
  <c r="T63" i="20"/>
  <c r="R63" i="20"/>
  <c r="S63" i="20"/>
  <c r="I63" i="20"/>
  <c r="J63" i="20"/>
  <c r="H63" i="20"/>
  <c r="S41" i="20"/>
  <c r="T41" i="20"/>
  <c r="R41" i="20"/>
  <c r="I41" i="20"/>
  <c r="H41" i="20"/>
  <c r="J41" i="20"/>
  <c r="J83" i="20"/>
  <c r="I83" i="20"/>
  <c r="H83" i="20"/>
  <c r="H84" i="20" l="1"/>
  <c r="R84" i="20"/>
  <c r="T84" i="20"/>
  <c r="S42" i="20"/>
  <c r="T42" i="20"/>
  <c r="R42" i="20"/>
</calcChain>
</file>

<file path=xl/sharedStrings.xml><?xml version="1.0" encoding="utf-8"?>
<sst xmlns="http://schemas.openxmlformats.org/spreadsheetml/2006/main" count="3224" uniqueCount="700">
  <si>
    <t>Filing Description</t>
  </si>
  <si>
    <t>Revenue Recovery Mechanism</t>
  </si>
  <si>
    <t>Safety Affordability Reliability Proceedings</t>
  </si>
  <si>
    <t>Generation</t>
  </si>
  <si>
    <t>Authority for Revenue Requirement</t>
  </si>
  <si>
    <t>Distribution</t>
  </si>
  <si>
    <t xml:space="preserve">   Subtotal Safety Affordability Reliability</t>
  </si>
  <si>
    <t>Public Policy Proceedings</t>
  </si>
  <si>
    <t xml:space="preserve">   Subtotal Public Policy </t>
  </si>
  <si>
    <t>Non-CPUC Jurisdictional Proceedings</t>
  </si>
  <si>
    <t>Transmission</t>
  </si>
  <si>
    <t xml:space="preserve">   Subtotal Non-CPUC Jurisidictional</t>
  </si>
  <si>
    <t>Pending Application(s), Not Yet Approved</t>
  </si>
  <si>
    <t>Revenue Change ($000)</t>
  </si>
  <si>
    <t>NSGC</t>
  </si>
  <si>
    <t>Public Purpose Program</t>
  </si>
  <si>
    <t>NDC</t>
  </si>
  <si>
    <t>DWR BC</t>
  </si>
  <si>
    <t>Customer Group</t>
  </si>
  <si>
    <t>Residential</t>
  </si>
  <si>
    <t>Current</t>
  </si>
  <si>
    <t>Proposed</t>
  </si>
  <si>
    <t>Assumptions:</t>
  </si>
  <si>
    <t>Total System</t>
  </si>
  <si>
    <t>DWRBC</t>
  </si>
  <si>
    <t>Bundled</t>
  </si>
  <si>
    <t>Rates</t>
  </si>
  <si>
    <t>System (Bundled and Unbundled)</t>
  </si>
  <si>
    <t>Tier 1</t>
  </si>
  <si>
    <t>Tier 2</t>
  </si>
  <si>
    <t>System</t>
  </si>
  <si>
    <t>kWh per month</t>
  </si>
  <si>
    <t>Climate Zone</t>
  </si>
  <si>
    <t>Average monthly usage is for all customers (Non-CARE and CARE) based on seasonal usage in</t>
  </si>
  <si>
    <t xml:space="preserve">Residential bill calculated using </t>
  </si>
  <si>
    <t>Summer season</t>
  </si>
  <si>
    <t>months</t>
  </si>
  <si>
    <t>Winter Season</t>
  </si>
  <si>
    <t>MONTHLY BASELINE QUANTITIES -BASIC (kWh)</t>
  </si>
  <si>
    <t>Total System (SAR)</t>
  </si>
  <si>
    <t>Total Residential (RAR)</t>
  </si>
  <si>
    <t>Sales Forecast</t>
  </si>
  <si>
    <t>Revenue</t>
  </si>
  <si>
    <t>Baseline - Summer</t>
  </si>
  <si>
    <t>- Winter</t>
  </si>
  <si>
    <t>101% - 400% of Baseline - Summer</t>
  </si>
  <si>
    <t>401% of Baseline - Summer</t>
  </si>
  <si>
    <t>Daily to Monthly Conversion Factor</t>
  </si>
  <si>
    <t xml:space="preserve">Bundled Residential Rev Req </t>
  </si>
  <si>
    <t>Non-CARE</t>
  </si>
  <si>
    <t>CARE</t>
  </si>
  <si>
    <t xml:space="preserve">Non-CARE bill impact calculated with average summer usage of </t>
  </si>
  <si>
    <t xml:space="preserve">Non-CARE bill impact calculated with average winter usage of </t>
  </si>
  <si>
    <t xml:space="preserve">CARE bill impact calculated with average summer usage of </t>
  </si>
  <si>
    <t xml:space="preserve">CARE bill impact calculated with average winter usage of </t>
  </si>
  <si>
    <t>Total Authorized Revenue</t>
  </si>
  <si>
    <t>Total Pending, Filed but not Approved</t>
  </si>
  <si>
    <t>Proposed Revenue Recovery Mechanism</t>
  </si>
  <si>
    <t>Approved Application(s), Implemented Since Jan 1 or To Be Implemented</t>
  </si>
  <si>
    <t>Total Approved, Implemented Since Jan 1 or To Be Implemented</t>
  </si>
  <si>
    <t>Current Revenue Requirement ($000):</t>
  </si>
  <si>
    <t>Existing or New Item (if existing, use delta from prior for rate impact)</t>
  </si>
  <si>
    <t>Change in Projected Authorized  Revenue Requirement ($000) for Rate Impact - Breakout by Year (if cell is shaded grey, rate impact is not presently determinable)</t>
  </si>
  <si>
    <t>Notes:</t>
  </si>
  <si>
    <t>Schedule E-1</t>
  </si>
  <si>
    <t>Schedule EL-1</t>
  </si>
  <si>
    <t>HUS</t>
  </si>
  <si>
    <t>Pension Contribution</t>
  </si>
  <si>
    <t>CTC</t>
  </si>
  <si>
    <t>Cost of Capital</t>
  </si>
  <si>
    <t>Diablo Canyon Retirement</t>
  </si>
  <si>
    <t>Nuclear Decommissioning (NDCTP)</t>
  </si>
  <si>
    <t>Department of Energy Litigation Proceeds</t>
  </si>
  <si>
    <t>SGIP</t>
  </si>
  <si>
    <t>AB 32: Cap &amp; Trade/GHG (Electric Procurement)</t>
  </si>
  <si>
    <t>Alternative Fuel Vehicle - SB 350 Application</t>
  </si>
  <si>
    <t>CARE Administration</t>
  </si>
  <si>
    <t>CPUC Fee</t>
  </si>
  <si>
    <t>EPIC (Electric Program Investment Charge)</t>
  </si>
  <si>
    <t>EV Pilot for Schools and Parks</t>
  </si>
  <si>
    <t xml:space="preserve">ESA (Energy Savings Assistance) </t>
  </si>
  <si>
    <t>Tree Mortality</t>
  </si>
  <si>
    <t>Residential Rate Reform Memorandum Account (RRRMA)</t>
  </si>
  <si>
    <t>Demand Response</t>
  </si>
  <si>
    <t>Demand Response Auction Mechanism</t>
  </si>
  <si>
    <t>Integrated Demand Side Management (IDSM)</t>
  </si>
  <si>
    <t>DWR Franchise Fees</t>
  </si>
  <si>
    <t>TACBAA</t>
  </si>
  <si>
    <t>TRBAA</t>
  </si>
  <si>
    <t>RSBA</t>
  </si>
  <si>
    <t>EUCRA</t>
  </si>
  <si>
    <t>Preliminary Statement ET</t>
  </si>
  <si>
    <t>Preliminary Statement S</t>
  </si>
  <si>
    <t>ERRA</t>
  </si>
  <si>
    <t>2018 CEMA</t>
  </si>
  <si>
    <t xml:space="preserve">Demand Response </t>
  </si>
  <si>
    <t>ESA (Energy Savings Assistance)</t>
  </si>
  <si>
    <t>Energy Efficiency/PEERAM</t>
  </si>
  <si>
    <t>Energy Efficiency/PPPRAM</t>
  </si>
  <si>
    <t>FERABA *</t>
  </si>
  <si>
    <t>DREBA (Incentives and Operations subaccounts) *</t>
  </si>
  <si>
    <t>MHPBA *</t>
  </si>
  <si>
    <t>MEBA *</t>
  </si>
  <si>
    <t>SGMA (Compressed Air Energy Storage) *</t>
  </si>
  <si>
    <t>PEERAM *</t>
  </si>
  <si>
    <t>PPPRAM *</t>
  </si>
  <si>
    <t>EV Infrastructure Program/TEBA *</t>
  </si>
  <si>
    <t>CTC/MTCBA *</t>
  </si>
  <si>
    <t>Cost Allocation Mechanism</t>
  </si>
  <si>
    <t>Cost Allocation Mechanism/NSGBA *</t>
  </si>
  <si>
    <t>ERBBA *</t>
  </si>
  <si>
    <t>Nuclear Decommissioning (NDCTP) *</t>
  </si>
  <si>
    <t>EPIC (Electric Program Investment Charge) *</t>
  </si>
  <si>
    <t>CARE Administration *</t>
  </si>
  <si>
    <t>Hazardous Substance Materials (HSM) *</t>
  </si>
  <si>
    <t>NTBA *</t>
  </si>
  <si>
    <t>Preliminary Statement  CZ</t>
  </si>
  <si>
    <t>Preliminary Statement  DT</t>
  </si>
  <si>
    <t>Preliminary Statement  DB</t>
  </si>
  <si>
    <t>Preliminary Statement  DX</t>
  </si>
  <si>
    <t>Preliminary Statement  EC</t>
  </si>
  <si>
    <t>Preliminary Statement  GH</t>
  </si>
  <si>
    <t>Preliminary Statement  GJ</t>
  </si>
  <si>
    <t>Preliminary Statement  FD</t>
  </si>
  <si>
    <t>Preliminary Statement  DA</t>
  </si>
  <si>
    <t>Preliminary Statement  EF</t>
  </si>
  <si>
    <t>Preliminary Statement  M</t>
  </si>
  <si>
    <t>Preliminary Statement  FY</t>
  </si>
  <si>
    <t xml:space="preserve">Balancing Account </t>
  </si>
  <si>
    <t>New</t>
  </si>
  <si>
    <t>Existing</t>
  </si>
  <si>
    <t>ECRA</t>
  </si>
  <si>
    <t>Transmission Balancing Accounts</t>
  </si>
  <si>
    <t>GHG Revenue</t>
  </si>
  <si>
    <t>System Sales</t>
  </si>
  <si>
    <t>Bundled Sales</t>
  </si>
  <si>
    <t>Total</t>
  </si>
  <si>
    <t>Authorized + Pending</t>
  </si>
  <si>
    <t>FERC BAs</t>
  </si>
  <si>
    <t>Inputs:</t>
  </si>
  <si>
    <t>Current Effective Rates</t>
  </si>
  <si>
    <t>Baseline Region - (Residential bill)</t>
  </si>
  <si>
    <t>Include in Impact (Y)</t>
  </si>
  <si>
    <t>Y</t>
  </si>
  <si>
    <t>Outputs:</t>
  </si>
  <si>
    <t>Bundled Average Rates - ¢/kWh</t>
  </si>
  <si>
    <t>Total System (Bundled and Unbundled) Average Rates - ¢/kWh</t>
  </si>
  <si>
    <t>Summer</t>
  </si>
  <si>
    <t>Winter</t>
  </si>
  <si>
    <t>SCHEDULE E-1 RATES ($/kWh)</t>
  </si>
  <si>
    <t>General Rate Case</t>
  </si>
  <si>
    <t>General Rate Case - DRAM*</t>
  </si>
  <si>
    <t>TO</t>
  </si>
  <si>
    <t>Current Revenue Requirement Effective:</t>
  </si>
  <si>
    <t>Applicable Year(s)</t>
  </si>
  <si>
    <t>TO - Formula Rate</t>
  </si>
  <si>
    <t>CPUC Code 6350-6354</t>
  </si>
  <si>
    <t>(A)</t>
  </si>
  <si>
    <t>(B)</t>
  </si>
  <si>
    <t>(C)</t>
  </si>
  <si>
    <t>(C)/(A)</t>
  </si>
  <si>
    <t>(C)/(B)</t>
  </si>
  <si>
    <t>(D)</t>
  </si>
  <si>
    <t>(D)/(A)</t>
  </si>
  <si>
    <t>(D)/(B)</t>
  </si>
  <si>
    <t>(D)/(C)</t>
  </si>
  <si>
    <t>Authorized Rates</t>
  </si>
  <si>
    <t>Authorized Revenue</t>
  </si>
  <si>
    <t>w/Pending Rates</t>
  </si>
  <si>
    <t>w/Pending Revenue</t>
  </si>
  <si>
    <t>Proposed (Authorized)</t>
  </si>
  <si>
    <t>Proposed (w/Pending)</t>
  </si>
  <si>
    <t>Sample Population Weight</t>
  </si>
  <si>
    <t>Authorized</t>
  </si>
  <si>
    <t>w/Pending</t>
  </si>
  <si>
    <t>w/ Pending</t>
  </si>
  <si>
    <t>Allocation</t>
  </si>
  <si>
    <t>PPPC</t>
  </si>
  <si>
    <t>GHG Rev</t>
  </si>
  <si>
    <t>Revenue Change ($000) - System</t>
  </si>
  <si>
    <t>Revenue Split - Bundled</t>
  </si>
  <si>
    <t>Bundled Revenue Change</t>
  </si>
  <si>
    <t>CARE Adj</t>
  </si>
  <si>
    <t>Res CARE Surcharge</t>
  </si>
  <si>
    <t>Proposed Avg Rates (Authorized)</t>
  </si>
  <si>
    <t>Proposed Avg Rates (w/Pending)</t>
  </si>
  <si>
    <t>% Change (Authorized)</t>
  </si>
  <si>
    <t>% Change (w/Pending)</t>
  </si>
  <si>
    <t>Pending Proceedings</t>
  </si>
  <si>
    <t>% Change over Authorized</t>
  </si>
  <si>
    <t>SCHEDULE EL-1 ($/kWh)</t>
  </si>
  <si>
    <t>Change</t>
  </si>
  <si>
    <t xml:space="preserve"> Rates</t>
  </si>
  <si>
    <t xml:space="preserve">Proposed Avg Rates </t>
  </si>
  <si>
    <t>% Change</t>
  </si>
  <si>
    <t>Revenue Change</t>
  </si>
  <si>
    <t>CARE Discount</t>
  </si>
  <si>
    <t>Basis of Revenue Requirement Forecast: Application Amended Application, Ammended Testimony, Proposed Settlement Agreement, Proposed Decision</t>
  </si>
  <si>
    <t>ALL</t>
  </si>
  <si>
    <t>P - Hot</t>
  </si>
  <si>
    <t>Q - Warm</t>
  </si>
  <si>
    <t>R - Hot</t>
  </si>
  <si>
    <t>S - Hot</t>
  </si>
  <si>
    <t>T - Cool</t>
  </si>
  <si>
    <t>V - Cool</t>
  </si>
  <si>
    <t>W - Hot</t>
  </si>
  <si>
    <t>X - Warm</t>
  </si>
  <si>
    <t>Y - Warm</t>
  </si>
  <si>
    <t>Z - Cool</t>
  </si>
  <si>
    <t>Residential Allocator</t>
  </si>
  <si>
    <t>Proceeding/Filing</t>
  </si>
  <si>
    <t>PCIA</t>
  </si>
  <si>
    <t>Section 851 Application to Sell The SF General Office Complex</t>
  </si>
  <si>
    <t>Non-CARE Tiered Sales</t>
  </si>
  <si>
    <t>CARE Tiered Sales</t>
  </si>
  <si>
    <t>Balancing Accounts</t>
  </si>
  <si>
    <t xml:space="preserve"> Revenue Change (000s)</t>
  </si>
  <si>
    <t>Tree Mortality*</t>
  </si>
  <si>
    <t>Risk Transfer Balancing Account*</t>
  </si>
  <si>
    <t>AB 841 School Energy Efficiency Stimulus Program</t>
  </si>
  <si>
    <t>MONTHLY BASELINE QUANTITIES -ALL-ELECTRIC (kWh)</t>
  </si>
  <si>
    <t>Basic Essential Usage NON-CARE</t>
  </si>
  <si>
    <t>Basic Essential Usage CARE</t>
  </si>
  <si>
    <t>All-Electric Essential Usage NON-CARE</t>
  </si>
  <si>
    <t>All-Electric Essential Usage CARE</t>
  </si>
  <si>
    <t>Basic Essential Use  - Non-CARE</t>
  </si>
  <si>
    <t>Basic Essential Use - CARE</t>
  </si>
  <si>
    <t>All-Electric Essential Use - Non-CARE</t>
  </si>
  <si>
    <t>All-Electric Essential Use - CARE</t>
  </si>
  <si>
    <t>Alternative Fuel Vehicle - SB 350 Application (aka Transportation Electrification)</t>
  </si>
  <si>
    <t>Wildfire Mitigation Balancing Account (WMBA)</t>
  </si>
  <si>
    <t>non-CARE Sales</t>
  </si>
  <si>
    <t>non-exempt Sales</t>
  </si>
  <si>
    <t>% of CARE Sales</t>
  </si>
  <si>
    <t>CARE Line Item Discount</t>
  </si>
  <si>
    <t>non-CARE Residential Sales</t>
  </si>
  <si>
    <t>Schedule E-1, Single Family</t>
  </si>
  <si>
    <t xml:space="preserve">Non-CARE bill impact calculated with average annual usage of </t>
  </si>
  <si>
    <t xml:space="preserve">CARE bill impact calculated with average annual usage of </t>
  </si>
  <si>
    <t>Basic</t>
  </si>
  <si>
    <t>All Electric</t>
  </si>
  <si>
    <t>Essential Use - Basic</t>
  </si>
  <si>
    <t>Essential Use - All Electric</t>
  </si>
  <si>
    <t>Basic NON-CARE</t>
  </si>
  <si>
    <t>Basic CARE</t>
  </si>
  <si>
    <t>Basic Typical Non-CARE</t>
  </si>
  <si>
    <t>Basic Typical CARE</t>
  </si>
  <si>
    <t>All Electric Typical Non-CARE</t>
  </si>
  <si>
    <t>All Electric Typical CARE</t>
  </si>
  <si>
    <t>All Electric NON-CARE</t>
  </si>
  <si>
    <t>All Electric CARE</t>
  </si>
  <si>
    <t>kWh per year</t>
  </si>
  <si>
    <t>All-Electric NON-CARE</t>
  </si>
  <si>
    <t>All-Electric CARE</t>
  </si>
  <si>
    <t>All-Electric Typical Non-CARE</t>
  </si>
  <si>
    <t>All-Electric Typical CARE</t>
  </si>
  <si>
    <t>Basic Bundled Residential Monthly Average Bills</t>
  </si>
  <si>
    <t>Basic Bundled Residential Monthly Average Bills - Summer</t>
  </si>
  <si>
    <t>Basic Bundled Residential Monthly Average Bills - Winter</t>
  </si>
  <si>
    <t>Essential Use Basic Bundled Residential Monthly Average Bills</t>
  </si>
  <si>
    <t>Essential Use Basic Bundled Residential Monthly Average Bills - Summer</t>
  </si>
  <si>
    <t>Essential Use Basic Bundled Residential Monthly Average Bills - Winter</t>
  </si>
  <si>
    <t>Typical Customer Basic Bundled Residential Monthly Average Bills</t>
  </si>
  <si>
    <t>Typical Customer Basic Bundled Residential Monthly Average Bills - Summer</t>
  </si>
  <si>
    <t>Typical Customer Basic Bundled Residential Monthly Average Bills - Winter</t>
  </si>
  <si>
    <t>All-Electric Bundled Residential Monthly Average Bills</t>
  </si>
  <si>
    <t>All-Electric Bundled Residential Monthly Average Bills - Summer</t>
  </si>
  <si>
    <t>All-Electric Bundled Residential Monthly Average Bills - Winter</t>
  </si>
  <si>
    <t>Essential Use All-Electric Bundled Residential Monthly Average Bills</t>
  </si>
  <si>
    <t>Essential Use All-Electric Bundled Residential Monthly Average Bills - Summer</t>
  </si>
  <si>
    <t>Essential Use All-Electric Bundled Residential Monthly Average Bills - Winter</t>
  </si>
  <si>
    <t>Typical Customer All-Electric Bundled Residential Monthly Average Bills</t>
  </si>
  <si>
    <t>Typical Customer All-Electric Bundled Residential Monthly Average Bills - Summer</t>
  </si>
  <si>
    <t>Typical Customer All-Electric Bundled Residential Monthly Average Bills - Winter</t>
  </si>
  <si>
    <t>Residential Bi-annual Climate Credit</t>
  </si>
  <si>
    <r>
      <t xml:space="preserve">AB 32: Cap &amp; Trade/GHG </t>
    </r>
    <r>
      <rPr>
        <sz val="11"/>
        <color rgb="FF0070C0"/>
        <rFont val="Calibri"/>
        <family val="2"/>
      </rPr>
      <t>(ERRA Forecast)</t>
    </r>
  </si>
  <si>
    <r>
      <t>Tree Mortality</t>
    </r>
    <r>
      <rPr>
        <sz val="11"/>
        <color rgb="FF0070C0"/>
        <rFont val="Calibri"/>
        <family val="2"/>
      </rPr>
      <t xml:space="preserve"> (ERRA Forecast)</t>
    </r>
  </si>
  <si>
    <t>Emergency Reliability OIR</t>
  </si>
  <si>
    <t>Wildfire Fund Charge (formerly known as DWR Bond)</t>
  </si>
  <si>
    <t>D.21-08-027</t>
  </si>
  <si>
    <t>2022 RF&amp;U</t>
  </si>
  <si>
    <t>IRPCMA*</t>
  </si>
  <si>
    <t>VMBA</t>
  </si>
  <si>
    <t>WMBA</t>
  </si>
  <si>
    <t>WHC</t>
  </si>
  <si>
    <t>Non-CARE Sales</t>
  </si>
  <si>
    <t>D.18-01-022</t>
  </si>
  <si>
    <t>Electric Preliminary Statement Part HJ</t>
  </si>
  <si>
    <t>D.20-01-021, AL 5857-E</t>
  </si>
  <si>
    <t>D.21-06-015</t>
  </si>
  <si>
    <t>Vegetation Management Balancing Account (VMBA)</t>
  </si>
  <si>
    <t>BioMat</t>
  </si>
  <si>
    <t>BioMat*</t>
  </si>
  <si>
    <t>Non-Vintaged PCIA</t>
  </si>
  <si>
    <t>DAC-GT</t>
  </si>
  <si>
    <t>DWR Refund</t>
  </si>
  <si>
    <t>Residential Uncollectibles Balancing Account (RUBA)*</t>
  </si>
  <si>
    <t>Summer Reliability OIR</t>
  </si>
  <si>
    <t>D.21-03-056, D.21-12-015</t>
  </si>
  <si>
    <t>EPT</t>
  </si>
  <si>
    <t>Res</t>
  </si>
  <si>
    <t>A-10</t>
  </si>
  <si>
    <t>E-19</t>
  </si>
  <si>
    <t>Streetlights</t>
  </si>
  <si>
    <t>Standby</t>
  </si>
  <si>
    <t>AG</t>
  </si>
  <si>
    <t>E-20P</t>
  </si>
  <si>
    <t>E-20S</t>
  </si>
  <si>
    <t>E-20T</t>
  </si>
  <si>
    <t>Distribution (Wildfire)</t>
  </si>
  <si>
    <t>First 500M</t>
  </si>
  <si>
    <t>After 500M</t>
  </si>
  <si>
    <t>Distribution (Wildfire) Allocation</t>
  </si>
  <si>
    <t>`</t>
  </si>
  <si>
    <t>VMBA (Distribution - Wildfire)</t>
  </si>
  <si>
    <t>Vegetation Management Balancing Account (VMBA) (Distribution - Wildfire)</t>
  </si>
  <si>
    <t>General Rate Case (Distribution - Wildfire)</t>
  </si>
  <si>
    <t>AB 1054 Securitization - FO 1</t>
  </si>
  <si>
    <t>AB 1054 Securitization - FO 2</t>
  </si>
  <si>
    <t>2022 WMCE</t>
  </si>
  <si>
    <t>Pension Contribution *</t>
  </si>
  <si>
    <t>2020 WMCE</t>
  </si>
  <si>
    <t>Non-Vintaged PCIA *</t>
  </si>
  <si>
    <t>WNDRR *</t>
  </si>
  <si>
    <t>MGBA *</t>
  </si>
  <si>
    <t>California Hub for Energy Efficiency Financing (CHEEF)</t>
  </si>
  <si>
    <t>Market Transformation Administrator</t>
  </si>
  <si>
    <t>2023 GRC Self-Insurance</t>
  </si>
  <si>
    <t>Summer 2023</t>
  </si>
  <si>
    <t>Winter 2023</t>
  </si>
  <si>
    <t>A.22-12-009</t>
  </si>
  <si>
    <t>2022 Recorded Average Monthly Usage (kWh) - Bundled/All Electric/non-medical/non-FERA</t>
  </si>
  <si>
    <t>PABA/PUBA *</t>
  </si>
  <si>
    <t>VAMOMA *</t>
  </si>
  <si>
    <t>Preliminary Statement  IT</t>
  </si>
  <si>
    <t>D.20-08-042</t>
  </si>
  <si>
    <t>Preliminary Statement  JH</t>
  </si>
  <si>
    <t>AL 6505-E</t>
  </si>
  <si>
    <t>D.23-02-017</t>
  </si>
  <si>
    <t>D.23-01-005</t>
  </si>
  <si>
    <t>ER23-595-000</t>
  </si>
  <si>
    <t>2021 RF&amp;U</t>
  </si>
  <si>
    <t>ERRA *</t>
  </si>
  <si>
    <t xml:space="preserve">Summary of Selected Data </t>
  </si>
  <si>
    <t xml:space="preserve"> Requirement</t>
  </si>
  <si>
    <t>$000</t>
  </si>
  <si>
    <t>Current total system-level revenue requirement that is used for defining the reporting threshold:</t>
  </si>
  <si>
    <t>A</t>
  </si>
  <si>
    <t>One-percent reporting threshold</t>
  </si>
  <si>
    <t>List of currently open proceedings that exceed the threshold for use of the affordability metrics (proceedings shaded gray filed prior to D.22-08-023):</t>
  </si>
  <si>
    <t>B</t>
  </si>
  <si>
    <t>C</t>
  </si>
  <si>
    <t>D</t>
  </si>
  <si>
    <t>List of currently open proceedings for which affordability metrics have been filed:</t>
  </si>
  <si>
    <t>List of currently open proceedings that do not exceed the threshold for use of the affordability metrics (proceedings shaded gray filed prior to D.22-08-023):</t>
  </si>
  <si>
    <t>Total system-level revenue requirement if all pending revenue were granted in full:
requests were granted in full</t>
  </si>
  <si>
    <t>YE 2025</t>
  </si>
  <si>
    <t>Bundled residential average rate (RAR) if all pending revenue were granted in full (from Cost and Rate Tracker (CRT) as submitted by utility):</t>
  </si>
  <si>
    <t>cents/kWh</t>
  </si>
  <si>
    <t>Bundled residential average monthly bill corresponding to RAR above for typical customer in climate zone X using 500 kWh (from CRT as submitted by utility):</t>
  </si>
  <si>
    <t>YE 2026</t>
  </si>
  <si>
    <t>2024 - 2025</t>
  </si>
  <si>
    <t>Excess Tax</t>
  </si>
  <si>
    <t>2022 WMCE IRR</t>
  </si>
  <si>
    <t>D.23-06-004</t>
  </si>
  <si>
    <t>Wildfire Gas and Safety Costs</t>
  </si>
  <si>
    <t>D.23-08-027</t>
  </si>
  <si>
    <t>2021 WMCE</t>
  </si>
  <si>
    <t>2021 WMCE (VMBA)</t>
  </si>
  <si>
    <t>2024-2025</t>
  </si>
  <si>
    <t>Off-Peak Winter</t>
  </si>
  <si>
    <t>Part-Peak Winter</t>
  </si>
  <si>
    <t>Off-Peak Summer</t>
  </si>
  <si>
    <t>Part-Peak Summer</t>
  </si>
  <si>
    <t>NAICS 722</t>
  </si>
  <si>
    <t>Peak Summer</t>
  </si>
  <si>
    <t>NAICS 621</t>
  </si>
  <si>
    <t>NAICS 531</t>
  </si>
  <si>
    <t>Off-Peak</t>
  </si>
  <si>
    <t>Part-Peak</t>
  </si>
  <si>
    <t>Peak</t>
  </si>
  <si>
    <t>kWh</t>
  </si>
  <si>
    <t>NAICS</t>
  </si>
  <si>
    <t xml:space="preserve">Essential Use - </t>
  </si>
  <si>
    <t>AB 1054 Securitization - FO 3</t>
  </si>
  <si>
    <t>Super Off-Peak Winter</t>
  </si>
  <si>
    <t>Super Off-Peak</t>
  </si>
  <si>
    <t>Customers (Single-phase)</t>
  </si>
  <si>
    <t>B-1 Sales</t>
  </si>
  <si>
    <t>B-1</t>
  </si>
  <si>
    <t>Schedule B-1</t>
  </si>
  <si>
    <t>SCHEDULE B-1 ($/kWh)</t>
  </si>
  <si>
    <t>Part Peak</t>
  </si>
  <si>
    <t>Off Peak</t>
  </si>
  <si>
    <t>Super Off Peak</t>
  </si>
  <si>
    <t>Super Off</t>
  </si>
  <si>
    <t>Single-Phase</t>
  </si>
  <si>
    <t>B-1 Allocator</t>
  </si>
  <si>
    <t>2024-2026</t>
  </si>
  <si>
    <t>ERRA Forecast</t>
  </si>
  <si>
    <t>Competition Transition Charge</t>
  </si>
  <si>
    <t>Risk Transfer Balancing Account</t>
  </si>
  <si>
    <t>Residential Uncollectibles Balancing Account</t>
  </si>
  <si>
    <t xml:space="preserve">AL 7066-E </t>
  </si>
  <si>
    <t>D.20-12-005, AL 7066-E</t>
  </si>
  <si>
    <t>2023 General Rate Case Track 2</t>
  </si>
  <si>
    <t>D.23-11-069</t>
  </si>
  <si>
    <t>2023 General Rate Case Late Implementation</t>
  </si>
  <si>
    <t>Wildfire Fund Charge</t>
  </si>
  <si>
    <t>B-1 CARE Surcharge</t>
  </si>
  <si>
    <t>B-6/A-15</t>
  </si>
  <si>
    <t>Total Revenues</t>
  </si>
  <si>
    <t>Small Commercial (B-1)</t>
  </si>
  <si>
    <t>Small Commercial Monthly Average Bills</t>
  </si>
  <si>
    <t>% Change over 01/1/2023</t>
  </si>
  <si>
    <t>Small Commercial Monthly Average Bills - Summer</t>
  </si>
  <si>
    <t>Small Commercial Monthly Average Bills - Winter</t>
  </si>
  <si>
    <t>Total B-1</t>
  </si>
  <si>
    <t>D.21-12-006, D.23-11-090</t>
  </si>
  <si>
    <t>AL 6505-E / AL 7066-E</t>
  </si>
  <si>
    <t>Bundled small commercial average rate (B-1) if all pending revenue were granted in full (from Cost and Rate Tracker (CRT) as submitted by utility):</t>
  </si>
  <si>
    <t>Bundled small commercial average monthly bill corresponding to B-1 rate above for typical customer by NAICS (from CRT as submitted by utility):</t>
  </si>
  <si>
    <t>January 1, 2024</t>
  </si>
  <si>
    <t>7116-E</t>
  </si>
  <si>
    <t>March 1, 2024</t>
  </si>
  <si>
    <t>2023 GRC Late Implementation</t>
  </si>
  <si>
    <t>Res. M-4870</t>
  </si>
  <si>
    <t>ESA Unspent Funds</t>
  </si>
  <si>
    <t>D.23-06-055/ AL 7047-E</t>
  </si>
  <si>
    <t>D.19-12-021, AL 4674-G/6747-E /AL RI-CalMTA-2</t>
  </si>
  <si>
    <t>ERRA Trigger Adjustment</t>
  </si>
  <si>
    <t>CSIBA*</t>
  </si>
  <si>
    <t>AL 7028-E</t>
  </si>
  <si>
    <t>PIPP*</t>
  </si>
  <si>
    <t>2023 GRC Track II</t>
  </si>
  <si>
    <t>D.24-02-011, D.21-05-015</t>
  </si>
  <si>
    <t>D.23-12-005</t>
  </si>
  <si>
    <t>D.23-12-022</t>
  </si>
  <si>
    <t>AL 4813-G/7046-E</t>
  </si>
  <si>
    <t>AL 4568-G-B/6492-E-B</t>
  </si>
  <si>
    <t>D.23-01-005 , D.23-11-069</t>
  </si>
  <si>
    <t>D.23-11-090</t>
  </si>
  <si>
    <t>D.21-06-030, AL 6390-E</t>
  </si>
  <si>
    <t>D.22-08-004, AL 6769-E</t>
  </si>
  <si>
    <t>Electric Preliminary Statement Part IJ</t>
  </si>
  <si>
    <t>Electric Preliminary Statement Part HM</t>
  </si>
  <si>
    <t>Electric Preliminary Statement Part JM</t>
  </si>
  <si>
    <t>Electric Preliminary Statement Part IM</t>
  </si>
  <si>
    <t>n/a</t>
  </si>
  <si>
    <t>D.18-05-040, D.19-11-017, D.19-09-006, D.20-12-029, D.22-08-024</t>
  </si>
  <si>
    <t>Electric Preliminary Statement Part HH</t>
  </si>
  <si>
    <t>Electric Preliminary Statement Part P</t>
  </si>
  <si>
    <t>ER24-599-000</t>
  </si>
  <si>
    <t>ER24-96-000</t>
  </si>
  <si>
    <t>ER23-2968-000</t>
  </si>
  <si>
    <t>D.21-06-030, AL 7106-E</t>
  </si>
  <si>
    <t>D.22-08-004, AL 7126-E</t>
  </si>
  <si>
    <t>CEEIA*</t>
  </si>
  <si>
    <t>7191-E</t>
  </si>
  <si>
    <t>Residential Uncollectibles Balancing Account (RUBA)</t>
  </si>
  <si>
    <t>Customer</t>
  </si>
  <si>
    <t>2024 RF&amp;U</t>
  </si>
  <si>
    <t>YE 2027</t>
  </si>
  <si>
    <t>E-1</t>
  </si>
  <si>
    <t>E-TOU-C</t>
  </si>
  <si>
    <t>EL-1</t>
  </si>
  <si>
    <t>EL-TOU-C</t>
  </si>
  <si>
    <t>Gas AMI</t>
  </si>
  <si>
    <t>A.24-03-011</t>
  </si>
  <si>
    <t xml:space="preserve">Distribution </t>
  </si>
  <si>
    <t>Application, WP 5-1 include RF&amp;U</t>
  </si>
  <si>
    <t>April 1, 2024</t>
  </si>
  <si>
    <t>7227-E</t>
  </si>
  <si>
    <t>Wildfire Gas Safety Costs IRR</t>
  </si>
  <si>
    <t>2025-2026</t>
  </si>
  <si>
    <t>D.24-03-006</t>
  </si>
  <si>
    <t>Application, Table 12-5</t>
  </si>
  <si>
    <t>A.23-06-008</t>
  </si>
  <si>
    <t>Application, Table 1 &amp; IRR PD for TY 2024</t>
  </si>
  <si>
    <t>Application, Table 1</t>
  </si>
  <si>
    <t>DCPP Extended Operations 2025 Forecast</t>
  </si>
  <si>
    <t>July 1, 2024</t>
  </si>
  <si>
    <t>Vegetation Management Securitization</t>
  </si>
  <si>
    <t>D.24-07-008</t>
  </si>
  <si>
    <t>D.24-08-009</t>
  </si>
  <si>
    <t>7307-E</t>
  </si>
  <si>
    <t>Include CA Climate Credit in Rates</t>
  </si>
  <si>
    <t>Typical residential average usage kWh/month</t>
  </si>
  <si>
    <t>Res GHG</t>
  </si>
  <si>
    <t>Res GHG System</t>
  </si>
  <si>
    <t>NAICS  722</t>
  </si>
  <si>
    <t>September 1, 2024</t>
  </si>
  <si>
    <r>
      <t>7366-E</t>
    </r>
    <r>
      <rPr>
        <sz val="12"/>
        <color rgb="FF000000"/>
        <rFont val="Arial"/>
        <family val="2"/>
      </rPr>
      <t> </t>
    </r>
  </si>
  <si>
    <t>2. The forecast assumes perfect ratemaking, and does not include balancing account balances beyond the current year.</t>
  </si>
  <si>
    <t>B-1 GHG</t>
  </si>
  <si>
    <t>B-1 GHG System</t>
  </si>
  <si>
    <t>OGO PFM</t>
  </si>
  <si>
    <t>3. Different rate components use simplified allocations that may not reflect actual revenue allocation and rate design.</t>
  </si>
  <si>
    <t>1. The Quarterly Tracker performs high-level rate and bill calculation estimates, which will not produce rate or bill impacts that match PG&amp;E’s filing-quality models.</t>
  </si>
  <si>
    <t>F</t>
  </si>
  <si>
    <t>TRRRMA</t>
  </si>
  <si>
    <t>A.24-09-015</t>
  </si>
  <si>
    <t>October 1, 2024</t>
  </si>
  <si>
    <t>7382-E</t>
  </si>
  <si>
    <t>2023 WMCE IRR</t>
  </si>
  <si>
    <t>D.24-09-003</t>
  </si>
  <si>
    <t xml:space="preserve">  </t>
  </si>
  <si>
    <t>A.24-10-014</t>
  </si>
  <si>
    <t>Application, Table 2</t>
  </si>
  <si>
    <t>2025 RF&amp;U</t>
  </si>
  <si>
    <t>Billing Modernization</t>
  </si>
  <si>
    <t>2024 WMCE</t>
  </si>
  <si>
    <t>A.24-11-009</t>
  </si>
  <si>
    <t>Application, Table 12-6</t>
  </si>
  <si>
    <t>AL 4813-G/7046-E, D.24-10-008</t>
  </si>
  <si>
    <t>2023 WMCE</t>
  </si>
  <si>
    <t>A.23-12-001</t>
  </si>
  <si>
    <t>G</t>
  </si>
  <si>
    <t>H</t>
  </si>
  <si>
    <t>I</t>
  </si>
  <si>
    <t xml:space="preserve">Application, WP 7-1 </t>
  </si>
  <si>
    <t>Application, WP 7-1</t>
  </si>
  <si>
    <t>PG&amp;E Prepared Testimony, Table 14-3</t>
  </si>
  <si>
    <t>PG&amp;E Prepared Testimony, Table 14-3 less IRR</t>
  </si>
  <si>
    <t>2026-2027</t>
  </si>
  <si>
    <t>2025 Authorized Revenue Requirement ($000)</t>
  </si>
  <si>
    <t>January 1, 2025</t>
  </si>
  <si>
    <t>D.24-12-033</t>
  </si>
  <si>
    <t>January 1, 2025 Rate Change(AL 7469-E) trued up the balancing accounts in the AET and implemented various authorized RRQs.</t>
  </si>
  <si>
    <t>7469-E</t>
  </si>
  <si>
    <t>2025 Proposed Revenue Requirement ($000)</t>
  </si>
  <si>
    <t>Annual Period 2025</t>
  </si>
  <si>
    <t>March 1, 2025</t>
  </si>
  <si>
    <t>D.24-10-008/ AL 7423-E</t>
  </si>
  <si>
    <t>Res. M-4874</t>
  </si>
  <si>
    <t>AL 7413-E</t>
  </si>
  <si>
    <t>D.21-11-028</t>
  </si>
  <si>
    <t>D.24-12-001</t>
  </si>
  <si>
    <t>Preliminary Statement FU</t>
  </si>
  <si>
    <t>1/1/25 Bundled
w/Credit</t>
  </si>
  <si>
    <t>1/1/25 Bundled
w/out Credit</t>
  </si>
  <si>
    <t>1/1/25 System
w/Credit</t>
  </si>
  <si>
    <t>1/1/25 System
w/out Credit</t>
  </si>
  <si>
    <t>2025 Forecast: Adopted in D.24-12-038</t>
  </si>
  <si>
    <t>Microgrids Memorandum Account - Microgrids Incentive Program</t>
  </si>
  <si>
    <t xml:space="preserve">Unspent funds and accrued interest for EPIC </t>
  </si>
  <si>
    <t>Unspent for EE</t>
  </si>
  <si>
    <t>Assembly Bill (AB) 1054 Financing Order (FO) #3 (2025)</t>
  </si>
  <si>
    <t xml:space="preserve">Oakland General Office (OGO) Purchase </t>
  </si>
  <si>
    <t>D.24-02-011</t>
  </si>
  <si>
    <t>D.24-02-011, AL 7336-E</t>
  </si>
  <si>
    <t>Electric Preliminary Statement Part JZ</t>
  </si>
  <si>
    <t>Electric Preliminary Statement Part KA</t>
  </si>
  <si>
    <t>Electric Preliminary Statement Part JD</t>
  </si>
  <si>
    <t xml:space="preserve">D.23-04-034/ AL 6962-E </t>
  </si>
  <si>
    <t>D.24-08-009/ AL 7371-E</t>
  </si>
  <si>
    <t>AL 7407-E</t>
  </si>
  <si>
    <t>D.18-01-008</t>
  </si>
  <si>
    <t>Electric Preliminary Statement Part JV</t>
  </si>
  <si>
    <t>AL 4880-G/7216-E</t>
  </si>
  <si>
    <t>Electric Preliminary Statement Part CQ</t>
  </si>
  <si>
    <t>Electric Preliminary Statement Part FS</t>
  </si>
  <si>
    <t>D.19-12-021 / Advice RI-CalMTA-3</t>
  </si>
  <si>
    <t>Electric Preliminary Statement Part EO</t>
  </si>
  <si>
    <t>D.24-12-075</t>
  </si>
  <si>
    <t>AL 4813-G/7046-E/ D.24-10-008/ AL 7423-E</t>
  </si>
  <si>
    <t>January 1, 2024 Rate Change (AL 7116-E) trued up the balancing accounts in the AET and implemented various authorized RRQs.</t>
  </si>
  <si>
    <t>March 1, 2024 Rate Change (AL 7191-E) implemented the TACBAA, Securitzation True-ups, TO21 correction Cost of Capital Adjustment Mechanism.</t>
  </si>
  <si>
    <t>April 1,2024 Rate Change (7227-E) EE True-up AL, Energy Efficient Market Transformation RRQ, Wildfire &amp; Gas Safety Costs</t>
  </si>
  <si>
    <t>July 1, 2024 Rate Change (7307-E) implemented the End 2022 WMCE IRR, End 2023 ERRA Trigger Adjustment, 2024 Pension Advice Letter, TO21 Refund through ECRBA</t>
  </si>
  <si>
    <t xml:space="preserve">September 1, 2024 Rate Change (7366-E) Implemented AB 1054 FO3, Adjusted Rate Neutral Recovery Bond Charge and Recovery Bond Credit, Correction to  AG-5B Generation Rates </t>
  </si>
  <si>
    <t>October 1, 2024 Rate Change (7382-E) Implemented 2023 WMCE IRR</t>
  </si>
  <si>
    <t>Assembly Bill (AB) 1054 Financing Order (FO) #3 2020 WMCE &amp; 2020 GRC Adjustment</t>
  </si>
  <si>
    <t>ER24-599-000 / ER23-2968-000, ER25-15-000/ AL 7426-E, AL 7151-E</t>
  </si>
  <si>
    <t>Assembly Bill (AB) 1054 Financing Order (FO) #3 Securitization*</t>
  </si>
  <si>
    <t>Overhead and Underground Maintenance Balancing Account*</t>
  </si>
  <si>
    <t>Critical Operating Equipment Cable Replacement BA*</t>
  </si>
  <si>
    <t>MSCSA*</t>
  </si>
  <si>
    <t>Concurrent Application System Balancing Account - PPCBA*</t>
  </si>
  <si>
    <t>Electric Preliminary HS</t>
  </si>
  <si>
    <t>D.24-12-038</t>
  </si>
  <si>
    <t>D.24-12- 033</t>
  </si>
  <si>
    <t>Assembly Bill (AB) 1054 Financing Order (FO) #3 Emergency Reliability OIR</t>
  </si>
  <si>
    <t>YE 2028</t>
  </si>
  <si>
    <t>2024 Recorded Data</t>
  </si>
  <si>
    <t>2024 Recorded Average Monthly Usage (kWh) - Bundled/All Electric/non-medical/non-FERA</t>
  </si>
  <si>
    <t>2024 Recorded Average Monthly Usage (kWh) - Bundled/Basic/non-medical/non-FERA</t>
  </si>
  <si>
    <t>7516-E</t>
  </si>
  <si>
    <t>March 1, 2025 Rate Change AL(7516-E) Implemented 2021 WMCE VMBA, Adjusted TACBAA , and Minimum Bill</t>
  </si>
  <si>
    <t>2026 Cost of Capital</t>
  </si>
  <si>
    <t>D.24-07-008/ AL 7482-E</t>
  </si>
  <si>
    <t>A.25-03-015</t>
  </si>
  <si>
    <t>A.25-03-010</t>
  </si>
  <si>
    <t>Non-Wildfire Liability Insurance</t>
  </si>
  <si>
    <t>AL 7535-E, D.23-11-069</t>
  </si>
  <si>
    <t>Application, Page 16</t>
  </si>
  <si>
    <t xml:space="preserve">Application, Page 2 </t>
  </si>
  <si>
    <t>2026 ERRA Forecast</t>
  </si>
  <si>
    <t>2027 GRC Phase 1</t>
  </si>
  <si>
    <t>D.25-03-008 /AL 5057-G/7575-E</t>
  </si>
  <si>
    <t>DCPP Extended Operations 2026 Forecast</t>
  </si>
  <si>
    <t>GRC Capacity Phase (ECNBIMA)(SB410)</t>
  </si>
  <si>
    <t>2025-2027</t>
  </si>
  <si>
    <t>Decision, Page 3</t>
  </si>
  <si>
    <t>A.25-05-009</t>
  </si>
  <si>
    <t>Testimony, Table 13-1</t>
  </si>
  <si>
    <t>A.25-05-011</t>
  </si>
  <si>
    <t>2026 Forecast proposed in A.25-05-011</t>
  </si>
  <si>
    <t>2027 Forecast: Set equal to the 2026</t>
  </si>
  <si>
    <t>2028 Forecast: Set equal to the 2026</t>
  </si>
  <si>
    <t>J</t>
  </si>
  <si>
    <t>K</t>
  </si>
  <si>
    <t>E</t>
  </si>
  <si>
    <t>Current 2025</t>
  </si>
  <si>
    <t>Cost and Rate Tracking Tool Notes</t>
  </si>
  <si>
    <t>2026-2028</t>
  </si>
  <si>
    <t>A.25-06-024</t>
  </si>
  <si>
    <t>INSTRUCTIONS TO RUN "BASIC" MODEL</t>
  </si>
  <si>
    <t>The "non-hypothetical" portion of this model produces illustrative rates and illustrative residential bill calculations based on selected user inputs.</t>
  </si>
  <si>
    <t>PLEASE DO NOT INSERT ROWS OR COLUMNS INTO THE SUMMARY</t>
  </si>
  <si>
    <t>To run the "non-hypothetical" portion of the model:</t>
  </si>
  <si>
    <t>In cell D3 of the "Summary" tab, from the dropdown choices, select the year for which illustrative rate impacts are desired (ILLUSTRATION 1).</t>
  </si>
  <si>
    <t>1.</t>
  </si>
  <si>
    <t>2.</t>
  </si>
  <si>
    <t>3.</t>
  </si>
  <si>
    <t>4.</t>
  </si>
  <si>
    <t>5.</t>
  </si>
  <si>
    <t>6.</t>
  </si>
  <si>
    <t>User drop down selections are highlighted in yellow.</t>
  </si>
  <si>
    <t>Hypothetical  RRQ Modeling</t>
  </si>
  <si>
    <t>The updated Revenue Requirements will populate all of the "Hypothetical" tabs with new proposed rate and billing information.</t>
  </si>
  <si>
    <t>If your excel is not set for automatic calculations, make sure to hit F9 to refresh caluclations. This will give the updated outputs to the basic model using the assumptions selected in yellow on the "Summary" tab.</t>
  </si>
  <si>
    <t>The results of the RRQ impacts are summarized on the "Hypothetical Summary" tab and more detailed calculations can be found in the other hypothetical tabs.</t>
  </si>
  <si>
    <t>*Input revenue ammounts in the thousands</t>
  </si>
  <si>
    <t>VALIDATING THE RESULTS OF THE ILLUSTRATIVE "TYPICAL CUSTOMER" BILL AGAINST A BILL INSERT</t>
  </si>
  <si>
    <t xml:space="preserve">This hypothetical tab uses currently adopted sales forecasts. It does not forecast for other years. </t>
  </si>
  <si>
    <t>Hypothetical Summary</t>
  </si>
  <si>
    <t>SAR and RAR</t>
  </si>
  <si>
    <t>Authorized Rev Req</t>
  </si>
  <si>
    <t>Incremental Rev Req</t>
  </si>
  <si>
    <t>Res Bill Impact</t>
  </si>
  <si>
    <t>Summary</t>
  </si>
  <si>
    <t>- Provides user instructions for running the "basic" portion (i.e. not the hypothetical or rate trajectory portions) of the model.</t>
  </si>
  <si>
    <t>Instructions</t>
  </si>
  <si>
    <t>N/A</t>
  </si>
  <si>
    <t>- Identifies where the model differs from PG&amp;E's filing quality rate models used for rate setting.</t>
  </si>
  <si>
    <t>- Provides a snapshot of certain information (proceedings, RRQs, rates and residential bills) developed or provided in the model.</t>
  </si>
  <si>
    <t>Selected Data</t>
  </si>
  <si>
    <t>Where Used in Model</t>
  </si>
  <si>
    <t>Description/Purpose</t>
  </si>
  <si>
    <t>Tab Name</t>
  </si>
  <si>
    <t>September 1, 2025</t>
  </si>
  <si>
    <t>This tool is available for users to run high level illustritive rate and bill impacts. The user input sections are highlighted yellow.</t>
  </si>
  <si>
    <t xml:space="preserve">Ensure that only the revenue requirement being evaluated is included in the impact. </t>
  </si>
  <si>
    <t>Lists all approved proceedings with their associated yearly RRQ as well as pending proceedings with their anticipated yearly RRQs. Existing proceedings that have pending RRQs will list the incremental change in columns G-J.</t>
  </si>
  <si>
    <t xml:space="preserve">Lists all approved proceedings currently in rates broken out by rate change. </t>
  </si>
  <si>
    <t xml:space="preserve"> </t>
  </si>
  <si>
    <t>- Lists the various allocation methodologies 
- Identifies the revenue requirement (RRQ) type (i.e. transportation, procurement or public purpose program). 
- Identifies the percentage of the total allocated RRQ that is allocated to the residential customer class.
- Identifies the percentage of the RRQ allocated to the residential customer class that is bundled. 
- Identifies the percentage of the total allocated RRQ that is bundled. 
- Provides forecasted yearly revenue for both residential and total system sales</t>
  </si>
  <si>
    <t>SAR and RAR B-1</t>
  </si>
  <si>
    <t>Bill Impact B-1</t>
  </si>
  <si>
    <t>- Lists the various allocation methodologies 
- Identifies the revenue requirement (RRQ) type (i.e. transportation, procurement or public purpose program). 
- Identifies the percentage of the total allocated RRQ that is allocated to the B-1 customer class.
- Identifies the percentage of the RRQ allocated to the B-1 customer class that is bundled. 
- Identifies the percentage of the total allocated RRQ that is bundled. 
- Provides forecasted yearly revenue for both B-1 and total system sales</t>
  </si>
  <si>
    <t>- Calculates the rates and bills shown in the Summary tab using the following information found on this tab:
     ~ present, illustrative proposed authorized and illustrative proposed with pending proceedings rates for non-CARE and CARE customers. 
     ~ current baseline quantities.
     ~ recorded average monthly usage by climate zone and season.
     ~ percent of non-CARE usage in each climate zone and percent of CARE usage in each climate zone (used to calculate "all climate zone" bills)
- Calculates an average bundled residential non-CAREand CARE present, illustrative proposed authorized and illustrative proposed with pending proceedings rate based on the current authorized throughput forecast (by season and tier).</t>
  </si>
  <si>
    <r>
      <t xml:space="preserve">- Provides illustrative bundled residential, small commercial, and system average rates, total illustrative system average rates, and illustrative bundled </t>
    </r>
    <r>
      <rPr>
        <vertAlign val="superscript"/>
        <sz val="11"/>
        <color theme="1"/>
        <rFont val="Aptos Narrow"/>
        <family val="2"/>
      </rPr>
      <t>(1)</t>
    </r>
    <r>
      <rPr>
        <sz val="11"/>
        <color theme="1"/>
        <rFont val="Calibri"/>
        <family val="2"/>
        <scheme val="minor"/>
      </rPr>
      <t xml:space="preserve">, essential usage </t>
    </r>
    <r>
      <rPr>
        <vertAlign val="superscript"/>
        <sz val="11"/>
        <color theme="1"/>
        <rFont val="Calibri"/>
        <family val="2"/>
        <scheme val="minor"/>
      </rPr>
      <t>(2)</t>
    </r>
    <r>
      <rPr>
        <sz val="11"/>
        <color theme="1"/>
        <rFont val="Calibri"/>
        <family val="2"/>
        <scheme val="minor"/>
      </rPr>
      <t xml:space="preserve"> and typical </t>
    </r>
    <r>
      <rPr>
        <vertAlign val="superscript"/>
        <sz val="11"/>
        <color theme="1"/>
        <rFont val="Calibri"/>
        <family val="2"/>
        <scheme val="minor"/>
      </rPr>
      <t>(3)</t>
    </r>
    <r>
      <rPr>
        <sz val="11"/>
        <color theme="1"/>
        <rFont val="Calibri"/>
        <family val="2"/>
        <scheme val="minor"/>
      </rPr>
      <t xml:space="preserve"> bundled residential/ small commercial customer average bills based on user input fields selected on this tab.
- User input fields allow users to select the year, baseline region and the pending proceedings to be included in the rates and bill calculations shown on this tab.
- Provides various assumptions utilized in the calculation of rates and bills on this tab.
</t>
    </r>
    <r>
      <rPr>
        <vertAlign val="superscript"/>
        <sz val="11"/>
        <color theme="1"/>
        <rFont val="Calibri"/>
        <family val="2"/>
        <scheme val="minor"/>
      </rPr>
      <t>(1)</t>
    </r>
    <r>
      <rPr>
        <sz val="11"/>
        <color theme="1"/>
        <rFont val="Calibri"/>
        <family val="2"/>
        <scheme val="minor"/>
      </rPr>
      <t xml:space="preserve"> Illustrative bills are based on the recorded average monthly usage for calendar year 2024.
</t>
    </r>
    <r>
      <rPr>
        <vertAlign val="superscript"/>
        <sz val="11"/>
        <color theme="1"/>
        <rFont val="Calibri"/>
        <family val="2"/>
        <scheme val="minor"/>
      </rPr>
      <t>(2)</t>
    </r>
    <r>
      <rPr>
        <sz val="11"/>
        <color theme="1"/>
        <rFont val="Calibri"/>
        <family val="2"/>
        <scheme val="minor"/>
      </rPr>
      <t xml:space="preserve"> Essential usage is defined in D.20-07-032, as using the baseline or Tier 1 rate and the baseline quantity to calculate the essential usage bill.
</t>
    </r>
    <r>
      <rPr>
        <vertAlign val="superscript"/>
        <sz val="11"/>
        <color theme="1"/>
        <rFont val="Calibri"/>
        <family val="2"/>
        <scheme val="minor"/>
      </rPr>
      <t>(3)</t>
    </r>
    <r>
      <rPr>
        <sz val="11"/>
        <color theme="1"/>
        <rFont val="Calibri"/>
        <family val="2"/>
        <scheme val="minor"/>
      </rPr>
      <t xml:space="preserve"> Typical usage is as used by PG&amp;E in its various applications considered to be 500 kWh. It can be changed by the user by entering different value into I4.</t>
    </r>
  </si>
  <si>
    <t>- Provides hypothetical illustrative bundled residential, small commercial, and system average rates, total illustrative system average rates, and illustrative bundled (1), essential usage (2) and typical (3) bundled residential/ small commercial customer average bills based on user input fields selected on this tab.
- User input fields allow users to select the baseline region, average usage, climate credit inclusion and any hypothetical revenue requirements to be included in the rates and bill calculations shown on this tab.- Provides various assumptions utilized in the calculation of rates and bills on this tab.
(1) Illustrative bills are based on the recorded average monthly usage for calendar year 2024.
(2) Essential usage is defined in D.20-07-032, as using the baseline or Tier 1 rate and the baseline quantity to calculate the essential usage bill.
(3) Typical usage is as used by PG&amp;E in its various applications considered to be 500 kWh. It can be changed by the user by entering different values into D3.</t>
  </si>
  <si>
    <t>Reporting Date: September 1, 2025</t>
  </si>
  <si>
    <t>9/1/25 Bundled
w/Credit</t>
  </si>
  <si>
    <t>9/1/25 Bundled
w/out Credit</t>
  </si>
  <si>
    <t>9/1/25 System
w/Credit</t>
  </si>
  <si>
    <t>9/1/25 System
w/out Credit</t>
  </si>
  <si>
    <t>Notes</t>
  </si>
  <si>
    <t>Selected Data, Summary, Incremental Rev Req, SAR and RAR, SAR and RAR (B-1)</t>
  </si>
  <si>
    <t xml:space="preserve">Selected Data, Res Bill Impact, Incremental Rev Req, SAR and RAR, SAR and RAR B-1, Bill Impact B-1, Hypothetical Summary
</t>
  </si>
  <si>
    <t>Incremental Rev Req, SAR and RAR, SAR and RAR B-1</t>
  </si>
  <si>
    <t>Summary, Res Bill Impact, SAR RAR B-1, Bill Impact B-1</t>
  </si>
  <si>
    <t xml:space="preserve"> Summary, Hypothetical Summary</t>
  </si>
  <si>
    <t xml:space="preserve">Summary, Hypothetical Summary
</t>
  </si>
  <si>
    <t>Application, Table 14, Table 18, and Table 21</t>
  </si>
  <si>
    <t>ILLUSTRATION 3</t>
  </si>
  <si>
    <t>In cell D3 of the "Hypothetical Summary" tab, type in the "Typical" residential average usage kWh/month (Illustration 3).</t>
  </si>
  <si>
    <t>In cell D4 of the "Hypothetical Summary" tab, select, from the dropdown choices, the baseline territory for which illustrative bill impacts are desired (Illustration 3).</t>
  </si>
  <si>
    <t>In cell D5 of the "Hypothetical Summary" tab, select Y to include the California Climate Credit or N to exclude it (Illustration 3).</t>
  </si>
  <si>
    <t>In the "Hypothetical Summary" tab there are spaces in column D7:D19 for the user to enther their own RRQs into the desired recovery mechanism  (Illustration 3).</t>
  </si>
  <si>
    <t>The model is set up to accept separate "typical" residential kWh for Non-CARE and CARE customers. (Illustration 2)</t>
  </si>
  <si>
    <t>Illustration 2</t>
  </si>
  <si>
    <t>Income Qualified Program Bridge Funding</t>
  </si>
  <si>
    <t>7684-E</t>
  </si>
  <si>
    <t>September 1, 2025 Rate Change AL(7684-E) Implemented the Pension contribution and the WHC True-up, and the end of WGSC IRR and 2021 WMCE non-IRR recovery</t>
  </si>
  <si>
    <t>4. For future years, the revenue requirements and rate impacts represent what would be in effect at the end of the year (e.g. December).</t>
  </si>
  <si>
    <t>7.</t>
  </si>
  <si>
    <t>8.</t>
  </si>
  <si>
    <t>In cell D4, select, from the dropdown choices, the baseline territory for which illustrative bill impacts are desired.</t>
  </si>
  <si>
    <t>In the "Pending Proceedings" section beginning on line 7, indicate whether the RRQ associated with the proceeding should be included in the illustrative bill impact analysis</t>
  </si>
  <si>
    <t>In cell I3, select Y to include the California Climate Credit in Rates or N to exclude it.</t>
  </si>
  <si>
    <t>In cell I4  type in the Typical residential average usage kWh/month</t>
  </si>
  <si>
    <t>The outputs will be in rows 30-116. Residential outputs are in rows 30-98 and Small Commercial outputs are in rows 102-116.</t>
  </si>
  <si>
    <t>9.</t>
  </si>
  <si>
    <t>ILLUSTRATION 1A:</t>
  </si>
  <si>
    <t>by selecting from the dropdown choices in column D, a "Y" or "N" where "Y" means to include the RRQ in the analysis and "N" means to not include the RRQ in the analysis (ILLUSTRATION 1A).</t>
  </si>
  <si>
    <t>Illustration 1B:</t>
  </si>
  <si>
    <t>An example of the outputs for Residential Average Bundled Rates and the Typical Customer Basic Bundled Residential Monthly Average Bills can be seen in ILLUSTRATION 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</si>
</sst>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dd/yy;@"/>
    <numFmt numFmtId="165" formatCode="0.0%"/>
    <numFmt numFmtId="166" formatCode="0.00000"/>
    <numFmt numFmtId="167" formatCode="#.00"/>
    <numFmt numFmtId="168" formatCode="#,##0."/>
    <numFmt numFmtId="169" formatCode="&quot;$&quot;#."/>
    <numFmt numFmtId="170" formatCode="0.00_)"/>
    <numFmt numFmtId="171" formatCode="#,##0.00&quot; $&quot;;\-#,##0.00&quot; $&quot;"/>
    <numFmt numFmtId="172" formatCode="m\-d\-yy"/>
    <numFmt numFmtId="173" formatCode="_(* #,##0_);_(* \(#,##0\);_(* &quot;-&quot;??_);_(@_)"/>
    <numFmt numFmtId="174" formatCode="#,##0.0"/>
    <numFmt numFmtId="175" formatCode="_(&quot;$&quot;* #,##0_);_(&quot;$&quot;* \(#,##0\);_(&quot;$&quot;* &quot;-&quot;??_);_(@_)"/>
    <numFmt numFmtId="176" formatCode="#,##0.00000_);[Red]\(#,##0.00000\)"/>
    <numFmt numFmtId="177" formatCode="0.0"/>
    <numFmt numFmtId="178" formatCode="_(* #,##0.000000_);_(* \(#,##0.000000\);_(* &quot;-&quot;??_);_(@_)"/>
    <numFmt numFmtId="179" formatCode="0.0000000000"/>
    <numFmt numFmtId="180" formatCode="_-* #,##0.0_-;\-* #,##0.0_-;_-* &quot;-&quot;??_-;_-@_-"/>
    <numFmt numFmtId="181" formatCode="0.0000"/>
    <numFmt numFmtId="182" formatCode="0.000000"/>
    <numFmt numFmtId="183" formatCode="&quot;$&quot;#,##0.00"/>
    <numFmt numFmtId="184" formatCode="0.000%"/>
    <numFmt numFmtId="185" formatCode="0.000"/>
  </numFmts>
  <fonts count="65">
    <font>
      <sz val="11"/>
      <color theme="1"/>
      <name val="Calibri"/>
      <family val="2"/>
      <scheme val="minor"/>
    </font>
    <font>
      <b/>
      <sz val="11"/>
      <color theme="1"/>
      <name val="Calibri"/>
      <family val="2"/>
      <scheme val="minor"/>
    </font>
    <font>
      <sz val="12"/>
      <color theme="1"/>
      <name val="Calibri"/>
      <family val="2"/>
      <scheme val="minor"/>
    </font>
    <font>
      <sz val="10"/>
      <name val="Arial"/>
      <family val="2"/>
    </font>
    <font>
      <b/>
      <sz val="10"/>
      <name val="Arial"/>
      <family val="2"/>
    </font>
    <font>
      <sz val="10"/>
      <name val="MS Sans Serif"/>
      <family val="2"/>
    </font>
    <font>
      <sz val="1"/>
      <color indexed="8"/>
      <name val="Courier"/>
      <family val="3"/>
    </font>
    <font>
      <sz val="8"/>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2"/>
      <name val="Garamond"/>
      <family val="1"/>
    </font>
    <font>
      <b/>
      <sz val="11"/>
      <name val="Garamond"/>
      <family val="1"/>
    </font>
    <font>
      <sz val="11"/>
      <name val="Garamond"/>
      <family val="1"/>
    </font>
    <font>
      <b/>
      <sz val="12"/>
      <name val="Garamond"/>
      <family val="1"/>
    </font>
    <font>
      <sz val="10"/>
      <name val="Garamond"/>
      <family val="1"/>
    </font>
    <font>
      <sz val="11"/>
      <color theme="1"/>
      <name val="Garamond"/>
      <family val="1"/>
    </font>
    <font>
      <b/>
      <sz val="11"/>
      <color theme="1"/>
      <name val="Garamond"/>
      <family val="1"/>
    </font>
    <font>
      <u/>
      <sz val="10"/>
      <name val="Garamond"/>
      <family val="1"/>
    </font>
    <font>
      <b/>
      <sz val="10"/>
      <name val="Garamond"/>
      <family val="1"/>
    </font>
    <font>
      <sz val="10"/>
      <color indexed="10"/>
      <name val="Garamond"/>
      <family val="1"/>
    </font>
    <font>
      <b/>
      <sz val="11"/>
      <color rgb="FFFF0000"/>
      <name val="Garamond"/>
      <family val="1"/>
    </font>
    <font>
      <sz val="11"/>
      <color theme="1"/>
      <name val="Calibri"/>
      <family val="2"/>
      <scheme val="minor"/>
    </font>
    <font>
      <sz val="11"/>
      <name val="Calibri"/>
      <family val="2"/>
      <scheme val="minor"/>
    </font>
    <font>
      <b/>
      <sz val="11"/>
      <name val="Calibri"/>
      <family val="2"/>
      <scheme val="minor"/>
    </font>
    <font>
      <b/>
      <sz val="11"/>
      <color rgb="FF3333FF"/>
      <name val="Calibri"/>
      <family val="2"/>
      <scheme val="minor"/>
    </font>
    <font>
      <sz val="11"/>
      <color rgb="FF3333FF"/>
      <name val="Garamond"/>
      <family val="1"/>
    </font>
    <font>
      <b/>
      <sz val="11"/>
      <color rgb="FF3333FF"/>
      <name val="Garamond"/>
      <family val="1"/>
    </font>
    <font>
      <sz val="12"/>
      <color rgb="FFFF0000"/>
      <name val="Garamond"/>
      <family val="1"/>
    </font>
    <font>
      <b/>
      <sz val="12"/>
      <color rgb="FFFF0000"/>
      <name val="Garamond"/>
      <family val="1"/>
    </font>
    <font>
      <b/>
      <sz val="12"/>
      <color rgb="FF3333FF"/>
      <name val="Garamond"/>
      <family val="1"/>
    </font>
    <font>
      <sz val="12"/>
      <color theme="1"/>
      <name val="Garamond"/>
      <family val="1"/>
    </font>
    <font>
      <sz val="8"/>
      <name val="Calibri"/>
      <family val="2"/>
      <scheme val="minor"/>
    </font>
    <font>
      <b/>
      <u/>
      <sz val="12"/>
      <name val="Garamond"/>
      <family val="1"/>
    </font>
    <font>
      <sz val="10"/>
      <name val="Arial"/>
      <family val="2"/>
    </font>
    <font>
      <sz val="10"/>
      <name val="Geneva"/>
    </font>
    <font>
      <sz val="11"/>
      <name val="??"/>
      <family val="3"/>
      <charset val="129"/>
    </font>
    <font>
      <sz val="10"/>
      <color rgb="FFFF0000"/>
      <name val="Garamond"/>
      <family val="1"/>
    </font>
    <font>
      <sz val="11"/>
      <color rgb="FF0070C0"/>
      <name val="Calibri"/>
      <family val="2"/>
    </font>
    <font>
      <sz val="11"/>
      <color rgb="FFFF0000"/>
      <name val="Calibri"/>
      <family val="2"/>
      <scheme val="minor"/>
    </font>
    <font>
      <sz val="10"/>
      <color theme="1"/>
      <name val="Arial"/>
      <family val="2"/>
    </font>
    <font>
      <b/>
      <i/>
      <sz val="16"/>
      <name val="Helv"/>
      <family val="2"/>
    </font>
    <font>
      <sz val="10"/>
      <name val="Geneva"/>
      <family val="2"/>
    </font>
    <font>
      <u/>
      <sz val="8"/>
      <name val="Calibri"/>
      <family val="2"/>
      <scheme val="minor"/>
    </font>
    <font>
      <sz val="11"/>
      <color rgb="FF000000"/>
      <name val="Calibri"/>
      <family val="2"/>
    </font>
    <font>
      <sz val="9"/>
      <name val="Arial"/>
      <family val="2"/>
    </font>
    <font>
      <sz val="12"/>
      <color theme="1"/>
      <name val="Century Schoolbook"/>
      <family val="1"/>
    </font>
    <font>
      <sz val="11"/>
      <color rgb="FF000000"/>
      <name val="Calibri"/>
      <family val="2"/>
      <scheme val="minor"/>
    </font>
    <font>
      <sz val="11"/>
      <color theme="1"/>
      <name val="Calibri"/>
      <family val="2"/>
    </font>
    <font>
      <u/>
      <sz val="11"/>
      <color theme="10"/>
      <name val="Calibri"/>
      <family val="2"/>
      <scheme val="minor"/>
    </font>
    <font>
      <sz val="12"/>
      <color rgb="FF000000"/>
      <name val="Arial"/>
      <family val="2"/>
    </font>
    <font>
      <sz val="11"/>
      <color rgb="FF242424"/>
      <name val="Calibri"/>
      <family val="2"/>
    </font>
    <font>
      <sz val="14"/>
      <color theme="1"/>
      <name val="Calibri"/>
      <family val="2"/>
      <scheme val="minor"/>
    </font>
    <font>
      <sz val="10"/>
      <color rgb="FF000000"/>
      <name val="Arial"/>
      <family val="2"/>
    </font>
    <font>
      <sz val="11"/>
      <color rgb="FF000000"/>
      <name val="Aptos"/>
      <family val="2"/>
    </font>
    <font>
      <b/>
      <sz val="16"/>
      <color rgb="FF000000"/>
      <name val="Calibri"/>
      <family val="2"/>
      <scheme val="minor"/>
    </font>
    <font>
      <b/>
      <i/>
      <sz val="11"/>
      <color rgb="FFFF0000"/>
      <name val="Calibri"/>
      <family val="2"/>
      <scheme val="minor"/>
    </font>
    <font>
      <b/>
      <sz val="11"/>
      <color rgb="FF000000"/>
      <name val="Calibri"/>
      <family val="2"/>
      <scheme val="minor"/>
    </font>
    <font>
      <b/>
      <sz val="10"/>
      <color rgb="FFFF0000"/>
      <name val="Calibri"/>
      <family val="2"/>
      <scheme val="minor"/>
    </font>
    <font>
      <u/>
      <sz val="11"/>
      <color rgb="FF000000"/>
      <name val="Calibri"/>
      <family val="2"/>
      <scheme val="minor"/>
    </font>
    <font>
      <vertAlign val="superscript"/>
      <sz val="11"/>
      <color theme="1"/>
      <name val="Aptos Narrow"/>
      <family val="2"/>
    </font>
    <font>
      <vertAlign val="superscript"/>
      <sz val="11"/>
      <color theme="1"/>
      <name val="Calibri"/>
      <family val="2"/>
      <scheme val="minor"/>
    </font>
    <font>
      <vertAlign val="superscript"/>
      <sz val="11"/>
      <color rgb="FF000000"/>
      <name val="Calibri"/>
      <family val="2"/>
    </font>
  </fonts>
  <fills count="1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rgb="FFFFFF0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tint="-0.499984740745262"/>
        <bgColor indexed="64"/>
      </patternFill>
    </fill>
  </fills>
  <borders count="47">
    <border>
      <left/>
      <right/>
      <top/>
      <bottom/>
      <diagonal/>
    </border>
    <border>
      <left/>
      <right/>
      <top style="thin">
        <color auto="1"/>
      </top>
      <bottom style="thin">
        <color auto="1"/>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style="double">
        <color auto="1"/>
      </bottom>
      <diagonal/>
    </border>
    <border>
      <left/>
      <right style="thin">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72">
    <xf numFmtId="0" fontId="0" fillId="0" borderId="0"/>
    <xf numFmtId="0" fontId="3" fillId="0" borderId="0"/>
    <xf numFmtId="172" fontId="4" fillId="2" borderId="2">
      <alignment horizontal="center" vertical="center"/>
    </xf>
    <xf numFmtId="43" fontId="3" fillId="0" borderId="0" applyFont="0" applyFill="0" applyBorder="0" applyAlignment="0" applyProtection="0"/>
    <xf numFmtId="168" fontId="6" fillId="0" borderId="0">
      <protection locked="0"/>
    </xf>
    <xf numFmtId="44" fontId="3" fillId="0" borderId="0" applyFont="0" applyFill="0" applyBorder="0" applyAlignment="0" applyProtection="0"/>
    <xf numFmtId="44" fontId="3" fillId="0" borderId="0" applyFont="0" applyFill="0" applyBorder="0" applyAlignment="0" applyProtection="0"/>
    <xf numFmtId="169" fontId="6" fillId="0" borderId="0">
      <protection locked="0"/>
    </xf>
    <xf numFmtId="0" fontId="6" fillId="0" borderId="0">
      <protection locked="0"/>
    </xf>
    <xf numFmtId="167" fontId="6" fillId="0" borderId="0">
      <protection locked="0"/>
    </xf>
    <xf numFmtId="38" fontId="7" fillId="3" borderId="0" applyNumberFormat="0" applyBorder="0" applyAlignment="0" applyProtection="0"/>
    <xf numFmtId="0" fontId="8" fillId="0" borderId="0" applyNumberFormat="0" applyFill="0" applyBorder="0" applyAlignment="0" applyProtection="0"/>
    <xf numFmtId="0" fontId="6" fillId="0" borderId="0">
      <protection locked="0"/>
    </xf>
    <xf numFmtId="0" fontId="6" fillId="0" borderId="0">
      <protection locked="0"/>
    </xf>
    <xf numFmtId="171" fontId="3" fillId="0" borderId="0">
      <protection locked="0"/>
    </xf>
    <xf numFmtId="171" fontId="3" fillId="0" borderId="0">
      <protection locked="0"/>
    </xf>
    <xf numFmtId="0" fontId="9" fillId="0" borderId="3" applyNumberFormat="0" applyFill="0" applyAlignment="0" applyProtection="0"/>
    <xf numFmtId="10" fontId="7" fillId="4" borderId="4" applyNumberFormat="0" applyBorder="0" applyAlignment="0" applyProtection="0"/>
    <xf numFmtId="37" fontId="10" fillId="0" borderId="0"/>
    <xf numFmtId="170" fontId="11" fillId="0" borderId="0"/>
    <xf numFmtId="0" fontId="3" fillId="0" borderId="0"/>
    <xf numFmtId="0" fontId="3" fillId="0" borderId="0"/>
    <xf numFmtId="9"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6" fillId="0" borderId="5">
      <protection locked="0"/>
    </xf>
    <xf numFmtId="37" fontId="7" fillId="5" borderId="0" applyNumberFormat="0" applyBorder="0" applyAlignment="0" applyProtection="0"/>
    <xf numFmtId="37" fontId="7" fillId="0" borderId="0"/>
    <xf numFmtId="37" fontId="7" fillId="5" borderId="0" applyNumberFormat="0" applyBorder="0" applyAlignment="0" applyProtection="0"/>
    <xf numFmtId="3" fontId="12" fillId="0" borderId="3" applyProtection="0"/>
    <xf numFmtId="0" fontId="3" fillId="0" borderId="0"/>
    <xf numFmtId="0" fontId="5" fillId="0" borderId="0"/>
    <xf numFmtId="9" fontId="5" fillId="0" borderId="0" applyFont="0" applyFill="0" applyBorder="0" applyAlignment="0" applyProtection="0"/>
    <xf numFmtId="0" fontId="5" fillId="0" borderId="0"/>
    <xf numFmtId="0" fontId="3" fillId="0" borderId="0"/>
    <xf numFmtId="0" fontId="3" fillId="0" borderId="0"/>
    <xf numFmtId="43" fontId="24" fillId="0" borderId="0" applyFont="0" applyFill="0" applyBorder="0" applyAlignment="0" applyProtection="0"/>
    <xf numFmtId="44" fontId="24" fillId="0" borderId="0" applyFont="0" applyFill="0" applyBorder="0" applyAlignment="0" applyProtection="0"/>
    <xf numFmtId="43" fontId="3" fillId="0" borderId="0" applyFont="0" applyFill="0" applyBorder="0" applyAlignment="0" applyProtection="0"/>
    <xf numFmtId="0" fontId="3" fillId="0" borderId="0"/>
    <xf numFmtId="0" fontId="24" fillId="0" borderId="0"/>
    <xf numFmtId="9" fontId="24" fillId="0" borderId="0" applyFont="0" applyFill="0" applyBorder="0" applyAlignment="0" applyProtection="0"/>
    <xf numFmtId="0" fontId="3" fillId="0" borderId="0"/>
    <xf numFmtId="0" fontId="36" fillId="0" borderId="0"/>
    <xf numFmtId="0" fontId="3" fillId="0" borderId="0" applyNumberFormat="0" applyFill="0" applyBorder="0" applyAlignment="0" applyProtection="0"/>
    <xf numFmtId="179" fontId="37" fillId="2" borderId="2">
      <alignment horizontal="center" vertical="center"/>
    </xf>
    <xf numFmtId="6" fontId="38" fillId="0" borderId="0">
      <protection locked="0"/>
    </xf>
    <xf numFmtId="180" fontId="3" fillId="0" borderId="0">
      <protection locked="0"/>
    </xf>
    <xf numFmtId="0" fontId="36" fillId="0" borderId="0"/>
    <xf numFmtId="0" fontId="3" fillId="0" borderId="0"/>
    <xf numFmtId="9" fontId="42" fillId="0" borderId="0" applyFont="0" applyFill="0" applyBorder="0" applyAlignment="0" applyProtection="0"/>
    <xf numFmtId="44" fontId="24" fillId="0" borderId="0" applyFont="0" applyFill="0" applyBorder="0" applyAlignment="0" applyProtection="0"/>
    <xf numFmtId="42" fontId="42" fillId="0" borderId="0" applyFont="0" applyFill="0" applyBorder="0" applyAlignment="0" applyProtection="0"/>
    <xf numFmtId="43" fontId="24" fillId="0" borderId="0" applyFont="0" applyFill="0" applyBorder="0" applyAlignment="0" applyProtection="0"/>
    <xf numFmtId="41" fontId="42" fillId="0" borderId="0" applyFont="0" applyFill="0" applyBorder="0" applyAlignment="0" applyProtection="0"/>
    <xf numFmtId="0" fontId="7" fillId="3" borderId="0" applyNumberFormat="0" applyBorder="0" applyAlignment="0" applyProtection="0"/>
    <xf numFmtId="0" fontId="7" fillId="4" borderId="4" applyNumberFormat="0" applyBorder="0" applyAlignment="0" applyProtection="0"/>
    <xf numFmtId="170" fontId="43" fillId="0" borderId="0"/>
    <xf numFmtId="0" fontId="7" fillId="5" borderId="0" applyNumberFormat="0" applyBorder="0" applyAlignment="0" applyProtection="0"/>
    <xf numFmtId="0" fontId="3" fillId="0" borderId="0"/>
    <xf numFmtId="179" fontId="44" fillId="2" borderId="2">
      <alignment horizontal="center" vertical="center"/>
    </xf>
    <xf numFmtId="0" fontId="3" fillId="0" borderId="0"/>
    <xf numFmtId="0" fontId="47" fillId="0" borderId="0"/>
    <xf numFmtId="0" fontId="24" fillId="0" borderId="0"/>
    <xf numFmtId="0" fontId="51" fillId="0" borderId="0" applyNumberFormat="0" applyFill="0" applyBorder="0" applyAlignment="0" applyProtection="0"/>
    <xf numFmtId="0" fontId="24" fillId="0" borderId="0"/>
    <xf numFmtId="0" fontId="50" fillId="0" borderId="0"/>
    <xf numFmtId="43" fontId="3" fillId="0" borderId="0" applyFont="0" applyFill="0" applyBorder="0" applyAlignment="0" applyProtection="0"/>
    <xf numFmtId="0" fontId="51" fillId="0" borderId="0" applyNumberFormat="0" applyFill="0" applyBorder="0" applyAlignment="0" applyProtection="0"/>
    <xf numFmtId="0" fontId="24" fillId="0" borderId="0"/>
    <xf numFmtId="0" fontId="50" fillId="0" borderId="0"/>
  </cellStyleXfs>
  <cellXfs count="489">
    <xf numFmtId="0" fontId="0" fillId="0" borderId="0" xfId="0"/>
    <xf numFmtId="0" fontId="14" fillId="0" borderId="0" xfId="1" applyFont="1" applyAlignment="1">
      <alignment horizontal="right"/>
    </xf>
    <xf numFmtId="173" fontId="15" fillId="0" borderId="0" xfId="3" applyNumberFormat="1" applyFont="1" applyFill="1" applyBorder="1" applyAlignment="1">
      <alignment horizontal="center"/>
    </xf>
    <xf numFmtId="0" fontId="15" fillId="0" borderId="0" xfId="1" applyFont="1" applyAlignment="1">
      <alignment horizontal="center"/>
    </xf>
    <xf numFmtId="0" fontId="15" fillId="0" borderId="7" xfId="1" applyFont="1" applyBorder="1" applyAlignment="1">
      <alignment horizontal="center" wrapText="1"/>
    </xf>
    <xf numFmtId="0" fontId="13" fillId="0" borderId="0" xfId="0" applyFont="1"/>
    <xf numFmtId="0" fontId="13" fillId="0" borderId="0" xfId="0" applyFont="1" applyAlignment="1">
      <alignment horizontal="center" wrapText="1"/>
    </xf>
    <xf numFmtId="176" fontId="15" fillId="0" borderId="0" xfId="34" applyNumberFormat="1" applyFont="1" applyAlignment="1" applyProtection="1">
      <alignment horizontal="left"/>
      <protection locked="0"/>
    </xf>
    <xf numFmtId="176" fontId="14" fillId="0" borderId="0" xfId="35" applyNumberFormat="1" applyFont="1" applyAlignment="1">
      <alignment horizontal="right"/>
    </xf>
    <xf numFmtId="166" fontId="13" fillId="0" borderId="0" xfId="0" applyNumberFormat="1" applyFont="1"/>
    <xf numFmtId="177" fontId="13" fillId="0" borderId="0" xfId="0" applyNumberFormat="1" applyFont="1"/>
    <xf numFmtId="177" fontId="13" fillId="0" borderId="0" xfId="0" applyNumberFormat="1" applyFont="1" applyAlignment="1">
      <alignment horizontal="center"/>
    </xf>
    <xf numFmtId="176" fontId="15" fillId="0" borderId="0" xfId="35" quotePrefix="1" applyNumberFormat="1" applyFont="1" applyAlignment="1">
      <alignment horizontal="right"/>
    </xf>
    <xf numFmtId="166" fontId="13" fillId="0" borderId="0" xfId="0" applyNumberFormat="1" applyFont="1" applyAlignment="1">
      <alignment horizontal="center"/>
    </xf>
    <xf numFmtId="0" fontId="14" fillId="0" borderId="0" xfId="0" applyFont="1" applyAlignment="1">
      <alignment horizontal="center" wrapText="1"/>
    </xf>
    <xf numFmtId="166" fontId="13" fillId="0" borderId="0" xfId="0" applyNumberFormat="1" applyFont="1" applyAlignment="1">
      <alignment horizontal="right"/>
    </xf>
    <xf numFmtId="43" fontId="13" fillId="0" borderId="0" xfId="3" applyFont="1" applyFill="1"/>
    <xf numFmtId="0" fontId="17" fillId="0" borderId="0" xfId="1" applyFont="1"/>
    <xf numFmtId="177" fontId="18" fillId="0" borderId="0" xfId="0" applyNumberFormat="1" applyFont="1"/>
    <xf numFmtId="3" fontId="18" fillId="0" borderId="0" xfId="0" applyNumberFormat="1" applyFont="1"/>
    <xf numFmtId="0" fontId="17" fillId="0" borderId="0" xfId="20" applyFont="1"/>
    <xf numFmtId="0" fontId="20" fillId="0" borderId="0" xfId="20" applyFont="1"/>
    <xf numFmtId="17" fontId="21" fillId="0" borderId="0" xfId="20" applyNumberFormat="1" applyFont="1" applyAlignment="1">
      <alignment horizontal="center" wrapText="1"/>
    </xf>
    <xf numFmtId="0" fontId="17" fillId="0" borderId="6" xfId="20" applyFont="1" applyBorder="1" applyAlignment="1">
      <alignment horizontal="right"/>
    </xf>
    <xf numFmtId="0" fontId="18" fillId="0" borderId="6" xfId="0" applyFont="1" applyBorder="1"/>
    <xf numFmtId="0" fontId="17" fillId="0" borderId="0" xfId="20" applyFont="1" applyAlignment="1">
      <alignment horizontal="right"/>
    </xf>
    <xf numFmtId="44" fontId="18" fillId="0" borderId="0" xfId="6" applyFont="1" applyBorder="1"/>
    <xf numFmtId="165" fontId="18" fillId="0" borderId="0" xfId="24" applyNumberFormat="1" applyFont="1" applyBorder="1"/>
    <xf numFmtId="0" fontId="18" fillId="0" borderId="0" xfId="0" applyFont="1" applyAlignment="1">
      <alignment horizontal="left" vertical="top"/>
    </xf>
    <xf numFmtId="0" fontId="18" fillId="0" borderId="4" xfId="0" applyFont="1" applyBorder="1" applyAlignment="1">
      <alignment wrapText="1"/>
    </xf>
    <xf numFmtId="0" fontId="23" fillId="0" borderId="0" xfId="0" applyFont="1"/>
    <xf numFmtId="0" fontId="1" fillId="0" borderId="0" xfId="0" applyFont="1"/>
    <xf numFmtId="0" fontId="0" fillId="0" borderId="6" xfId="0" applyBorder="1"/>
    <xf numFmtId="14" fontId="15" fillId="0" borderId="4" xfId="1" quotePrefix="1" applyNumberFormat="1" applyFont="1" applyBorder="1" applyAlignment="1">
      <alignment horizontal="center" wrapText="1"/>
    </xf>
    <xf numFmtId="0" fontId="14" fillId="0" borderId="0" xfId="1" applyFont="1"/>
    <xf numFmtId="0" fontId="15" fillId="0" borderId="0" xfId="1" applyFont="1"/>
    <xf numFmtId="0" fontId="15" fillId="0" borderId="4" xfId="1" applyFont="1" applyBorder="1" applyAlignment="1">
      <alignment horizontal="center" wrapText="1"/>
    </xf>
    <xf numFmtId="15" fontId="15" fillId="0" borderId="0" xfId="1" applyNumberFormat="1" applyFont="1"/>
    <xf numFmtId="0" fontId="15" fillId="0" borderId="0" xfId="0" applyFont="1"/>
    <xf numFmtId="0" fontId="18" fillId="0" borderId="0" xfId="0" applyFont="1"/>
    <xf numFmtId="0" fontId="18" fillId="0" borderId="4" xfId="0" applyFont="1" applyBorder="1"/>
    <xf numFmtId="0" fontId="18" fillId="0" borderId="0" xfId="0" applyFont="1" applyAlignment="1">
      <alignment horizontal="right"/>
    </xf>
    <xf numFmtId="0" fontId="15" fillId="6" borderId="4" xfId="1" applyFont="1" applyFill="1" applyBorder="1" applyAlignment="1">
      <alignment horizontal="center"/>
    </xf>
    <xf numFmtId="0" fontId="15" fillId="0" borderId="24" xfId="1" applyFont="1" applyBorder="1"/>
    <xf numFmtId="174" fontId="15" fillId="0" borderId="28" xfId="1" applyNumberFormat="1" applyFont="1" applyBorder="1" applyAlignment="1">
      <alignment horizontal="center"/>
    </xf>
    <xf numFmtId="165" fontId="15" fillId="0" borderId="30" xfId="25" applyNumberFormat="1" applyFont="1" applyFill="1" applyBorder="1" applyAlignment="1">
      <alignment horizontal="center"/>
    </xf>
    <xf numFmtId="165" fontId="15" fillId="0" borderId="8" xfId="25" applyNumberFormat="1" applyFont="1" applyFill="1" applyBorder="1" applyAlignment="1">
      <alignment horizontal="center"/>
    </xf>
    <xf numFmtId="174" fontId="15" fillId="0" borderId="29" xfId="1" applyNumberFormat="1" applyFont="1" applyBorder="1" applyAlignment="1">
      <alignment horizontal="center"/>
    </xf>
    <xf numFmtId="165" fontId="15" fillId="0" borderId="29" xfId="25" applyNumberFormat="1" applyFont="1" applyFill="1" applyBorder="1" applyAlignment="1">
      <alignment horizontal="center"/>
    </xf>
    <xf numFmtId="165" fontId="15" fillId="0" borderId="11" xfId="25" applyNumberFormat="1" applyFont="1" applyFill="1" applyBorder="1" applyAlignment="1">
      <alignment horizontal="center"/>
    </xf>
    <xf numFmtId="0" fontId="15" fillId="0" borderId="35" xfId="1" applyFont="1" applyBorder="1" applyAlignment="1">
      <alignment horizontal="center"/>
    </xf>
    <xf numFmtId="0" fontId="15" fillId="0" borderId="1" xfId="1" applyFont="1" applyBorder="1" applyAlignment="1">
      <alignment horizontal="center"/>
    </xf>
    <xf numFmtId="44" fontId="15" fillId="0" borderId="30" xfId="1" applyNumberFormat="1" applyFont="1" applyBorder="1" applyAlignment="1">
      <alignment horizontal="center"/>
    </xf>
    <xf numFmtId="165" fontId="15" fillId="0" borderId="30" xfId="22" applyNumberFormat="1" applyFont="1" applyFill="1" applyBorder="1" applyAlignment="1">
      <alignment horizontal="center"/>
    </xf>
    <xf numFmtId="165" fontId="15" fillId="0" borderId="8" xfId="22" applyNumberFormat="1" applyFont="1" applyFill="1" applyBorder="1" applyAlignment="1">
      <alignment horizontal="center"/>
    </xf>
    <xf numFmtId="44" fontId="15" fillId="0" borderId="29" xfId="1" applyNumberFormat="1" applyFont="1" applyBorder="1" applyAlignment="1">
      <alignment horizontal="center"/>
    </xf>
    <xf numFmtId="165" fontId="15" fillId="0" borderId="29" xfId="22" applyNumberFormat="1" applyFont="1" applyFill="1" applyBorder="1" applyAlignment="1">
      <alignment horizontal="center"/>
    </xf>
    <xf numFmtId="165" fontId="15" fillId="0" borderId="11" xfId="22" applyNumberFormat="1" applyFont="1" applyFill="1" applyBorder="1" applyAlignment="1">
      <alignment horizontal="center"/>
    </xf>
    <xf numFmtId="0" fontId="15" fillId="0" borderId="0" xfId="1" applyFont="1" applyAlignment="1">
      <alignment horizontal="right"/>
    </xf>
    <xf numFmtId="0" fontId="15" fillId="0" borderId="0" xfId="0" applyFont="1" applyAlignment="1">
      <alignment horizontal="right"/>
    </xf>
    <xf numFmtId="0" fontId="18" fillId="0" borderId="0" xfId="0" applyFont="1" applyAlignment="1">
      <alignment horizontal="center"/>
    </xf>
    <xf numFmtId="9" fontId="18" fillId="0" borderId="0" xfId="42" applyFont="1" applyFill="1" applyBorder="1" applyAlignment="1">
      <alignment horizontal="center"/>
    </xf>
    <xf numFmtId="0" fontId="0" fillId="0" borderId="0" xfId="0" applyAlignment="1">
      <alignment horizontal="left"/>
    </xf>
    <xf numFmtId="0" fontId="13" fillId="0" borderId="0" xfId="0" applyFont="1" applyAlignment="1">
      <alignment horizontal="center"/>
    </xf>
    <xf numFmtId="0" fontId="14" fillId="0" borderId="6" xfId="1" applyFont="1" applyBorder="1" applyAlignment="1">
      <alignment horizontal="center"/>
    </xf>
    <xf numFmtId="0" fontId="19" fillId="0" borderId="0" xfId="0" applyFont="1"/>
    <xf numFmtId="0" fontId="19" fillId="0" borderId="0" xfId="0" applyFont="1" applyAlignment="1">
      <alignment horizontal="center"/>
    </xf>
    <xf numFmtId="3" fontId="18" fillId="0" borderId="0" xfId="0" applyNumberFormat="1" applyFont="1" applyAlignment="1">
      <alignment horizontal="center"/>
    </xf>
    <xf numFmtId="0" fontId="28" fillId="0" borderId="0" xfId="0" applyFont="1" applyAlignment="1">
      <alignment horizontal="center"/>
    </xf>
    <xf numFmtId="165" fontId="15" fillId="0" borderId="37" xfId="25" applyNumberFormat="1" applyFont="1" applyFill="1" applyBorder="1" applyAlignment="1">
      <alignment horizontal="center"/>
    </xf>
    <xf numFmtId="165" fontId="15" fillId="0" borderId="38" xfId="25" applyNumberFormat="1" applyFont="1" applyFill="1" applyBorder="1" applyAlignment="1">
      <alignment horizontal="center"/>
    </xf>
    <xf numFmtId="165" fontId="15" fillId="0" borderId="39" xfId="22" applyNumberFormat="1" applyFont="1" applyFill="1" applyBorder="1" applyAlignment="1">
      <alignment horizontal="center"/>
    </xf>
    <xf numFmtId="165" fontId="15" fillId="0" borderId="37" xfId="22" applyNumberFormat="1" applyFont="1" applyFill="1" applyBorder="1" applyAlignment="1">
      <alignment horizontal="center"/>
    </xf>
    <xf numFmtId="165" fontId="15" fillId="0" borderId="38" xfId="22" applyNumberFormat="1" applyFont="1" applyFill="1" applyBorder="1" applyAlignment="1">
      <alignment horizontal="center"/>
    </xf>
    <xf numFmtId="0" fontId="18" fillId="0" borderId="0" xfId="0" applyFont="1" applyAlignment="1">
      <alignment horizontal="center" wrapText="1"/>
    </xf>
    <xf numFmtId="177" fontId="30" fillId="0" borderId="0" xfId="0" applyNumberFormat="1" applyFont="1"/>
    <xf numFmtId="176" fontId="15" fillId="0" borderId="0" xfId="34" applyNumberFormat="1" applyFont="1" applyAlignment="1" applyProtection="1">
      <alignment horizontal="right"/>
      <protection locked="0"/>
    </xf>
    <xf numFmtId="0" fontId="18" fillId="0" borderId="4" xfId="0" applyFont="1" applyBorder="1" applyAlignment="1">
      <alignment horizontal="center" vertical="top" wrapText="1"/>
    </xf>
    <xf numFmtId="14" fontId="21" fillId="0" borderId="6" xfId="20" quotePrefix="1" applyNumberFormat="1" applyFont="1" applyBorder="1" applyAlignment="1">
      <alignment horizontal="right"/>
    </xf>
    <xf numFmtId="17" fontId="21" fillId="0" borderId="6" xfId="20" applyNumberFormat="1" applyFont="1" applyBorder="1" applyAlignment="1">
      <alignment horizontal="center" wrapText="1"/>
    </xf>
    <xf numFmtId="166" fontId="18" fillId="0" borderId="0" xfId="6" applyNumberFormat="1" applyFont="1" applyFill="1"/>
    <xf numFmtId="0" fontId="18" fillId="0" borderId="30" xfId="0" applyFont="1" applyBorder="1"/>
    <xf numFmtId="0" fontId="18" fillId="0" borderId="31" xfId="0" applyFont="1" applyBorder="1"/>
    <xf numFmtId="44" fontId="18" fillId="0" borderId="0" xfId="6" applyFont="1" applyFill="1" applyBorder="1"/>
    <xf numFmtId="44" fontId="19" fillId="0" borderId="0" xfId="6" applyFont="1" applyBorder="1"/>
    <xf numFmtId="173" fontId="13" fillId="0" borderId="0" xfId="3" applyNumberFormat="1" applyFont="1" applyFill="1"/>
    <xf numFmtId="173" fontId="15" fillId="0" borderId="6" xfId="3" applyNumberFormat="1" applyFont="1" applyFill="1" applyBorder="1" applyAlignment="1">
      <alignment horizontal="center"/>
    </xf>
    <xf numFmtId="173" fontId="13" fillId="0" borderId="0" xfId="3" applyNumberFormat="1" applyFont="1" applyFill="1" applyBorder="1"/>
    <xf numFmtId="0" fontId="15" fillId="0" borderId="40" xfId="1" applyFont="1" applyBorder="1" applyAlignment="1">
      <alignment horizontal="center" wrapText="1"/>
    </xf>
    <xf numFmtId="165" fontId="15" fillId="0" borderId="28" xfId="22" applyNumberFormat="1" applyFont="1" applyFill="1" applyBorder="1" applyAlignment="1">
      <alignment horizontal="center"/>
    </xf>
    <xf numFmtId="0" fontId="18" fillId="0" borderId="28" xfId="0" applyFont="1" applyBorder="1"/>
    <xf numFmtId="165" fontId="0" fillId="0" borderId="0" xfId="42" applyNumberFormat="1" applyFont="1" applyFill="1"/>
    <xf numFmtId="173" fontId="18" fillId="0" borderId="0" xfId="42" applyNumberFormat="1" applyFont="1" applyFill="1" applyBorder="1" applyAlignment="1">
      <alignment horizontal="center"/>
    </xf>
    <xf numFmtId="175" fontId="0" fillId="0" borderId="0" xfId="38" applyNumberFormat="1" applyFont="1" applyFill="1"/>
    <xf numFmtId="14" fontId="14" fillId="0" borderId="0" xfId="0" applyNumberFormat="1" applyFont="1" applyAlignment="1">
      <alignment horizontal="center" wrapText="1"/>
    </xf>
    <xf numFmtId="10" fontId="13" fillId="0" borderId="0" xfId="24" applyNumberFormat="1" applyFont="1" applyFill="1" applyAlignment="1">
      <alignment horizontal="center"/>
    </xf>
    <xf numFmtId="173" fontId="14" fillId="0" borderId="13" xfId="3" applyNumberFormat="1" applyFont="1" applyFill="1" applyBorder="1" applyAlignment="1">
      <alignment horizontal="center"/>
    </xf>
    <xf numFmtId="1" fontId="14" fillId="0" borderId="0" xfId="0" applyNumberFormat="1" applyFont="1" applyAlignment="1">
      <alignment horizontal="center" wrapText="1"/>
    </xf>
    <xf numFmtId="43" fontId="0" fillId="0" borderId="0" xfId="37" applyFont="1" applyFill="1"/>
    <xf numFmtId="41" fontId="0" fillId="0" borderId="0" xfId="37" applyNumberFormat="1" applyFont="1" applyFill="1" applyBorder="1"/>
    <xf numFmtId="173" fontId="0" fillId="0" borderId="0" xfId="37" applyNumberFormat="1" applyFont="1" applyFill="1" applyBorder="1"/>
    <xf numFmtId="173" fontId="13" fillId="0" borderId="0" xfId="37" applyNumberFormat="1" applyFont="1" applyFill="1"/>
    <xf numFmtId="1" fontId="15" fillId="0" borderId="4" xfId="1" applyNumberFormat="1" applyFont="1" applyBorder="1" applyAlignment="1">
      <alignment horizontal="center"/>
    </xf>
    <xf numFmtId="173" fontId="18" fillId="0" borderId="0" xfId="37" applyNumberFormat="1" applyFont="1" applyFill="1"/>
    <xf numFmtId="1" fontId="18" fillId="0" borderId="31" xfId="0" applyNumberFormat="1" applyFont="1" applyBorder="1"/>
    <xf numFmtId="173" fontId="0" fillId="0" borderId="0" xfId="37" applyNumberFormat="1" applyFont="1" applyFill="1"/>
    <xf numFmtId="1" fontId="18" fillId="0" borderId="30" xfId="0" applyNumberFormat="1" applyFont="1" applyBorder="1"/>
    <xf numFmtId="44" fontId="19" fillId="0" borderId="0" xfId="6" applyFont="1" applyFill="1" applyBorder="1"/>
    <xf numFmtId="165" fontId="18" fillId="0" borderId="0" xfId="24" applyNumberFormat="1" applyFont="1" applyFill="1" applyBorder="1"/>
    <xf numFmtId="165" fontId="13" fillId="0" borderId="0" xfId="24" applyNumberFormat="1" applyFont="1" applyFill="1" applyAlignment="1">
      <alignment horizontal="center"/>
    </xf>
    <xf numFmtId="10" fontId="13" fillId="0" borderId="33" xfId="24" applyNumberFormat="1" applyFont="1" applyFill="1" applyBorder="1" applyAlignment="1">
      <alignment horizontal="center"/>
    </xf>
    <xf numFmtId="9" fontId="33" fillId="0" borderId="0" xfId="42" applyFont="1" applyFill="1" applyAlignment="1">
      <alignment horizontal="right"/>
    </xf>
    <xf numFmtId="9" fontId="33" fillId="0" borderId="0" xfId="42" applyFont="1" applyFill="1"/>
    <xf numFmtId="173" fontId="13" fillId="0" borderId="19" xfId="3" applyNumberFormat="1" applyFont="1" applyFill="1" applyBorder="1"/>
    <xf numFmtId="173" fontId="13" fillId="0" borderId="33" xfId="3" applyNumberFormat="1" applyFont="1" applyFill="1" applyBorder="1"/>
    <xf numFmtId="173" fontId="33" fillId="0" borderId="0" xfId="37" applyNumberFormat="1" applyFont="1" applyFill="1"/>
    <xf numFmtId="0" fontId="15" fillId="0" borderId="23" xfId="1" applyFont="1" applyBorder="1"/>
    <xf numFmtId="44" fontId="15" fillId="0" borderId="0" xfId="1" applyNumberFormat="1" applyFont="1" applyAlignment="1">
      <alignment horizontal="center"/>
    </xf>
    <xf numFmtId="165" fontId="15" fillId="0" borderId="0" xfId="22" applyNumberFormat="1" applyFont="1" applyFill="1" applyBorder="1" applyAlignment="1">
      <alignment horizontal="center"/>
    </xf>
    <xf numFmtId="175" fontId="0" fillId="0" borderId="0" xfId="38" applyNumberFormat="1" applyFont="1" applyFill="1" applyAlignment="1">
      <alignment horizontal="center"/>
    </xf>
    <xf numFmtId="0" fontId="18" fillId="0" borderId="0" xfId="0" applyFont="1" applyAlignment="1">
      <alignment wrapText="1"/>
    </xf>
    <xf numFmtId="1" fontId="18" fillId="0" borderId="4" xfId="0" applyNumberFormat="1" applyFont="1" applyBorder="1"/>
    <xf numFmtId="165" fontId="15" fillId="0" borderId="33" xfId="42" applyNumberFormat="1" applyFont="1" applyFill="1" applyBorder="1" applyAlignment="1">
      <alignment horizontal="center"/>
    </xf>
    <xf numFmtId="44" fontId="15" fillId="0" borderId="18" xfId="1" applyNumberFormat="1" applyFont="1" applyBorder="1" applyAlignment="1">
      <alignment horizontal="center"/>
    </xf>
    <xf numFmtId="165" fontId="15" fillId="0" borderId="18" xfId="42" applyNumberFormat="1" applyFont="1" applyFill="1" applyBorder="1" applyAlignment="1">
      <alignment horizontal="center"/>
    </xf>
    <xf numFmtId="44" fontId="15" fillId="0" borderId="33" xfId="1" applyNumberFormat="1" applyFont="1" applyBorder="1" applyAlignment="1">
      <alignment horizontal="center"/>
    </xf>
    <xf numFmtId="10" fontId="17" fillId="0" borderId="0" xfId="42" applyNumberFormat="1" applyFont="1" applyFill="1" applyBorder="1"/>
    <xf numFmtId="44" fontId="18" fillId="0" borderId="0" xfId="0" applyNumberFormat="1" applyFont="1"/>
    <xf numFmtId="17" fontId="18" fillId="0" borderId="0" xfId="6" quotePrefix="1" applyNumberFormat="1" applyFont="1" applyFill="1" applyBorder="1" applyAlignment="1"/>
    <xf numFmtId="37" fontId="0" fillId="0" borderId="0" xfId="38" applyNumberFormat="1" applyFont="1" applyFill="1"/>
    <xf numFmtId="2" fontId="18" fillId="0" borderId="0" xfId="42" applyNumberFormat="1" applyFont="1" applyFill="1" applyBorder="1" applyAlignment="1">
      <alignment horizontal="center"/>
    </xf>
    <xf numFmtId="41" fontId="25" fillId="0" borderId="0" xfId="37" applyNumberFormat="1" applyFont="1" applyFill="1"/>
    <xf numFmtId="173" fontId="25" fillId="0" borderId="0" xfId="37" applyNumberFormat="1" applyFont="1" applyFill="1"/>
    <xf numFmtId="175" fontId="25" fillId="0" borderId="0" xfId="38" applyNumberFormat="1" applyFont="1" applyFill="1"/>
    <xf numFmtId="10" fontId="13" fillId="0" borderId="0" xfId="24" applyNumberFormat="1" applyFont="1" applyFill="1" applyBorder="1" applyAlignment="1">
      <alignment horizontal="center"/>
    </xf>
    <xf numFmtId="0" fontId="18" fillId="0" borderId="8" xfId="0" applyFont="1" applyBorder="1"/>
    <xf numFmtId="0" fontId="18" fillId="0" borderId="34" xfId="0" applyFont="1" applyBorder="1"/>
    <xf numFmtId="0" fontId="18" fillId="0" borderId="17" xfId="0" applyFont="1" applyBorder="1"/>
    <xf numFmtId="0" fontId="18" fillId="0" borderId="15" xfId="0" applyFont="1" applyBorder="1"/>
    <xf numFmtId="173" fontId="18" fillId="0" borderId="0" xfId="37" applyNumberFormat="1" applyFont="1" applyFill="1" applyBorder="1"/>
    <xf numFmtId="1" fontId="22" fillId="0" borderId="0" xfId="20" applyNumberFormat="1" applyFont="1"/>
    <xf numFmtId="1" fontId="17" fillId="0" borderId="0" xfId="20" applyNumberFormat="1" applyFont="1"/>
    <xf numFmtId="0" fontId="0" fillId="0" borderId="0" xfId="0" applyAlignment="1">
      <alignment vertical="center"/>
    </xf>
    <xf numFmtId="165" fontId="0" fillId="0" borderId="0" xfId="42" applyNumberFormat="1" applyFont="1" applyFill="1" applyBorder="1"/>
    <xf numFmtId="173" fontId="13" fillId="0" borderId="0" xfId="37" applyNumberFormat="1" applyFont="1" applyFill="1" applyAlignment="1">
      <alignment horizontal="center"/>
    </xf>
    <xf numFmtId="165" fontId="0" fillId="0" borderId="13" xfId="42" applyNumberFormat="1" applyFont="1" applyFill="1" applyBorder="1"/>
    <xf numFmtId="175" fontId="13" fillId="0" borderId="0" xfId="38" applyNumberFormat="1" applyFont="1" applyFill="1" applyBorder="1"/>
    <xf numFmtId="173" fontId="13" fillId="0" borderId="0" xfId="37" applyNumberFormat="1" applyFont="1" applyFill="1" applyBorder="1"/>
    <xf numFmtId="14" fontId="18" fillId="0" borderId="0" xfId="6" quotePrefix="1" applyNumberFormat="1" applyFont="1" applyFill="1" applyBorder="1" applyAlignment="1"/>
    <xf numFmtId="14" fontId="18" fillId="0" borderId="0" xfId="6" applyNumberFormat="1" applyFont="1" applyFill="1" applyBorder="1" applyAlignment="1"/>
    <xf numFmtId="17" fontId="18" fillId="0" borderId="0" xfId="6" applyNumberFormat="1" applyFont="1" applyFill="1" applyBorder="1" applyAlignment="1"/>
    <xf numFmtId="0" fontId="15" fillId="0" borderId="34" xfId="1" applyFont="1" applyBorder="1" applyAlignment="1">
      <alignment horizontal="right"/>
    </xf>
    <xf numFmtId="0" fontId="15" fillId="0" borderId="33" xfId="1" applyFont="1" applyBorder="1" applyAlignment="1">
      <alignment horizontal="right"/>
    </xf>
    <xf numFmtId="174" fontId="15" fillId="0" borderId="30" xfId="1" applyNumberFormat="1" applyFont="1" applyBorder="1" applyAlignment="1">
      <alignment horizontal="center"/>
    </xf>
    <xf numFmtId="44" fontId="15" fillId="0" borderId="28" xfId="1" applyNumberFormat="1" applyFont="1" applyBorder="1" applyAlignment="1">
      <alignment horizontal="center"/>
    </xf>
    <xf numFmtId="0" fontId="0" fillId="0" borderId="0" xfId="0" applyAlignment="1">
      <alignment wrapText="1"/>
    </xf>
    <xf numFmtId="0" fontId="14" fillId="0" borderId="0" xfId="0" applyFont="1" applyAlignment="1">
      <alignment horizontal="center"/>
    </xf>
    <xf numFmtId="3" fontId="0" fillId="0" borderId="0" xfId="38" applyNumberFormat="1" applyFont="1" applyFill="1"/>
    <xf numFmtId="0" fontId="18" fillId="6" borderId="0" xfId="0" applyFont="1" applyFill="1" applyAlignment="1">
      <alignment horizontal="center"/>
    </xf>
    <xf numFmtId="165" fontId="18" fillId="0" borderId="0" xfId="42" applyNumberFormat="1" applyFont="1" applyFill="1" applyBorder="1"/>
    <xf numFmtId="165" fontId="18" fillId="0" borderId="8" xfId="42" applyNumberFormat="1" applyFont="1" applyFill="1" applyBorder="1"/>
    <xf numFmtId="165" fontId="18" fillId="0" borderId="15" xfId="42" applyNumberFormat="1" applyFont="1" applyFill="1" applyBorder="1"/>
    <xf numFmtId="165" fontId="18" fillId="0" borderId="11" xfId="42" applyNumberFormat="1" applyFont="1" applyFill="1" applyBorder="1"/>
    <xf numFmtId="165" fontId="39" fillId="0" borderId="0" xfId="42" applyNumberFormat="1" applyFont="1" applyFill="1" applyAlignment="1">
      <alignment vertical="center"/>
    </xf>
    <xf numFmtId="10" fontId="13" fillId="0" borderId="0" xfId="24" applyNumberFormat="1" applyFont="1" applyFill="1"/>
    <xf numFmtId="10" fontId="13" fillId="0" borderId="0" xfId="25" applyNumberFormat="1" applyFont="1" applyFill="1" applyAlignment="1">
      <alignment horizontal="center"/>
    </xf>
    <xf numFmtId="10" fontId="13" fillId="0" borderId="0" xfId="42" applyNumberFormat="1" applyFont="1" applyFill="1"/>
    <xf numFmtId="9" fontId="13" fillId="0" borderId="0" xfId="42" applyFont="1" applyFill="1"/>
    <xf numFmtId="175" fontId="13" fillId="0" borderId="0" xfId="38" applyNumberFormat="1" applyFont="1" applyFill="1"/>
    <xf numFmtId="1" fontId="18" fillId="0" borderId="30" xfId="6" applyNumberFormat="1" applyFont="1" applyFill="1" applyBorder="1"/>
    <xf numFmtId="173" fontId="15" fillId="0" borderId="0" xfId="3" applyNumberFormat="1" applyFont="1" applyFill="1" applyBorder="1" applyAlignment="1">
      <alignment horizontal="center" wrapText="1"/>
    </xf>
    <xf numFmtId="0" fontId="18" fillId="0" borderId="13" xfId="0" applyFont="1" applyBorder="1" applyAlignment="1">
      <alignment horizontal="right"/>
    </xf>
    <xf numFmtId="0" fontId="18" fillId="0" borderId="15" xfId="0" applyFont="1" applyBorder="1" applyAlignment="1">
      <alignment horizontal="right"/>
    </xf>
    <xf numFmtId="0" fontId="18" fillId="0" borderId="17" xfId="0" applyFont="1" applyBorder="1" applyAlignment="1">
      <alignment horizontal="right"/>
    </xf>
    <xf numFmtId="0" fontId="18" fillId="0" borderId="14" xfId="0" applyFont="1" applyBorder="1" applyAlignment="1">
      <alignment horizontal="right"/>
    </xf>
    <xf numFmtId="0" fontId="18" fillId="0" borderId="33" xfId="0" applyFont="1" applyBorder="1" applyAlignment="1">
      <alignment horizontal="right"/>
    </xf>
    <xf numFmtId="0" fontId="18" fillId="0" borderId="18" xfId="0" applyFont="1" applyBorder="1" applyAlignment="1">
      <alignment horizontal="right"/>
    </xf>
    <xf numFmtId="174" fontId="15" fillId="0" borderId="0" xfId="1" applyNumberFormat="1" applyFont="1" applyAlignment="1">
      <alignment horizontal="center"/>
    </xf>
    <xf numFmtId="0" fontId="54" fillId="7" borderId="0" xfId="0" applyFont="1" applyFill="1" applyAlignment="1">
      <alignment horizontal="center"/>
    </xf>
    <xf numFmtId="0" fontId="53" fillId="0" borderId="0" xfId="0" applyFont="1" applyAlignment="1">
      <alignment horizontal="left" vertical="center" wrapText="1"/>
    </xf>
    <xf numFmtId="10" fontId="15" fillId="6" borderId="4" xfId="1" applyNumberFormat="1" applyFont="1" applyFill="1" applyBorder="1" applyAlignment="1">
      <alignment horizontal="center"/>
    </xf>
    <xf numFmtId="41" fontId="26" fillId="0" borderId="0" xfId="37" applyNumberFormat="1" applyFont="1" applyFill="1"/>
    <xf numFmtId="0" fontId="17" fillId="8" borderId="4" xfId="20" applyFont="1" applyFill="1" applyBorder="1" applyAlignment="1">
      <alignment horizontal="center"/>
    </xf>
    <xf numFmtId="43" fontId="13" fillId="0" borderId="0" xfId="37" applyFont="1" applyFill="1" applyAlignment="1">
      <alignment horizontal="center"/>
    </xf>
    <xf numFmtId="41" fontId="25" fillId="0" borderId="0" xfId="37" applyNumberFormat="1" applyFont="1" applyFill="1" applyBorder="1"/>
    <xf numFmtId="37" fontId="0" fillId="0" borderId="0" xfId="38" applyNumberFormat="1" applyFont="1" applyFill="1" applyBorder="1"/>
    <xf numFmtId="173" fontId="18" fillId="0" borderId="10" xfId="37" applyNumberFormat="1" applyFont="1" applyFill="1" applyBorder="1"/>
    <xf numFmtId="6" fontId="25" fillId="0" borderId="0" xfId="37" applyNumberFormat="1" applyFont="1" applyFill="1"/>
    <xf numFmtId="173" fontId="0" fillId="0" borderId="0" xfId="37" quotePrefix="1" applyNumberFormat="1" applyFont="1" applyFill="1" applyBorder="1" applyAlignment="1">
      <alignment horizontal="right"/>
    </xf>
    <xf numFmtId="165" fontId="18" fillId="0" borderId="0" xfId="42" applyNumberFormat="1" applyFont="1" applyFill="1"/>
    <xf numFmtId="165" fontId="13" fillId="0" borderId="0" xfId="42" applyNumberFormat="1" applyFont="1" applyFill="1"/>
    <xf numFmtId="43" fontId="13" fillId="0" borderId="0" xfId="37" applyFont="1" applyFill="1"/>
    <xf numFmtId="174" fontId="15" fillId="0" borderId="15" xfId="1" applyNumberFormat="1" applyFont="1" applyBorder="1" applyAlignment="1">
      <alignment horizontal="center"/>
    </xf>
    <xf numFmtId="10" fontId="13" fillId="0" borderId="0" xfId="24" quotePrefix="1" applyNumberFormat="1" applyFont="1" applyFill="1" applyAlignment="1">
      <alignment horizontal="center"/>
    </xf>
    <xf numFmtId="173" fontId="17" fillId="0" borderId="0" xfId="42" applyNumberFormat="1" applyFont="1" applyFill="1"/>
    <xf numFmtId="44" fontId="17" fillId="0" borderId="0" xfId="38" applyFont="1" applyFill="1"/>
    <xf numFmtId="43" fontId="17" fillId="0" borderId="0" xfId="37" applyFont="1" applyFill="1"/>
    <xf numFmtId="9" fontId="18" fillId="0" borderId="0" xfId="42" applyFont="1" applyFill="1" applyBorder="1" applyAlignment="1">
      <alignment horizontal="center" wrapText="1"/>
    </xf>
    <xf numFmtId="44" fontId="18" fillId="0" borderId="4" xfId="38" applyFont="1" applyFill="1" applyBorder="1"/>
    <xf numFmtId="14" fontId="15" fillId="0" borderId="4" xfId="1" applyNumberFormat="1" applyFont="1" applyBorder="1" applyAlignment="1">
      <alignment horizontal="center"/>
    </xf>
    <xf numFmtId="10" fontId="13" fillId="0" borderId="0" xfId="42" applyNumberFormat="1" applyFont="1" applyFill="1" applyAlignment="1">
      <alignment horizontal="center" vertical="center"/>
    </xf>
    <xf numFmtId="165" fontId="0" fillId="0" borderId="12" xfId="42" applyNumberFormat="1" applyFont="1" applyFill="1" applyBorder="1"/>
    <xf numFmtId="165" fontId="0" fillId="0" borderId="14" xfId="42" applyNumberFormat="1" applyFont="1" applyFill="1" applyBorder="1"/>
    <xf numFmtId="165" fontId="0" fillId="0" borderId="19" xfId="42" applyNumberFormat="1" applyFont="1" applyFill="1" applyBorder="1"/>
    <xf numFmtId="165" fontId="0" fillId="0" borderId="33" xfId="42" applyNumberFormat="1" applyFont="1" applyFill="1" applyBorder="1"/>
    <xf numFmtId="165" fontId="0" fillId="0" borderId="16" xfId="42" applyNumberFormat="1" applyFont="1" applyFill="1" applyBorder="1"/>
    <xf numFmtId="165" fontId="0" fillId="0" borderId="36" xfId="42" applyNumberFormat="1" applyFont="1" applyFill="1" applyBorder="1"/>
    <xf numFmtId="1" fontId="18" fillId="0" borderId="31" xfId="6" applyNumberFormat="1" applyFont="1" applyFill="1" applyBorder="1"/>
    <xf numFmtId="0" fontId="57" fillId="0" borderId="0" xfId="0" applyFont="1"/>
    <xf numFmtId="0" fontId="49" fillId="0" borderId="0" xfId="0" applyFont="1"/>
    <xf numFmtId="0" fontId="58" fillId="0" borderId="0" xfId="0" applyFont="1"/>
    <xf numFmtId="0" fontId="49" fillId="0" borderId="0" xfId="0" applyFont="1" applyAlignment="1">
      <alignment horizontal="left" indent="1"/>
    </xf>
    <xf numFmtId="0" fontId="49" fillId="0" borderId="0" xfId="0" applyFont="1" applyAlignment="1">
      <alignment horizontal="right" indent="1"/>
    </xf>
    <xf numFmtId="0" fontId="49" fillId="0" borderId="0" xfId="0" applyFont="1" applyAlignment="1">
      <alignment horizontal="fill"/>
    </xf>
    <xf numFmtId="0" fontId="49" fillId="0" borderId="0" xfId="0" applyFont="1" applyAlignment="1">
      <alignment horizontal="left"/>
    </xf>
    <xf numFmtId="0" fontId="59" fillId="0" borderId="0" xfId="0" applyFont="1"/>
    <xf numFmtId="0" fontId="60" fillId="0" borderId="0" xfId="0" applyFont="1" applyAlignment="1">
      <alignment horizontal="left" indent="5"/>
    </xf>
    <xf numFmtId="0" fontId="61" fillId="0" borderId="0" xfId="0" applyFont="1"/>
    <xf numFmtId="0" fontId="60" fillId="0" borderId="0" xfId="0" applyFont="1" applyAlignment="1">
      <alignment horizontal="center"/>
    </xf>
    <xf numFmtId="0" fontId="49" fillId="0" borderId="0" xfId="0" applyFont="1" applyAlignment="1">
      <alignment horizontal="right"/>
    </xf>
    <xf numFmtId="49" fontId="49" fillId="0" borderId="0" xfId="0" applyNumberFormat="1" applyFont="1" applyAlignment="1">
      <alignment horizontal="right"/>
    </xf>
    <xf numFmtId="173" fontId="15" fillId="6" borderId="0" xfId="3" applyNumberFormat="1" applyFont="1" applyFill="1" applyBorder="1" applyAlignment="1">
      <alignment horizontal="center"/>
    </xf>
    <xf numFmtId="0" fontId="0" fillId="0" borderId="0" xfId="0" applyAlignment="1">
      <alignment vertical="top" wrapText="1"/>
    </xf>
    <xf numFmtId="0" fontId="0" fillId="0" borderId="0" xfId="0" quotePrefix="1" applyAlignment="1">
      <alignment vertical="top" wrapText="1"/>
    </xf>
    <xf numFmtId="0" fontId="0" fillId="0" borderId="0" xfId="0" applyAlignment="1">
      <alignment vertical="top"/>
    </xf>
    <xf numFmtId="0" fontId="46" fillId="0" borderId="0" xfId="0" applyFont="1" applyAlignment="1">
      <alignment vertical="center"/>
    </xf>
    <xf numFmtId="0" fontId="64" fillId="0" borderId="0" xfId="0" applyFont="1" applyAlignment="1">
      <alignment vertical="center"/>
    </xf>
    <xf numFmtId="0" fontId="41" fillId="0" borderId="0" xfId="0" applyFont="1" applyAlignment="1">
      <alignment horizontal="left"/>
    </xf>
    <xf numFmtId="0" fontId="49" fillId="9" borderId="0" xfId="0" applyFont="1" applyFill="1"/>
    <xf numFmtId="0" fontId="49" fillId="9" borderId="0" xfId="0" applyFont="1" applyFill="1" applyAlignment="1">
      <alignment horizontal="right"/>
    </xf>
    <xf numFmtId="0" fontId="0" fillId="9" borderId="0" xfId="0" applyFill="1"/>
    <xf numFmtId="0" fontId="19" fillId="0" borderId="26" xfId="0" applyFont="1" applyBorder="1" applyAlignment="1">
      <alignment horizontal="center"/>
    </xf>
    <xf numFmtId="0" fontId="19" fillId="0" borderId="27" xfId="0" applyFont="1" applyBorder="1" applyAlignment="1">
      <alignment horizontal="center"/>
    </xf>
    <xf numFmtId="0" fontId="0" fillId="0" borderId="0" xfId="0" quotePrefix="1" applyAlignment="1">
      <alignment horizontal="left" vertical="top" wrapText="1"/>
    </xf>
    <xf numFmtId="0" fontId="0" fillId="0" borderId="0" xfId="0" applyAlignment="1">
      <alignment horizontal="left" vertical="top"/>
    </xf>
    <xf numFmtId="0" fontId="46" fillId="0" borderId="0" xfId="0" applyFont="1" applyAlignment="1">
      <alignment horizontal="left" vertical="top"/>
    </xf>
    <xf numFmtId="0" fontId="46" fillId="0" borderId="0" xfId="0" applyFont="1" applyAlignment="1">
      <alignment horizontal="left" vertical="top" wrapText="1"/>
    </xf>
    <xf numFmtId="0" fontId="19" fillId="0" borderId="25" xfId="0" applyFont="1" applyBorder="1"/>
    <xf numFmtId="0" fontId="19" fillId="0" borderId="26" xfId="0" applyFont="1" applyBorder="1"/>
    <xf numFmtId="0" fontId="18" fillId="0" borderId="8" xfId="0" applyFont="1" applyBorder="1" applyAlignment="1">
      <alignment horizontal="center"/>
    </xf>
    <xf numFmtId="0" fontId="49" fillId="0" borderId="34" xfId="0" applyFont="1" applyBorder="1" applyAlignment="1">
      <alignment vertical="center" wrapText="1"/>
    </xf>
    <xf numFmtId="0" fontId="56" fillId="0" borderId="34" xfId="0" applyFont="1" applyBorder="1" applyAlignment="1">
      <alignment wrapText="1"/>
    </xf>
    <xf numFmtId="0" fontId="0" fillId="0" borderId="34" xfId="0" applyBorder="1"/>
    <xf numFmtId="0" fontId="18" fillId="0" borderId="15" xfId="0" applyFont="1" applyBorder="1" applyAlignment="1">
      <alignment horizontal="center"/>
    </xf>
    <xf numFmtId="0" fontId="18" fillId="0" borderId="11" xfId="0" applyFont="1" applyBorder="1" applyAlignment="1">
      <alignment horizontal="center"/>
    </xf>
    <xf numFmtId="0" fontId="59" fillId="0" borderId="0" xfId="0" applyFont="1" applyAlignment="1">
      <alignment horizontal="right"/>
    </xf>
    <xf numFmtId="0" fontId="18" fillId="0" borderId="24" xfId="0" applyFont="1" applyBorder="1" applyAlignment="1">
      <alignment horizontal="center"/>
    </xf>
    <xf numFmtId="0" fontId="18" fillId="0" borderId="19" xfId="0" applyFont="1" applyBorder="1" applyAlignment="1">
      <alignment horizontal="center"/>
    </xf>
    <xf numFmtId="0" fontId="0" fillId="0" borderId="0" xfId="0" applyAlignment="1">
      <alignment horizontal="center"/>
    </xf>
    <xf numFmtId="6" fontId="0" fillId="0" borderId="6" xfId="0" quotePrefix="1" applyNumberFormat="1" applyBorder="1" applyAlignment="1">
      <alignment horizontal="center"/>
    </xf>
    <xf numFmtId="6" fontId="0" fillId="0" borderId="0" xfId="0" applyNumberFormat="1"/>
    <xf numFmtId="3" fontId="0" fillId="0" borderId="0" xfId="0" applyNumberFormat="1"/>
    <xf numFmtId="0" fontId="0" fillId="0" borderId="0" xfId="0" applyAlignment="1">
      <alignment horizontal="right" vertical="center"/>
    </xf>
    <xf numFmtId="5" fontId="0" fillId="0" borderId="0" xfId="0" applyNumberFormat="1"/>
    <xf numFmtId="0" fontId="49" fillId="0" borderId="0" xfId="0" applyFont="1" applyAlignment="1">
      <alignment vertical="center"/>
    </xf>
    <xf numFmtId="5" fontId="25" fillId="0" borderId="0" xfId="0" applyNumberFormat="1" applyFont="1"/>
    <xf numFmtId="0" fontId="56" fillId="0" borderId="0" xfId="0" applyFont="1"/>
    <xf numFmtId="0" fontId="0" fillId="0" borderId="0" xfId="0" applyAlignment="1">
      <alignment horizontal="left" vertical="center"/>
    </xf>
    <xf numFmtId="0" fontId="0" fillId="0" borderId="0" xfId="0" applyAlignment="1">
      <alignment horizontal="right"/>
    </xf>
    <xf numFmtId="5" fontId="41" fillId="0" borderId="0" xfId="0" applyNumberFormat="1" applyFont="1"/>
    <xf numFmtId="0" fontId="41" fillId="0" borderId="0" xfId="0" applyFont="1"/>
    <xf numFmtId="0" fontId="0" fillId="0" borderId="6" xfId="0" applyBorder="1" applyAlignment="1">
      <alignment horizontal="center"/>
    </xf>
    <xf numFmtId="177" fontId="0" fillId="0" borderId="0" xfId="0" applyNumberFormat="1"/>
    <xf numFmtId="183" fontId="0" fillId="0" borderId="0" xfId="0" applyNumberFormat="1"/>
    <xf numFmtId="44" fontId="0" fillId="0" borderId="0" xfId="0" applyNumberFormat="1"/>
    <xf numFmtId="8" fontId="0" fillId="0" borderId="0" xfId="0" applyNumberFormat="1"/>
    <xf numFmtId="2" fontId="0" fillId="0" borderId="0" xfId="0" applyNumberFormat="1"/>
    <xf numFmtId="0" fontId="45" fillId="0" borderId="0" xfId="1" applyFont="1" applyAlignment="1">
      <alignment horizontal="right"/>
    </xf>
    <xf numFmtId="0" fontId="0" fillId="0" borderId="34" xfId="0" applyBorder="1" applyAlignment="1">
      <alignment wrapText="1"/>
    </xf>
    <xf numFmtId="14" fontId="15" fillId="0" borderId="4" xfId="1" applyNumberFormat="1" applyFont="1" applyBorder="1" applyAlignment="1">
      <alignment horizontal="center" wrapText="1"/>
    </xf>
    <xf numFmtId="2" fontId="18" fillId="0" borderId="0" xfId="0" applyNumberFormat="1" applyFont="1" applyAlignment="1">
      <alignment horizontal="center"/>
    </xf>
    <xf numFmtId="0" fontId="25" fillId="0" borderId="0" xfId="0" applyFont="1"/>
    <xf numFmtId="49" fontId="0" fillId="0" borderId="0" xfId="0" applyNumberFormat="1"/>
    <xf numFmtId="49" fontId="25" fillId="0" borderId="0" xfId="0" applyNumberFormat="1" applyFont="1"/>
    <xf numFmtId="0" fontId="55" fillId="0" borderId="0" xfId="0" applyFont="1"/>
    <xf numFmtId="0" fontId="25" fillId="0" borderId="6" xfId="0" applyFont="1" applyBorder="1"/>
    <xf numFmtId="173" fontId="0" fillId="0" borderId="0" xfId="0" applyNumberFormat="1"/>
    <xf numFmtId="0" fontId="0" fillId="0" borderId="4" xfId="0" applyBorder="1" applyAlignment="1">
      <alignment vertical="center"/>
    </xf>
    <xf numFmtId="0" fontId="0" fillId="0" borderId="1" xfId="0" applyBorder="1" applyAlignment="1">
      <alignment horizontal="center" vertical="center" wrapText="1"/>
    </xf>
    <xf numFmtId="0" fontId="0" fillId="0" borderId="24" xfId="0" applyBorder="1" applyAlignment="1">
      <alignment horizontal="center" vertical="center" wrapText="1"/>
    </xf>
    <xf numFmtId="0" fontId="0" fillId="0" borderId="4" xfId="0" applyBorder="1" applyAlignment="1">
      <alignment horizontal="center" vertical="center" wrapText="1"/>
    </xf>
    <xf numFmtId="175" fontId="0" fillId="0" borderId="0" xfId="0" applyNumberFormat="1"/>
    <xf numFmtId="5" fontId="3" fillId="0" borderId="44" xfId="43" applyNumberFormat="1" applyBorder="1" applyAlignment="1">
      <alignment horizontal="left" vertical="center"/>
    </xf>
    <xf numFmtId="173" fontId="25" fillId="0" borderId="0" xfId="0" applyNumberFormat="1" applyFont="1"/>
    <xf numFmtId="37" fontId="0" fillId="0" borderId="0" xfId="0" applyNumberFormat="1"/>
    <xf numFmtId="43" fontId="0" fillId="0" borderId="0" xfId="0" applyNumberFormat="1"/>
    <xf numFmtId="5" fontId="0" fillId="0" borderId="0" xfId="0" applyNumberFormat="1" applyAlignment="1">
      <alignment wrapText="1"/>
    </xf>
    <xf numFmtId="41" fontId="0" fillId="0" borderId="0" xfId="0" applyNumberFormat="1"/>
    <xf numFmtId="41" fontId="26" fillId="0" borderId="0" xfId="0" applyNumberFormat="1" applyFont="1"/>
    <xf numFmtId="0" fontId="25" fillId="0" borderId="0" xfId="1" applyFont="1" applyAlignment="1">
      <alignment horizontal="left"/>
    </xf>
    <xf numFmtId="41" fontId="26" fillId="0" borderId="32" xfId="0" applyNumberFormat="1" applyFont="1" applyBorder="1"/>
    <xf numFmtId="41" fontId="25" fillId="0" borderId="0" xfId="0" applyNumberFormat="1" applyFont="1"/>
    <xf numFmtId="15" fontId="0" fillId="0" borderId="0" xfId="0" applyNumberFormat="1"/>
    <xf numFmtId="8" fontId="25" fillId="0" borderId="0" xfId="0" applyNumberFormat="1" applyFont="1"/>
    <xf numFmtId="6" fontId="25" fillId="0" borderId="0" xfId="0" applyNumberFormat="1" applyFont="1"/>
    <xf numFmtId="164" fontId="0" fillId="0" borderId="0" xfId="0" applyNumberFormat="1"/>
    <xf numFmtId="3" fontId="1" fillId="0" borderId="0" xfId="0" applyNumberFormat="1" applyFont="1" applyAlignment="1">
      <alignment horizontal="left"/>
    </xf>
    <xf numFmtId="0" fontId="0" fillId="0" borderId="1" xfId="0" applyBorder="1"/>
    <xf numFmtId="0" fontId="0" fillId="0" borderId="1" xfId="0" applyBorder="1" applyAlignment="1">
      <alignment wrapText="1"/>
    </xf>
    <xf numFmtId="0" fontId="25" fillId="0" borderId="1" xfId="0" applyFont="1" applyBorder="1" applyAlignment="1">
      <alignment wrapText="1"/>
    </xf>
    <xf numFmtId="0" fontId="27" fillId="0" borderId="0" xfId="0" applyFont="1"/>
    <xf numFmtId="41" fontId="0" fillId="0" borderId="13" xfId="0" applyNumberFormat="1" applyBorder="1"/>
    <xf numFmtId="41" fontId="0" fillId="0" borderId="0" xfId="0" applyNumberFormat="1" applyAlignment="1">
      <alignment horizontal="center"/>
    </xf>
    <xf numFmtId="173" fontId="0" fillId="0" borderId="0" xfId="0" applyNumberFormat="1" applyAlignment="1">
      <alignment horizontal="left"/>
    </xf>
    <xf numFmtId="41" fontId="0" fillId="0" borderId="0" xfId="0" applyNumberFormat="1" applyAlignment="1">
      <alignment horizontal="left"/>
    </xf>
    <xf numFmtId="7" fontId="25" fillId="0" borderId="0" xfId="0" applyNumberFormat="1" applyFont="1"/>
    <xf numFmtId="5" fontId="26" fillId="0" borderId="0" xfId="0" applyNumberFormat="1" applyFont="1"/>
    <xf numFmtId="3" fontId="26" fillId="0" borderId="32" xfId="0" applyNumberFormat="1" applyFont="1" applyBorder="1"/>
    <xf numFmtId="3" fontId="1" fillId="0" borderId="32" xfId="0" applyNumberFormat="1" applyFont="1" applyBorder="1"/>
    <xf numFmtId="3" fontId="25" fillId="0" borderId="0" xfId="0" applyNumberFormat="1" applyFont="1"/>
    <xf numFmtId="0" fontId="2" fillId="0" borderId="0" xfId="0" applyFont="1" applyAlignment="1">
      <alignment horizontal="center" vertical="center"/>
    </xf>
    <xf numFmtId="0" fontId="0" fillId="0" borderId="6" xfId="0" applyBorder="1" applyAlignment="1">
      <alignment wrapText="1"/>
    </xf>
    <xf numFmtId="0" fontId="0" fillId="0" borderId="6" xfId="0" applyBorder="1" applyAlignment="1">
      <alignment horizontal="left" wrapText="1"/>
    </xf>
    <xf numFmtId="0" fontId="49" fillId="0" borderId="0" xfId="0" applyFont="1" applyAlignment="1">
      <alignment vertical="center" wrapText="1"/>
    </xf>
    <xf numFmtId="0" fontId="46" fillId="0" borderId="0" xfId="0" applyFont="1" applyAlignment="1">
      <alignment vertical="center" wrapText="1"/>
    </xf>
    <xf numFmtId="0" fontId="46" fillId="0" borderId="0" xfId="0" applyFont="1" applyAlignment="1">
      <alignment horizontal="left" vertical="center" wrapText="1"/>
    </xf>
    <xf numFmtId="3" fontId="1" fillId="0" borderId="0" xfId="0" applyNumberFormat="1" applyFont="1"/>
    <xf numFmtId="182" fontId="25" fillId="0" borderId="0" xfId="43" applyNumberFormat="1" applyFont="1"/>
    <xf numFmtId="0" fontId="25" fillId="0" borderId="0" xfId="50" applyFont="1"/>
    <xf numFmtId="182" fontId="25" fillId="0" borderId="0" xfId="50" applyNumberFormat="1" applyFont="1"/>
    <xf numFmtId="3" fontId="0" fillId="0" borderId="0" xfId="0" applyNumberFormat="1" applyAlignment="1">
      <alignment horizontal="center"/>
    </xf>
    <xf numFmtId="182" fontId="0" fillId="0" borderId="0" xfId="0" applyNumberFormat="1"/>
    <xf numFmtId="0" fontId="31" fillId="0" borderId="0" xfId="0" applyFont="1" applyAlignment="1">
      <alignment wrapText="1"/>
    </xf>
    <xf numFmtId="0" fontId="31" fillId="0" borderId="0" xfId="0" applyFont="1" applyAlignment="1">
      <alignment horizontal="center" wrapText="1"/>
    </xf>
    <xf numFmtId="0" fontId="14" fillId="0" borderId="0" xfId="1" applyFont="1" applyAlignment="1">
      <alignment horizontal="center"/>
    </xf>
    <xf numFmtId="43" fontId="18" fillId="0" borderId="0" xfId="0" applyNumberFormat="1" applyFont="1"/>
    <xf numFmtId="0" fontId="18" fillId="0" borderId="0" xfId="0" applyFont="1" applyAlignment="1">
      <alignment vertical="top" wrapText="1"/>
    </xf>
    <xf numFmtId="0" fontId="13" fillId="0" borderId="13" xfId="0" applyFont="1" applyBorder="1" applyAlignment="1">
      <alignment horizontal="center" wrapText="1"/>
    </xf>
    <xf numFmtId="0" fontId="13" fillId="0" borderId="14" xfId="0" applyFont="1" applyBorder="1" applyAlignment="1">
      <alignment horizontal="center" vertical="center" wrapText="1"/>
    </xf>
    <xf numFmtId="0" fontId="18" fillId="0" borderId="19" xfId="0" applyFont="1" applyBorder="1"/>
    <xf numFmtId="0" fontId="32" fillId="0" borderId="0" xfId="0" applyFont="1"/>
    <xf numFmtId="173" fontId="13" fillId="0" borderId="0" xfId="0" applyNumberFormat="1" applyFont="1" applyAlignment="1">
      <alignment horizontal="center"/>
    </xf>
    <xf numFmtId="173" fontId="13" fillId="0" borderId="19" xfId="0" applyNumberFormat="1" applyFont="1" applyBorder="1" applyAlignment="1">
      <alignment horizontal="center"/>
    </xf>
    <xf numFmtId="173" fontId="18" fillId="0" borderId="0" xfId="0" applyNumberFormat="1" applyFont="1"/>
    <xf numFmtId="0" fontId="32" fillId="0" borderId="0" xfId="0" applyFont="1" applyAlignment="1">
      <alignment horizontal="center"/>
    </xf>
    <xf numFmtId="0" fontId="32" fillId="0" borderId="33" xfId="0" applyFont="1" applyBorder="1" applyAlignment="1">
      <alignment horizontal="center"/>
    </xf>
    <xf numFmtId="0" fontId="32" fillId="0" borderId="19" xfId="0" applyFont="1" applyBorder="1" applyAlignment="1">
      <alignment horizontal="center"/>
    </xf>
    <xf numFmtId="0" fontId="13" fillId="0" borderId="16" xfId="0" applyFont="1" applyBorder="1" applyAlignment="1">
      <alignment horizontal="center"/>
    </xf>
    <xf numFmtId="0" fontId="13" fillId="0" borderId="36" xfId="0" applyFont="1" applyBorder="1" applyAlignment="1">
      <alignment horizontal="center"/>
    </xf>
    <xf numFmtId="0" fontId="18" fillId="0" borderId="14" xfId="0" applyFont="1" applyBorder="1" applyAlignment="1">
      <alignment horizontal="center" vertical="center" wrapText="1"/>
    </xf>
    <xf numFmtId="0" fontId="13" fillId="0" borderId="12" xfId="0" applyFont="1" applyBorder="1" applyAlignment="1">
      <alignment horizontal="center"/>
    </xf>
    <xf numFmtId="0" fontId="13" fillId="0" borderId="14" xfId="0" applyFont="1" applyBorder="1" applyAlignment="1">
      <alignment horizontal="center"/>
    </xf>
    <xf numFmtId="43" fontId="13" fillId="0" borderId="0" xfId="0" applyNumberFormat="1" applyFont="1"/>
    <xf numFmtId="178" fontId="18" fillId="0" borderId="0" xfId="0" applyNumberFormat="1" applyFont="1"/>
    <xf numFmtId="173" fontId="13" fillId="0" borderId="0" xfId="0" applyNumberFormat="1" applyFont="1"/>
    <xf numFmtId="43" fontId="13" fillId="0" borderId="0" xfId="0" applyNumberFormat="1" applyFont="1" applyAlignment="1">
      <alignment horizontal="center"/>
    </xf>
    <xf numFmtId="0" fontId="17" fillId="0" borderId="0" xfId="0" applyFont="1" applyAlignment="1">
      <alignment horizontal="center" vertical="center"/>
    </xf>
    <xf numFmtId="0" fontId="17" fillId="0" borderId="0" xfId="0" applyFont="1" applyAlignment="1">
      <alignment vertical="center"/>
    </xf>
    <xf numFmtId="0" fontId="17" fillId="0" borderId="0" xfId="0" applyFont="1"/>
    <xf numFmtId="44" fontId="13" fillId="0" borderId="0" xfId="0" applyNumberFormat="1" applyFont="1"/>
    <xf numFmtId="4" fontId="17" fillId="0" borderId="0" xfId="0" applyNumberFormat="1" applyFont="1" applyAlignment="1">
      <alignment horizontal="right" vertical="center"/>
    </xf>
    <xf numFmtId="0" fontId="13" fillId="0" borderId="34" xfId="0" applyFont="1" applyBorder="1"/>
    <xf numFmtId="0" fontId="13" fillId="0" borderId="9" xfId="0" applyFont="1" applyBorder="1"/>
    <xf numFmtId="0" fontId="18" fillId="0" borderId="20" xfId="0" applyFont="1" applyBorder="1"/>
    <xf numFmtId="0" fontId="13" fillId="0" borderId="34" xfId="0" applyFont="1" applyBorder="1" applyAlignment="1">
      <alignment horizontal="center" vertical="center" wrapText="1"/>
    </xf>
    <xf numFmtId="0" fontId="13" fillId="0" borderId="0" xfId="0" applyFont="1" applyAlignment="1">
      <alignment horizontal="right"/>
    </xf>
    <xf numFmtId="0" fontId="18" fillId="0" borderId="11" xfId="0" applyFont="1" applyBorder="1"/>
    <xf numFmtId="0" fontId="18" fillId="0" borderId="45" xfId="0" applyFont="1" applyBorder="1"/>
    <xf numFmtId="0" fontId="18" fillId="0" borderId="46" xfId="0" applyFont="1" applyBorder="1"/>
    <xf numFmtId="0" fontId="17" fillId="0" borderId="0" xfId="0" applyFont="1" applyAlignment="1">
      <alignment horizontal="right" vertical="center"/>
    </xf>
    <xf numFmtId="0" fontId="18" fillId="0" borderId="9" xfId="0" applyFont="1" applyBorder="1"/>
    <xf numFmtId="0" fontId="18" fillId="0" borderId="10" xfId="0" applyFont="1" applyBorder="1"/>
    <xf numFmtId="4" fontId="17" fillId="0" borderId="0" xfId="0" applyNumberFormat="1" applyFont="1" applyAlignment="1">
      <alignment horizontal="center" vertical="center"/>
    </xf>
    <xf numFmtId="0" fontId="18" fillId="0" borderId="8" xfId="0" applyFont="1" applyBorder="1" applyAlignment="1">
      <alignment horizontal="center" vertical="center"/>
    </xf>
    <xf numFmtId="0" fontId="16" fillId="0" borderId="0" xfId="0" applyFont="1"/>
    <xf numFmtId="0" fontId="15" fillId="0" borderId="0" xfId="1" applyFont="1" applyAlignment="1">
      <alignment horizontal="right" indent="1"/>
    </xf>
    <xf numFmtId="3" fontId="13" fillId="0" borderId="0" xfId="0" applyNumberFormat="1" applyFont="1" applyAlignment="1">
      <alignment horizontal="center"/>
    </xf>
    <xf numFmtId="38" fontId="13" fillId="0" borderId="0" xfId="0" applyNumberFormat="1" applyFont="1" applyAlignment="1">
      <alignment horizontal="center"/>
    </xf>
    <xf numFmtId="165" fontId="18" fillId="0" borderId="0" xfId="0" applyNumberFormat="1" applyFont="1"/>
    <xf numFmtId="184" fontId="18" fillId="0" borderId="0" xfId="0" applyNumberFormat="1" applyFont="1"/>
    <xf numFmtId="0" fontId="33" fillId="0" borderId="4" xfId="0" applyFont="1" applyBorder="1"/>
    <xf numFmtId="0" fontId="33" fillId="0" borderId="4" xfId="0" applyFont="1" applyBorder="1" applyAlignment="1">
      <alignment wrapText="1"/>
    </xf>
    <xf numFmtId="0" fontId="33" fillId="0" borderId="4" xfId="0" applyFont="1" applyBorder="1" applyAlignment="1">
      <alignment horizontal="left"/>
    </xf>
    <xf numFmtId="177" fontId="33" fillId="0" borderId="4" xfId="0" applyNumberFormat="1" applyFont="1" applyBorder="1"/>
    <xf numFmtId="177" fontId="13" fillId="0" borderId="4" xfId="0" applyNumberFormat="1" applyFont="1" applyBorder="1" applyAlignment="1">
      <alignment horizontal="right"/>
    </xf>
    <xf numFmtId="185" fontId="33" fillId="0" borderId="4" xfId="0" applyNumberFormat="1" applyFont="1" applyBorder="1"/>
    <xf numFmtId="0" fontId="33" fillId="0" borderId="23" xfId="0" applyFont="1" applyBorder="1"/>
    <xf numFmtId="177" fontId="33" fillId="0" borderId="1" xfId="0" applyNumberFormat="1" applyFont="1" applyBorder="1"/>
    <xf numFmtId="177" fontId="33" fillId="0" borderId="24" xfId="0" applyNumberFormat="1" applyFont="1" applyBorder="1"/>
    <xf numFmtId="177" fontId="33" fillId="0" borderId="4" xfId="0" applyNumberFormat="1" applyFont="1" applyBorder="1" applyAlignment="1">
      <alignment wrapText="1"/>
    </xf>
    <xf numFmtId="14" fontId="18" fillId="0" borderId="0" xfId="0" applyNumberFormat="1" applyFont="1"/>
    <xf numFmtId="9" fontId="17" fillId="0" borderId="0" xfId="42" applyFont="1" applyFill="1" applyAlignment="1">
      <alignment vertical="center"/>
    </xf>
    <xf numFmtId="185" fontId="33" fillId="0" borderId="4" xfId="0" applyNumberFormat="1" applyFont="1" applyBorder="1" applyAlignment="1">
      <alignment horizontal="right"/>
    </xf>
    <xf numFmtId="10" fontId="39" fillId="0" borderId="0" xfId="42" applyNumberFormat="1" applyFont="1" applyFill="1" applyAlignment="1">
      <alignment vertical="center"/>
    </xf>
    <xf numFmtId="185" fontId="18" fillId="0" borderId="0" xfId="0" applyNumberFormat="1" applyFont="1"/>
    <xf numFmtId="0" fontId="35" fillId="0" borderId="0" xfId="0" applyFont="1"/>
    <xf numFmtId="14" fontId="14" fillId="0" borderId="0" xfId="0" applyNumberFormat="1" applyFont="1" applyAlignment="1">
      <alignment horizontal="center" vertical="center"/>
    </xf>
    <xf numFmtId="2" fontId="13" fillId="0" borderId="0" xfId="0" applyNumberFormat="1" applyFont="1"/>
    <xf numFmtId="181" fontId="13" fillId="0" borderId="0" xfId="0" applyNumberFormat="1" applyFont="1"/>
    <xf numFmtId="166" fontId="18" fillId="0" borderId="0" xfId="0" applyNumberFormat="1" applyFont="1"/>
    <xf numFmtId="0" fontId="18" fillId="0" borderId="33" xfId="0" applyFont="1" applyBorder="1" applyAlignment="1">
      <alignment horizontal="center"/>
    </xf>
    <xf numFmtId="10" fontId="18" fillId="0" borderId="0" xfId="42" applyNumberFormat="1" applyFont="1" applyFill="1"/>
    <xf numFmtId="2" fontId="17" fillId="0" borderId="0" xfId="20" applyNumberFormat="1" applyFont="1"/>
    <xf numFmtId="0" fontId="17" fillId="0" borderId="4" xfId="20" applyFont="1" applyBorder="1" applyAlignment="1">
      <alignment horizontal="center"/>
    </xf>
    <xf numFmtId="165" fontId="17" fillId="0" borderId="0" xfId="42" applyNumberFormat="1" applyFont="1" applyFill="1" applyAlignment="1">
      <alignment horizontal="right" vertical="center"/>
    </xf>
    <xf numFmtId="10" fontId="17" fillId="0" borderId="0" xfId="42" applyNumberFormat="1" applyFont="1" applyFill="1"/>
    <xf numFmtId="43" fontId="17" fillId="0" borderId="0" xfId="0" applyNumberFormat="1" applyFont="1" applyAlignment="1">
      <alignment horizontal="center" vertical="center"/>
    </xf>
    <xf numFmtId="0" fontId="29" fillId="0" borderId="0" xfId="0" applyFont="1" applyAlignment="1">
      <alignment horizontal="center"/>
    </xf>
    <xf numFmtId="176" fontId="15" fillId="0" borderId="0" xfId="35" applyNumberFormat="1" applyFont="1" applyAlignment="1">
      <alignment horizontal="right"/>
    </xf>
    <xf numFmtId="181" fontId="13" fillId="0" borderId="0" xfId="0" applyNumberFormat="1" applyFont="1" applyAlignment="1">
      <alignment horizontal="center"/>
    </xf>
    <xf numFmtId="176" fontId="14" fillId="0" borderId="0" xfId="35" quotePrefix="1" applyNumberFormat="1" applyFont="1" applyAlignment="1">
      <alignment horizontal="right"/>
    </xf>
    <xf numFmtId="0" fontId="18" fillId="0" borderId="0" xfId="0" applyFont="1" applyAlignment="1">
      <alignment horizontal="center" vertical="top" wrapText="1"/>
    </xf>
    <xf numFmtId="0" fontId="18" fillId="0" borderId="23" xfId="0" applyFont="1" applyBorder="1"/>
    <xf numFmtId="0" fontId="18" fillId="0" borderId="4" xfId="0" applyFont="1" applyBorder="1" applyAlignment="1">
      <alignment horizontal="center"/>
    </xf>
    <xf numFmtId="0" fontId="18" fillId="0" borderId="1" xfId="0" applyFont="1" applyBorder="1" applyAlignment="1">
      <alignment horizontal="center"/>
    </xf>
    <xf numFmtId="1" fontId="18" fillId="0" borderId="0" xfId="0" applyNumberFormat="1" applyFont="1"/>
    <xf numFmtId="0" fontId="48" fillId="0" borderId="0" xfId="0" applyFont="1" applyAlignment="1">
      <alignment vertical="center"/>
    </xf>
    <xf numFmtId="0" fontId="18" fillId="0" borderId="16" xfId="0" applyFont="1" applyBorder="1"/>
    <xf numFmtId="0" fontId="18" fillId="0" borderId="13" xfId="0" applyFont="1" applyBorder="1"/>
    <xf numFmtId="1" fontId="18" fillId="0" borderId="13" xfId="0" applyNumberFormat="1" applyFont="1" applyBorder="1"/>
    <xf numFmtId="0" fontId="15" fillId="0" borderId="6" xfId="1" applyFont="1" applyBorder="1"/>
    <xf numFmtId="0" fontId="18" fillId="0" borderId="14" xfId="0" applyFont="1" applyBorder="1"/>
    <xf numFmtId="0" fontId="32" fillId="0" borderId="19" xfId="0" applyFont="1" applyBorder="1"/>
    <xf numFmtId="0" fontId="13" fillId="0" borderId="19" xfId="0" applyFont="1" applyBorder="1" applyAlignment="1">
      <alignment horizontal="center"/>
    </xf>
    <xf numFmtId="0" fontId="33" fillId="0" borderId="0" xfId="0" applyFont="1"/>
    <xf numFmtId="0" fontId="33" fillId="0" borderId="0" xfId="0" applyFont="1" applyAlignment="1">
      <alignment wrapText="1"/>
    </xf>
    <xf numFmtId="0" fontId="33" fillId="0" borderId="0" xfId="0" applyFont="1" applyAlignment="1">
      <alignment horizontal="left"/>
    </xf>
    <xf numFmtId="177" fontId="33" fillId="0" borderId="0" xfId="0" applyNumberFormat="1" applyFont="1"/>
    <xf numFmtId="177" fontId="13" fillId="0" borderId="0" xfId="0" applyNumberFormat="1" applyFont="1" applyAlignment="1">
      <alignment horizontal="right"/>
    </xf>
    <xf numFmtId="185" fontId="33" fillId="0" borderId="0" xfId="0" applyNumberFormat="1" applyFont="1"/>
    <xf numFmtId="2" fontId="13" fillId="0" borderId="0" xfId="0" applyNumberFormat="1" applyFont="1" applyAlignment="1">
      <alignment horizontal="right"/>
    </xf>
    <xf numFmtId="177" fontId="33" fillId="0" borderId="0" xfId="0" applyNumberFormat="1" applyFont="1" applyAlignment="1">
      <alignment wrapText="1"/>
    </xf>
    <xf numFmtId="185" fontId="33" fillId="0" borderId="0" xfId="0" applyNumberFormat="1" applyFont="1" applyAlignment="1">
      <alignment horizontal="right"/>
    </xf>
    <xf numFmtId="0" fontId="0" fillId="0" borderId="0" xfId="0" applyAlignment="1">
      <alignment wrapText="1"/>
    </xf>
    <xf numFmtId="0" fontId="0" fillId="0" borderId="0" xfId="0" applyAlignment="1">
      <alignment horizontal="left"/>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19" fillId="0" borderId="25" xfId="0" applyFont="1" applyBorder="1" applyAlignment="1">
      <alignment horizontal="center"/>
    </xf>
    <xf numFmtId="0" fontId="19" fillId="0" borderId="26" xfId="0" applyFont="1" applyBorder="1" applyAlignment="1">
      <alignment horizontal="center"/>
    </xf>
    <xf numFmtId="0" fontId="19" fillId="0" borderId="27" xfId="0" applyFont="1" applyBorder="1" applyAlignment="1">
      <alignment horizontal="center"/>
    </xf>
    <xf numFmtId="0" fontId="15" fillId="0" borderId="34" xfId="1" applyFont="1" applyBorder="1" applyAlignment="1">
      <alignment horizontal="right"/>
    </xf>
    <xf numFmtId="0" fontId="15" fillId="0" borderId="33" xfId="1" applyFont="1" applyBorder="1" applyAlignment="1">
      <alignment horizontal="right"/>
    </xf>
    <xf numFmtId="0" fontId="15" fillId="0" borderId="17" xfId="1" applyFont="1" applyBorder="1" applyAlignment="1">
      <alignment horizontal="right"/>
    </xf>
    <xf numFmtId="0" fontId="15" fillId="0" borderId="18" xfId="1" applyFont="1" applyBorder="1" applyAlignment="1">
      <alignment horizontal="right"/>
    </xf>
    <xf numFmtId="0" fontId="14" fillId="0" borderId="25" xfId="1" applyFont="1" applyBorder="1" applyAlignment="1">
      <alignment horizontal="center"/>
    </xf>
    <xf numFmtId="0" fontId="14" fillId="0" borderId="26" xfId="1" applyFont="1" applyBorder="1" applyAlignment="1">
      <alignment horizontal="center"/>
    </xf>
    <xf numFmtId="0" fontId="14" fillId="0" borderId="27" xfId="1" applyFont="1" applyBorder="1" applyAlignment="1">
      <alignment horizontal="center"/>
    </xf>
    <xf numFmtId="0" fontId="14" fillId="0" borderId="9" xfId="1" applyFont="1" applyBorder="1" applyAlignment="1">
      <alignment horizontal="center"/>
    </xf>
    <xf numFmtId="0" fontId="14" fillId="0" borderId="10" xfId="1" applyFont="1" applyBorder="1" applyAlignment="1">
      <alignment horizontal="center"/>
    </xf>
    <xf numFmtId="0" fontId="14" fillId="0" borderId="20" xfId="1" applyFont="1" applyBorder="1" applyAlignment="1">
      <alignment horizontal="center"/>
    </xf>
    <xf numFmtId="0" fontId="15" fillId="0" borderId="22" xfId="1" applyFont="1" applyBorder="1" applyAlignment="1">
      <alignment horizontal="right"/>
    </xf>
    <xf numFmtId="0" fontId="15" fillId="0" borderId="4" xfId="1" applyFont="1" applyBorder="1" applyAlignment="1">
      <alignment horizontal="right"/>
    </xf>
    <xf numFmtId="0" fontId="15" fillId="0" borderId="35" xfId="1" applyFont="1" applyBorder="1" applyAlignment="1">
      <alignment horizontal="center"/>
    </xf>
    <xf numFmtId="0" fontId="15" fillId="0" borderId="24" xfId="1" applyFont="1" applyBorder="1" applyAlignment="1">
      <alignment horizontal="center"/>
    </xf>
    <xf numFmtId="0" fontId="15" fillId="0" borderId="21" xfId="1" applyFont="1" applyBorder="1" applyAlignment="1">
      <alignment horizontal="right"/>
    </xf>
    <xf numFmtId="0" fontId="15" fillId="0" borderId="14" xfId="1" applyFont="1" applyBorder="1" applyAlignment="1">
      <alignment horizontal="right"/>
    </xf>
    <xf numFmtId="0" fontId="0" fillId="0" borderId="1" xfId="0" applyBorder="1" applyAlignment="1">
      <alignment horizontal="center" vertical="center" wrapText="1"/>
    </xf>
    <xf numFmtId="0" fontId="0" fillId="0" borderId="24" xfId="0" applyBorder="1" applyAlignment="1">
      <alignment horizontal="center" vertical="center" wrapText="1"/>
    </xf>
    <xf numFmtId="0" fontId="2" fillId="0" borderId="1" xfId="0" applyFont="1" applyBorder="1" applyAlignment="1">
      <alignment horizontal="center" vertical="center"/>
    </xf>
    <xf numFmtId="0" fontId="0" fillId="0" borderId="1" xfId="0" applyBorder="1" applyAlignment="1">
      <alignment horizontal="center" wrapText="1"/>
    </xf>
    <xf numFmtId="0" fontId="18" fillId="0" borderId="41" xfId="0" applyFont="1" applyBorder="1" applyAlignment="1">
      <alignment horizontal="center"/>
    </xf>
    <xf numFmtId="0" fontId="18" fillId="0" borderId="42" xfId="0" applyFont="1" applyBorder="1" applyAlignment="1">
      <alignment horizontal="center"/>
    </xf>
    <xf numFmtId="0" fontId="18" fillId="0" borderId="43" xfId="0" applyFont="1" applyBorder="1" applyAlignment="1">
      <alignment horizontal="center"/>
    </xf>
    <xf numFmtId="0" fontId="17" fillId="0" borderId="0" xfId="0" applyFont="1" applyAlignment="1">
      <alignment vertical="center"/>
    </xf>
    <xf numFmtId="0" fontId="13" fillId="0" borderId="6" xfId="0" applyFont="1" applyBorder="1" applyAlignment="1">
      <alignment horizontal="center"/>
    </xf>
    <xf numFmtId="0" fontId="13" fillId="0" borderId="0" xfId="0" applyFont="1" applyAlignment="1">
      <alignment horizontal="center"/>
    </xf>
    <xf numFmtId="0" fontId="13" fillId="0" borderId="23" xfId="0" applyFont="1" applyBorder="1" applyAlignment="1">
      <alignment horizontal="center"/>
    </xf>
    <xf numFmtId="0" fontId="13" fillId="0" borderId="1" xfId="0" applyFont="1" applyBorder="1" applyAlignment="1">
      <alignment horizontal="center"/>
    </xf>
    <xf numFmtId="0" fontId="13" fillId="0" borderId="24" xfId="0" applyFont="1" applyBorder="1" applyAlignment="1">
      <alignment horizontal="center"/>
    </xf>
    <xf numFmtId="0" fontId="14" fillId="0" borderId="0" xfId="1" applyFont="1" applyAlignment="1">
      <alignment horizontal="center"/>
    </xf>
    <xf numFmtId="0" fontId="13" fillId="0" borderId="6" xfId="0" applyFont="1" applyBorder="1" applyAlignment="1">
      <alignment horizontal="center" wrapText="1"/>
    </xf>
    <xf numFmtId="0" fontId="13" fillId="0" borderId="16" xfId="0" applyFont="1" applyBorder="1" applyAlignment="1">
      <alignment horizontal="center"/>
    </xf>
    <xf numFmtId="0" fontId="13" fillId="0" borderId="36" xfId="0" applyFont="1" applyBorder="1" applyAlignment="1">
      <alignment horizontal="center"/>
    </xf>
    <xf numFmtId="0" fontId="32" fillId="0" borderId="0" xfId="0" applyFont="1" applyAlignment="1">
      <alignment horizontal="center"/>
    </xf>
    <xf numFmtId="0" fontId="32" fillId="0" borderId="33" xfId="0" applyFont="1" applyBorder="1" applyAlignment="1">
      <alignment horizontal="center"/>
    </xf>
    <xf numFmtId="0" fontId="18" fillId="0" borderId="23" xfId="0" applyFont="1" applyBorder="1" applyAlignment="1">
      <alignment horizontal="center"/>
    </xf>
    <xf numFmtId="0" fontId="18" fillId="0" borderId="24" xfId="0" applyFont="1" applyBorder="1" applyAlignment="1">
      <alignment horizontal="center"/>
    </xf>
    <xf numFmtId="0" fontId="18" fillId="0" borderId="0" xfId="0" applyFont="1" applyAlignment="1">
      <alignment horizontal="center"/>
    </xf>
    <xf numFmtId="14" fontId="18" fillId="0" borderId="0" xfId="6" quotePrefix="1" applyNumberFormat="1" applyFont="1" applyFill="1" applyBorder="1" applyAlignment="1">
      <alignment horizontal="center"/>
    </xf>
    <xf numFmtId="14" fontId="18" fillId="0" borderId="0" xfId="6" applyNumberFormat="1" applyFont="1" applyFill="1" applyBorder="1" applyAlignment="1">
      <alignment horizontal="center"/>
    </xf>
    <xf numFmtId="17" fontId="18" fillId="0" borderId="0" xfId="6" applyNumberFormat="1" applyFont="1" applyFill="1" applyBorder="1" applyAlignment="1">
      <alignment horizontal="center"/>
    </xf>
    <xf numFmtId="17" fontId="18" fillId="0" borderId="0" xfId="6" quotePrefix="1" applyNumberFormat="1" applyFont="1" applyFill="1" applyBorder="1" applyAlignment="1">
      <alignment horizontal="center"/>
    </xf>
    <xf numFmtId="0" fontId="14" fillId="0" borderId="0" xfId="1" applyFont="1" applyAlignment="1">
      <alignment horizontal="right"/>
    </xf>
    <xf numFmtId="0" fontId="29" fillId="0" borderId="6" xfId="0" applyFont="1" applyBorder="1" applyAlignment="1">
      <alignment horizontal="center"/>
    </xf>
    <xf numFmtId="0" fontId="18" fillId="0" borderId="23" xfId="0" applyFont="1" applyBorder="1" applyAlignment="1">
      <alignment horizontal="center" vertical="top" wrapText="1"/>
    </xf>
    <xf numFmtId="0" fontId="18" fillId="0" borderId="1" xfId="0" applyFont="1" applyBorder="1" applyAlignment="1">
      <alignment horizontal="center" vertical="top" wrapText="1"/>
    </xf>
    <xf numFmtId="0" fontId="18" fillId="0" borderId="24" xfId="0" applyFont="1" applyBorder="1" applyAlignment="1">
      <alignment horizontal="center" vertical="top" wrapText="1"/>
    </xf>
    <xf numFmtId="0" fontId="18" fillId="0" borderId="0" xfId="0" applyFont="1" applyAlignment="1">
      <alignment horizontal="center" wrapText="1"/>
    </xf>
    <xf numFmtId="0" fontId="18" fillId="0" borderId="6" xfId="0" applyFont="1" applyBorder="1" applyAlignment="1">
      <alignment horizontal="center" wrapText="1"/>
    </xf>
    <xf numFmtId="0" fontId="31" fillId="0" borderId="0" xfId="0" applyFont="1" applyAlignment="1">
      <alignment horizontal="center" wrapText="1"/>
    </xf>
    <xf numFmtId="0" fontId="32" fillId="0" borderId="19" xfId="0" applyFont="1" applyBorder="1" applyAlignment="1">
      <alignment horizontal="center"/>
    </xf>
    <xf numFmtId="0" fontId="16" fillId="0" borderId="0" xfId="0" applyFont="1" applyAlignment="1">
      <alignment horizontal="center"/>
    </xf>
    <xf numFmtId="0" fontId="18" fillId="0" borderId="16" xfId="0" applyFont="1" applyBorder="1" applyAlignment="1">
      <alignment horizontal="center"/>
    </xf>
    <xf numFmtId="0" fontId="18" fillId="0" borderId="6" xfId="0" applyFont="1" applyBorder="1" applyAlignment="1">
      <alignment horizontal="center"/>
    </xf>
    <xf numFmtId="14" fontId="18" fillId="0" borderId="0" xfId="6" quotePrefix="1" applyNumberFormat="1" applyFont="1" applyBorder="1" applyAlignment="1">
      <alignment horizontal="center"/>
    </xf>
    <xf numFmtId="14" fontId="18" fillId="0" borderId="0" xfId="6" applyNumberFormat="1" applyFont="1" applyBorder="1" applyAlignment="1">
      <alignment horizontal="center"/>
    </xf>
    <xf numFmtId="17" fontId="18" fillId="0" borderId="0" xfId="6" applyNumberFormat="1" applyFont="1" applyBorder="1" applyAlignment="1">
      <alignment horizontal="center"/>
    </xf>
    <xf numFmtId="0" fontId="18" fillId="0" borderId="19" xfId="0" applyFont="1" applyBorder="1" applyAlignment="1">
      <alignment horizontal="center"/>
    </xf>
  </cellXfs>
  <cellStyles count="72">
    <cellStyle name="_x0010_“+ˆÉ•?pý¤" xfId="45" xr:uid="{3CA24BFE-8744-44B4-B3AB-9914BE27DBE7}"/>
    <cellStyle name="Actual Date" xfId="2" xr:uid="{90A20703-E73F-4FFB-9D41-11B9B8598C31}"/>
    <cellStyle name="Actual Date 2" xfId="46" xr:uid="{8B54FD47-1587-4DF3-8EC0-225DFC898EBB}"/>
    <cellStyle name="Actual Date 2 2" xfId="61" xr:uid="{9100D181-04F7-4941-A53D-EC8C1FE94461}"/>
    <cellStyle name="Comma" xfId="37" builtinId="3"/>
    <cellStyle name="Comma [0] 2" xfId="55" xr:uid="{14BD00BB-66FD-4A67-B3E1-4CDB04DACA75}"/>
    <cellStyle name="Comma 2" xfId="3" xr:uid="{A463B59C-A829-4CA9-983F-290777244053}"/>
    <cellStyle name="Comma 3" xfId="54" xr:uid="{BFE2B9D9-3F56-4C52-9C36-6EAB17513E10}"/>
    <cellStyle name="Comma 31 2" xfId="39" xr:uid="{6112A572-923D-4AF2-B44E-C0DB9129578D}"/>
    <cellStyle name="Comma 4" xfId="68" xr:uid="{9DBA38FC-6A3F-4633-8763-D8B065E46EA1}"/>
    <cellStyle name="Comma0" xfId="4" xr:uid="{BFA70494-24E7-4EB4-8245-3E92DE30AB79}"/>
    <cellStyle name="Currency" xfId="38" builtinId="4"/>
    <cellStyle name="Currency [0] 2" xfId="53" xr:uid="{75531AD8-D9C9-4CB3-B082-07DF819F296C}"/>
    <cellStyle name="Currency 2" xfId="6" xr:uid="{C853109E-BA78-4949-AE6E-97FBB2C947A2}"/>
    <cellStyle name="Currency 3" xfId="5" xr:uid="{71193358-ACE2-4128-B76E-A894406DE180}"/>
    <cellStyle name="Currency 4" xfId="52" xr:uid="{CA888CE8-D8D4-4285-88EB-D159A8E34AD8}"/>
    <cellStyle name="Currency0" xfId="7" xr:uid="{11C847DE-D199-4798-B8A6-6DF371C1596F}"/>
    <cellStyle name="Date" xfId="8" xr:uid="{55B42165-9C35-400C-8039-99C32BF8F8D1}"/>
    <cellStyle name="Date 2" xfId="47" xr:uid="{705DB756-1DE4-495A-A47C-D772E3890C88}"/>
    <cellStyle name="Fixed" xfId="9" xr:uid="{73C8C8B8-EF3A-48A3-A48A-A4A6A3CEB441}"/>
    <cellStyle name="Fixed 2" xfId="48" xr:uid="{118364D4-5E2D-4D5D-B1A1-DEAB425B5C4B}"/>
    <cellStyle name="Grey" xfId="10" xr:uid="{B049FF98-EED1-44B0-B326-4132EA93C5E2}"/>
    <cellStyle name="Grey 2" xfId="56" xr:uid="{B3F6CBA1-3199-4D6A-9F83-3DA73A6AD9D5}"/>
    <cellStyle name="HEADER" xfId="11" xr:uid="{EADF02B1-8108-4E0E-9DB6-F65EA011F410}"/>
    <cellStyle name="Heading 1 2" xfId="12" xr:uid="{C958FC72-ADC5-4A1B-8837-26CC92340585}"/>
    <cellStyle name="Heading 2 2" xfId="13" xr:uid="{6C11C16C-14DA-433C-B90A-019D9D58FAA5}"/>
    <cellStyle name="Heading1" xfId="14" xr:uid="{D5CB65F7-622F-48D9-BDFE-EA5710CB06E5}"/>
    <cellStyle name="Heading2" xfId="15" xr:uid="{B6C120CA-23B0-46B6-A206-F21EFD627A0E}"/>
    <cellStyle name="HIGHLIGHT" xfId="16" xr:uid="{0FA977AC-6A13-4F7D-B4C6-304F02BAB7E6}"/>
    <cellStyle name="Hyperlink 3" xfId="65" xr:uid="{7334888F-32E8-4EC7-9870-5C6D3E5E2931}"/>
    <cellStyle name="Hyperlink 3 2" xfId="69" xr:uid="{EAADDAAA-06D4-4459-A79F-5CD06524D90C}"/>
    <cellStyle name="Input [yellow]" xfId="17" xr:uid="{483402D1-6D66-4584-B91A-9EFB4E29CD72}"/>
    <cellStyle name="Input [yellow] 2" xfId="57" xr:uid="{F6391689-45AD-4603-B4A2-BE04D24BFF33}"/>
    <cellStyle name="no dec" xfId="18" xr:uid="{1FFD3759-CFEB-431B-95E2-F9D56114D76C}"/>
    <cellStyle name="Normal" xfId="0" builtinId="0"/>
    <cellStyle name="Normal - Style1" xfId="19" xr:uid="{09AAD6A7-C83A-4809-BC97-D6D075635A0F}"/>
    <cellStyle name="Normal - Style1 2" xfId="58" xr:uid="{64A8C5CE-422C-4E11-B581-47D0D9CBD826}"/>
    <cellStyle name="Normal 10" xfId="36" xr:uid="{11F0179F-876F-4C81-8782-FEAE6EA9A44F}"/>
    <cellStyle name="Normal 19" xfId="40" xr:uid="{2E801201-3018-4BBB-869B-19B0A8909CC2}"/>
    <cellStyle name="Normal 2" xfId="1" xr:uid="{FCF77B81-9A51-4CFC-8630-2394A24C8B4C}"/>
    <cellStyle name="Normal 2 10 10" xfId="50" xr:uid="{D8DFC543-B40C-47A0-8B13-A1C50AA28EB7}"/>
    <cellStyle name="Normal 2 2" xfId="20" xr:uid="{768976F9-6BF3-4C64-A7A2-0699BE302438}"/>
    <cellStyle name="Normal 2 2 2" xfId="64" xr:uid="{6AF58E63-A491-46BE-8739-ACB57E62413E}"/>
    <cellStyle name="Normal 2 2 3" xfId="43" xr:uid="{3CB2400E-38D8-4483-A909-E1123E13C796}"/>
    <cellStyle name="Normal 2 3" xfId="41" xr:uid="{2753EB9B-3133-43A7-96E7-092AD5ED8E76}"/>
    <cellStyle name="Normal 2 4" xfId="63" xr:uid="{65AF1E43-D5BA-47A0-BE92-C6A1BD01AB8A}"/>
    <cellStyle name="Normal 2 98" xfId="71" xr:uid="{C6C74EA9-BCE8-40FE-AD6C-B61AA0A7E65A}"/>
    <cellStyle name="Normal 208 5 8" xfId="66" xr:uid="{9411A5BD-0CDA-4193-BB4B-78D23B29F3A4}"/>
    <cellStyle name="Normal 208 5 8 5" xfId="70" xr:uid="{8DC4EAB7-67BE-42E7-A01F-C442AFF4FE5A}"/>
    <cellStyle name="Normal 3" xfId="21" xr:uid="{1BE115B0-68EE-409A-BE42-7964F3B2186B}"/>
    <cellStyle name="Normal 3 2" xfId="31" xr:uid="{EBD24680-6BB0-4648-B6FB-486BE3B05DA3}"/>
    <cellStyle name="Normal 4" xfId="44" xr:uid="{634F72B5-28C2-4C26-B0A6-C773368C20CB}"/>
    <cellStyle name="Normal 4 2" xfId="60" xr:uid="{9F140B47-14B4-4127-89FE-5D6D6DEC1284}"/>
    <cellStyle name="Normal 5" xfId="49" xr:uid="{B9FA5BE0-F9D1-46D0-A460-7CCC21D37848}"/>
    <cellStyle name="Normal 5 2" xfId="62" xr:uid="{7725BE2F-AB27-47EF-9049-028FDF3881C1}"/>
    <cellStyle name="Normal 6" xfId="67" xr:uid="{10F54CEA-1A14-4C9C-9288-5EF940D33227}"/>
    <cellStyle name="Normal 9" xfId="32" xr:uid="{74F7FB52-B68E-44BF-B225-318676247797}"/>
    <cellStyle name="Normal_Effective Rates (1-6-2003)" xfId="34" xr:uid="{3D00D5F4-4B1C-487C-836C-2BE4F61F1BB5}"/>
    <cellStyle name="Normal_SDGE Tiered ratesmud" xfId="35" xr:uid="{7B4B6413-67CE-4430-9793-D246893E09B2}"/>
    <cellStyle name="Percent" xfId="42" builtinId="5"/>
    <cellStyle name="Percent [2]" xfId="23" xr:uid="{E59307F2-F086-4441-9673-C73345619B92}"/>
    <cellStyle name="Percent 2" xfId="24" xr:uid="{53FD8FB0-DE16-440B-8091-1A5F721D0797}"/>
    <cellStyle name="Percent 3" xfId="25" xr:uid="{FD09ACED-468E-42F6-A1AA-5A76707CDC8A}"/>
    <cellStyle name="Percent 4" xfId="33" xr:uid="{75FC7505-8CA7-4DC6-AF7E-0A549648BDAB}"/>
    <cellStyle name="Percent 5" xfId="22" xr:uid="{FDA81B20-6FA8-49F6-A9CF-1116F234E27E}"/>
    <cellStyle name="Percent 6" xfId="51" xr:uid="{F5A77671-4D5D-42B4-B1A5-EF29B1E96894}"/>
    <cellStyle name="Total 2" xfId="26" xr:uid="{B7044CB5-68EF-42DF-AE5D-9CDC42788CD9}"/>
    <cellStyle name="Unprot" xfId="27" xr:uid="{C5877B4C-C00B-4575-97C3-8AFFB3689A95}"/>
    <cellStyle name="Unprot 2" xfId="59" xr:uid="{16E064EE-0974-4455-9829-AC496E4A9743}"/>
    <cellStyle name="Unprot$" xfId="28" xr:uid="{67D3E91F-4980-4407-9928-2E00A0F61904}"/>
    <cellStyle name="Unprot_07-2008 CSI Update v1.5 - FINAL" xfId="29" xr:uid="{12952277-79F8-44C2-A6A3-D712ABB4C91F}"/>
    <cellStyle name="Unprotect" xfId="30" xr:uid="{B510A288-A05D-40A2-AD64-2906F1437A0A}"/>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A7ED7"/>
      <color rgb="FFAE27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xdr:col>
      <xdr:colOff>2809875</xdr:colOff>
      <xdr:row>27</xdr:row>
      <xdr:rowOff>0</xdr:rowOff>
    </xdr:from>
    <xdr:ext cx="184731" cy="264560"/>
    <xdr:sp macro="" textlink="">
      <xdr:nvSpPr>
        <xdr:cNvPr id="2" name="TextBox 1">
          <a:extLst>
            <a:ext uri="{FF2B5EF4-FFF2-40B4-BE49-F238E27FC236}">
              <a16:creationId xmlns:a16="http://schemas.microsoft.com/office/drawing/2014/main" id="{8EEB0705-0831-5161-9639-54E3EDB23EF8}"/>
            </a:ext>
          </a:extLst>
        </xdr:cNvPr>
        <xdr:cNvSpPr txBox="1"/>
      </xdr:nvSpPr>
      <xdr:spPr>
        <a:xfrm>
          <a:off x="4714875" y="1515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542925</xdr:colOff>
      <xdr:row>42</xdr:row>
      <xdr:rowOff>0</xdr:rowOff>
    </xdr:from>
    <xdr:to>
      <xdr:col>14</xdr:col>
      <xdr:colOff>400050</xdr:colOff>
      <xdr:row>55</xdr:row>
      <xdr:rowOff>180975</xdr:rowOff>
    </xdr:to>
    <xdr:sp macro="" textlink="">
      <xdr:nvSpPr>
        <xdr:cNvPr id="12" name="Rectangle 11">
          <a:extLst>
            <a:ext uri="{FF2B5EF4-FFF2-40B4-BE49-F238E27FC236}">
              <a16:creationId xmlns:a16="http://schemas.microsoft.com/office/drawing/2014/main" id="{221DB677-99FF-451A-BC21-29D58F6BE4D5}"/>
            </a:ext>
          </a:extLst>
        </xdr:cNvPr>
        <xdr:cNvSpPr/>
      </xdr:nvSpPr>
      <xdr:spPr>
        <a:xfrm>
          <a:off x="542925" y="8077200"/>
          <a:ext cx="9172575" cy="26574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19049</xdr:colOff>
      <xdr:row>87</xdr:row>
      <xdr:rowOff>9525</xdr:rowOff>
    </xdr:from>
    <xdr:to>
      <xdr:col>11</xdr:col>
      <xdr:colOff>85724</xdr:colOff>
      <xdr:row>103</xdr:row>
      <xdr:rowOff>19050</xdr:rowOff>
    </xdr:to>
    <xdr:sp macro="" textlink="">
      <xdr:nvSpPr>
        <xdr:cNvPr id="26" name="Rectangle 25">
          <a:extLst>
            <a:ext uri="{FF2B5EF4-FFF2-40B4-BE49-F238E27FC236}">
              <a16:creationId xmlns:a16="http://schemas.microsoft.com/office/drawing/2014/main" id="{7FFA8AA2-8309-5707-5E03-6D3BB28C5FDF}"/>
            </a:ext>
          </a:extLst>
        </xdr:cNvPr>
        <xdr:cNvSpPr/>
      </xdr:nvSpPr>
      <xdr:spPr>
        <a:xfrm>
          <a:off x="1238249" y="9686925"/>
          <a:ext cx="6334125" cy="30575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552449</xdr:colOff>
      <xdr:row>18</xdr:row>
      <xdr:rowOff>171451</xdr:rowOff>
    </xdr:from>
    <xdr:to>
      <xdr:col>13</xdr:col>
      <xdr:colOff>295274</xdr:colOff>
      <xdr:row>40</xdr:row>
      <xdr:rowOff>38100</xdr:rowOff>
    </xdr:to>
    <xdr:sp macro="" textlink="">
      <xdr:nvSpPr>
        <xdr:cNvPr id="25" name="Rectangle 24">
          <a:extLst>
            <a:ext uri="{FF2B5EF4-FFF2-40B4-BE49-F238E27FC236}">
              <a16:creationId xmlns:a16="http://schemas.microsoft.com/office/drawing/2014/main" id="{49D6C74C-6350-D759-D85D-8C44E74678EB}"/>
            </a:ext>
          </a:extLst>
        </xdr:cNvPr>
        <xdr:cNvSpPr/>
      </xdr:nvSpPr>
      <xdr:spPr>
        <a:xfrm>
          <a:off x="552449" y="3676651"/>
          <a:ext cx="8448675" cy="405764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9525</xdr:colOff>
      <xdr:row>19</xdr:row>
      <xdr:rowOff>47625</xdr:rowOff>
    </xdr:from>
    <xdr:to>
      <xdr:col>13</xdr:col>
      <xdr:colOff>225425</xdr:colOff>
      <xdr:row>39</xdr:row>
      <xdr:rowOff>152400</xdr:rowOff>
    </xdr:to>
    <xdr:pic>
      <xdr:nvPicPr>
        <xdr:cNvPr id="9" name="Picture 8">
          <a:extLst>
            <a:ext uri="{FF2B5EF4-FFF2-40B4-BE49-F238E27FC236}">
              <a16:creationId xmlns:a16="http://schemas.microsoft.com/office/drawing/2014/main" id="{0F78A18A-524F-7742-349E-2A4A09180FDC}"/>
            </a:ext>
          </a:extLst>
        </xdr:cNvPr>
        <xdr:cNvPicPr>
          <a:picLocks noChangeAspect="1"/>
        </xdr:cNvPicPr>
      </xdr:nvPicPr>
      <xdr:blipFill>
        <a:blip xmlns:r="http://schemas.openxmlformats.org/officeDocument/2006/relationships" r:embed="rId1"/>
        <a:stretch>
          <a:fillRect/>
        </a:stretch>
      </xdr:blipFill>
      <xdr:spPr>
        <a:xfrm>
          <a:off x="619125" y="3743325"/>
          <a:ext cx="8312150" cy="3914775"/>
        </a:xfrm>
        <a:prstGeom prst="rect">
          <a:avLst/>
        </a:prstGeom>
      </xdr:spPr>
    </xdr:pic>
    <xdr:clientData/>
  </xdr:twoCellAnchor>
  <xdr:twoCellAnchor>
    <xdr:from>
      <xdr:col>6</xdr:col>
      <xdr:colOff>571500</xdr:colOff>
      <xdr:row>19</xdr:row>
      <xdr:rowOff>28575</xdr:rowOff>
    </xdr:from>
    <xdr:to>
      <xdr:col>6</xdr:col>
      <xdr:colOff>762000</xdr:colOff>
      <xdr:row>21</xdr:row>
      <xdr:rowOff>123825</xdr:rowOff>
    </xdr:to>
    <xdr:cxnSp macro="">
      <xdr:nvCxnSpPr>
        <xdr:cNvPr id="11" name="Straight Arrow Connector 10">
          <a:extLst>
            <a:ext uri="{FF2B5EF4-FFF2-40B4-BE49-F238E27FC236}">
              <a16:creationId xmlns:a16="http://schemas.microsoft.com/office/drawing/2014/main" id="{470BE8B6-B8B6-8C32-75E1-13075E2F7B9D}"/>
            </a:ext>
          </a:extLst>
        </xdr:cNvPr>
        <xdr:cNvCxnSpPr/>
      </xdr:nvCxnSpPr>
      <xdr:spPr>
        <a:xfrm flipH="1">
          <a:off x="4229100" y="3552825"/>
          <a:ext cx="190500" cy="4572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863600</xdr:colOff>
      <xdr:row>19</xdr:row>
      <xdr:rowOff>38100</xdr:rowOff>
    </xdr:from>
    <xdr:to>
      <xdr:col>7</xdr:col>
      <xdr:colOff>463550</xdr:colOff>
      <xdr:row>23</xdr:row>
      <xdr:rowOff>6350</xdr:rowOff>
    </xdr:to>
    <xdr:cxnSp macro="">
      <xdr:nvCxnSpPr>
        <xdr:cNvPr id="13" name="Straight Arrow Connector 12">
          <a:extLst>
            <a:ext uri="{FF2B5EF4-FFF2-40B4-BE49-F238E27FC236}">
              <a16:creationId xmlns:a16="http://schemas.microsoft.com/office/drawing/2014/main" id="{5EE528ED-4B5B-1B3D-5FB0-E381CBDBDF05}"/>
            </a:ext>
          </a:extLst>
        </xdr:cNvPr>
        <xdr:cNvCxnSpPr/>
      </xdr:nvCxnSpPr>
      <xdr:spPr>
        <a:xfrm flipH="1">
          <a:off x="4524375" y="3562350"/>
          <a:ext cx="561975" cy="6953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34925</xdr:colOff>
      <xdr:row>19</xdr:row>
      <xdr:rowOff>47625</xdr:rowOff>
    </xdr:from>
    <xdr:to>
      <xdr:col>8</xdr:col>
      <xdr:colOff>352425</xdr:colOff>
      <xdr:row>24</xdr:row>
      <xdr:rowOff>187325</xdr:rowOff>
    </xdr:to>
    <xdr:cxnSp macro="">
      <xdr:nvCxnSpPr>
        <xdr:cNvPr id="15" name="Straight Arrow Connector 14">
          <a:extLst>
            <a:ext uri="{FF2B5EF4-FFF2-40B4-BE49-F238E27FC236}">
              <a16:creationId xmlns:a16="http://schemas.microsoft.com/office/drawing/2014/main" id="{607BBE2D-7BC0-337E-790E-BBAA1009DAE7}"/>
            </a:ext>
          </a:extLst>
        </xdr:cNvPr>
        <xdr:cNvCxnSpPr/>
      </xdr:nvCxnSpPr>
      <xdr:spPr>
        <a:xfrm flipH="1">
          <a:off x="4616450" y="3552825"/>
          <a:ext cx="1250950" cy="10922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577850</xdr:colOff>
      <xdr:row>21</xdr:row>
      <xdr:rowOff>123825</xdr:rowOff>
    </xdr:from>
    <xdr:to>
      <xdr:col>14</xdr:col>
      <xdr:colOff>133350</xdr:colOff>
      <xdr:row>22</xdr:row>
      <xdr:rowOff>66675</xdr:rowOff>
    </xdr:to>
    <xdr:cxnSp macro="">
      <xdr:nvCxnSpPr>
        <xdr:cNvPr id="16" name="Straight Arrow Connector 15">
          <a:extLst>
            <a:ext uri="{FF2B5EF4-FFF2-40B4-BE49-F238E27FC236}">
              <a16:creationId xmlns:a16="http://schemas.microsoft.com/office/drawing/2014/main" id="{E8F0DFCF-FFD7-4132-BA57-0608850196E4}"/>
            </a:ext>
          </a:extLst>
        </xdr:cNvPr>
        <xdr:cNvCxnSpPr/>
      </xdr:nvCxnSpPr>
      <xdr:spPr>
        <a:xfrm flipH="1">
          <a:off x="8674100" y="4010025"/>
          <a:ext cx="774700" cy="1333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22</xdr:row>
      <xdr:rowOff>133350</xdr:rowOff>
    </xdr:from>
    <xdr:to>
      <xdr:col>14</xdr:col>
      <xdr:colOff>139700</xdr:colOff>
      <xdr:row>23</xdr:row>
      <xdr:rowOff>28575</xdr:rowOff>
    </xdr:to>
    <xdr:cxnSp macro="">
      <xdr:nvCxnSpPr>
        <xdr:cNvPr id="19" name="Straight Arrow Connector 18">
          <a:extLst>
            <a:ext uri="{FF2B5EF4-FFF2-40B4-BE49-F238E27FC236}">
              <a16:creationId xmlns:a16="http://schemas.microsoft.com/office/drawing/2014/main" id="{B5FF9E9D-594B-49C9-84FE-A0DC18875C1C}"/>
            </a:ext>
          </a:extLst>
        </xdr:cNvPr>
        <xdr:cNvCxnSpPr/>
      </xdr:nvCxnSpPr>
      <xdr:spPr>
        <a:xfrm flipH="1">
          <a:off x="8705850" y="4210050"/>
          <a:ext cx="749300" cy="857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63500</xdr:colOff>
      <xdr:row>87</xdr:row>
      <xdr:rowOff>57150</xdr:rowOff>
    </xdr:from>
    <xdr:to>
      <xdr:col>11</xdr:col>
      <xdr:colOff>54866</xdr:colOff>
      <xdr:row>102</xdr:row>
      <xdr:rowOff>152792</xdr:rowOff>
    </xdr:to>
    <xdr:pic>
      <xdr:nvPicPr>
        <xdr:cNvPr id="22" name="Picture 21">
          <a:extLst>
            <a:ext uri="{FF2B5EF4-FFF2-40B4-BE49-F238E27FC236}">
              <a16:creationId xmlns:a16="http://schemas.microsoft.com/office/drawing/2014/main" id="{401F06CA-CAFE-0895-9EDF-EB9E0479766F}"/>
            </a:ext>
          </a:extLst>
        </xdr:cNvPr>
        <xdr:cNvPicPr>
          <a:picLocks noChangeAspect="1"/>
        </xdr:cNvPicPr>
      </xdr:nvPicPr>
      <xdr:blipFill>
        <a:blip xmlns:r="http://schemas.openxmlformats.org/officeDocument/2006/relationships" r:embed="rId2"/>
        <a:stretch>
          <a:fillRect/>
        </a:stretch>
      </xdr:blipFill>
      <xdr:spPr>
        <a:xfrm>
          <a:off x="1282700" y="9734550"/>
          <a:ext cx="6258816" cy="2953142"/>
        </a:xfrm>
        <a:prstGeom prst="rect">
          <a:avLst/>
        </a:prstGeom>
      </xdr:spPr>
    </xdr:pic>
    <xdr:clientData/>
  </xdr:twoCellAnchor>
  <xdr:twoCellAnchor>
    <xdr:from>
      <xdr:col>7</xdr:col>
      <xdr:colOff>457200</xdr:colOff>
      <xdr:row>87</xdr:row>
      <xdr:rowOff>9525</xdr:rowOff>
    </xdr:from>
    <xdr:to>
      <xdr:col>7</xdr:col>
      <xdr:colOff>647700</xdr:colOff>
      <xdr:row>90</xdr:row>
      <xdr:rowOff>9525</xdr:rowOff>
    </xdr:to>
    <xdr:cxnSp macro="">
      <xdr:nvCxnSpPr>
        <xdr:cNvPr id="3" name="Straight Arrow Connector 2">
          <a:extLst>
            <a:ext uri="{FF2B5EF4-FFF2-40B4-BE49-F238E27FC236}">
              <a16:creationId xmlns:a16="http://schemas.microsoft.com/office/drawing/2014/main" id="{13CEA4E9-AA51-4FE5-B824-538054C50761}"/>
            </a:ext>
          </a:extLst>
        </xdr:cNvPr>
        <xdr:cNvCxnSpPr/>
      </xdr:nvCxnSpPr>
      <xdr:spPr>
        <a:xfrm flipH="1">
          <a:off x="5038725" y="8924925"/>
          <a:ext cx="190500" cy="571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523875</xdr:colOff>
      <xdr:row>87</xdr:row>
      <xdr:rowOff>9525</xdr:rowOff>
    </xdr:from>
    <xdr:to>
      <xdr:col>8</xdr:col>
      <xdr:colOff>457200</xdr:colOff>
      <xdr:row>90</xdr:row>
      <xdr:rowOff>158750</xdr:rowOff>
    </xdr:to>
    <xdr:cxnSp macro="">
      <xdr:nvCxnSpPr>
        <xdr:cNvPr id="10" name="Straight Arrow Connector 9">
          <a:extLst>
            <a:ext uri="{FF2B5EF4-FFF2-40B4-BE49-F238E27FC236}">
              <a16:creationId xmlns:a16="http://schemas.microsoft.com/office/drawing/2014/main" id="{494BB723-FB7F-42F2-9CB0-4F948286D3DA}"/>
            </a:ext>
          </a:extLst>
        </xdr:cNvPr>
        <xdr:cNvCxnSpPr/>
      </xdr:nvCxnSpPr>
      <xdr:spPr>
        <a:xfrm flipH="1">
          <a:off x="5105400" y="8924925"/>
          <a:ext cx="866775" cy="7207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514350</xdr:colOff>
      <xdr:row>87</xdr:row>
      <xdr:rowOff>0</xdr:rowOff>
    </xdr:from>
    <xdr:to>
      <xdr:col>9</xdr:col>
      <xdr:colOff>333375</xdr:colOff>
      <xdr:row>91</xdr:row>
      <xdr:rowOff>104775</xdr:rowOff>
    </xdr:to>
    <xdr:cxnSp macro="">
      <xdr:nvCxnSpPr>
        <xdr:cNvPr id="17" name="Straight Arrow Connector 16">
          <a:extLst>
            <a:ext uri="{FF2B5EF4-FFF2-40B4-BE49-F238E27FC236}">
              <a16:creationId xmlns:a16="http://schemas.microsoft.com/office/drawing/2014/main" id="{8B47B4EA-3766-418E-BD1E-D4649E6E4698}"/>
            </a:ext>
          </a:extLst>
        </xdr:cNvPr>
        <xdr:cNvCxnSpPr/>
      </xdr:nvCxnSpPr>
      <xdr:spPr>
        <a:xfrm flipH="1">
          <a:off x="5095875" y="13830300"/>
          <a:ext cx="1504950" cy="8667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485775</xdr:colOff>
      <xdr:row>64</xdr:row>
      <xdr:rowOff>9524</xdr:rowOff>
    </xdr:from>
    <xdr:to>
      <xdr:col>13</xdr:col>
      <xdr:colOff>247651</xdr:colOff>
      <xdr:row>72</xdr:row>
      <xdr:rowOff>66675</xdr:rowOff>
    </xdr:to>
    <xdr:sp macro="" textlink="">
      <xdr:nvSpPr>
        <xdr:cNvPr id="21" name="Rectangle 20">
          <a:extLst>
            <a:ext uri="{FF2B5EF4-FFF2-40B4-BE49-F238E27FC236}">
              <a16:creationId xmlns:a16="http://schemas.microsoft.com/office/drawing/2014/main" id="{386B0E63-779E-4C21-8556-73E6CFF52605}"/>
            </a:ext>
          </a:extLst>
        </xdr:cNvPr>
        <xdr:cNvSpPr/>
      </xdr:nvSpPr>
      <xdr:spPr>
        <a:xfrm>
          <a:off x="485775" y="12353924"/>
          <a:ext cx="8467726" cy="1581151"/>
        </a:xfrm>
        <a:prstGeom prst="rect">
          <a:avLst/>
        </a:prstGeom>
        <a:solidFill>
          <a:srgbClr val="4472C4"/>
        </a:solidFill>
        <a:ln w="12700" cap="flat" cmpd="sng" algn="ctr">
          <a:solidFill>
            <a:srgbClr val="4472C4">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editAs="oneCell">
    <xdr:from>
      <xdr:col>0</xdr:col>
      <xdr:colOff>552450</xdr:colOff>
      <xdr:row>64</xdr:row>
      <xdr:rowOff>66675</xdr:rowOff>
    </xdr:from>
    <xdr:to>
      <xdr:col>13</xdr:col>
      <xdr:colOff>153559</xdr:colOff>
      <xdr:row>71</xdr:row>
      <xdr:rowOff>180975</xdr:rowOff>
    </xdr:to>
    <xdr:pic>
      <xdr:nvPicPr>
        <xdr:cNvPr id="23" name="Picture 22">
          <a:extLst>
            <a:ext uri="{FF2B5EF4-FFF2-40B4-BE49-F238E27FC236}">
              <a16:creationId xmlns:a16="http://schemas.microsoft.com/office/drawing/2014/main" id="{BD718DDC-920F-E5C0-D250-41E3B13BDBF8}"/>
            </a:ext>
          </a:extLst>
        </xdr:cNvPr>
        <xdr:cNvPicPr>
          <a:picLocks noChangeAspect="1"/>
        </xdr:cNvPicPr>
      </xdr:nvPicPr>
      <xdr:blipFill>
        <a:blip xmlns:r="http://schemas.openxmlformats.org/officeDocument/2006/relationships" r:embed="rId3"/>
        <a:stretch>
          <a:fillRect/>
        </a:stretch>
      </xdr:blipFill>
      <xdr:spPr>
        <a:xfrm>
          <a:off x="552450" y="12411075"/>
          <a:ext cx="8306959" cy="1447800"/>
        </a:xfrm>
        <a:prstGeom prst="rect">
          <a:avLst/>
        </a:prstGeom>
      </xdr:spPr>
    </xdr:pic>
    <xdr:clientData/>
  </xdr:twoCellAnchor>
  <xdr:twoCellAnchor>
    <xdr:from>
      <xdr:col>12</xdr:col>
      <xdr:colOff>476250</xdr:colOff>
      <xdr:row>67</xdr:row>
      <xdr:rowOff>152400</xdr:rowOff>
    </xdr:from>
    <xdr:to>
      <xdr:col>13</xdr:col>
      <xdr:colOff>590550</xdr:colOff>
      <xdr:row>68</xdr:row>
      <xdr:rowOff>114300</xdr:rowOff>
    </xdr:to>
    <xdr:cxnSp macro="">
      <xdr:nvCxnSpPr>
        <xdr:cNvPr id="8" name="Straight Arrow Connector 7">
          <a:extLst>
            <a:ext uri="{FF2B5EF4-FFF2-40B4-BE49-F238E27FC236}">
              <a16:creationId xmlns:a16="http://schemas.microsoft.com/office/drawing/2014/main" id="{664467AC-A8CE-47BC-A63C-998110984C41}"/>
            </a:ext>
          </a:extLst>
        </xdr:cNvPr>
        <xdr:cNvCxnSpPr/>
      </xdr:nvCxnSpPr>
      <xdr:spPr>
        <a:xfrm flipH="1">
          <a:off x="8572500" y="10020300"/>
          <a:ext cx="723900" cy="1524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42</xdr:row>
      <xdr:rowOff>76200</xdr:rowOff>
    </xdr:from>
    <xdr:to>
      <xdr:col>14</xdr:col>
      <xdr:colOff>314325</xdr:colOff>
      <xdr:row>55</xdr:row>
      <xdr:rowOff>95317</xdr:rowOff>
    </xdr:to>
    <xdr:pic>
      <xdr:nvPicPr>
        <xdr:cNvPr id="5" name="Picture 4">
          <a:extLst>
            <a:ext uri="{FF2B5EF4-FFF2-40B4-BE49-F238E27FC236}">
              <a16:creationId xmlns:a16="http://schemas.microsoft.com/office/drawing/2014/main" id="{1E08B9FD-93A1-4CAF-239A-E2AF5D0E164E}"/>
            </a:ext>
          </a:extLst>
        </xdr:cNvPr>
        <xdr:cNvPicPr>
          <a:picLocks noChangeAspect="1"/>
        </xdr:cNvPicPr>
      </xdr:nvPicPr>
      <xdr:blipFill>
        <a:blip xmlns:r="http://schemas.openxmlformats.org/officeDocument/2006/relationships" r:embed="rId4"/>
        <a:stretch>
          <a:fillRect/>
        </a:stretch>
      </xdr:blipFill>
      <xdr:spPr>
        <a:xfrm>
          <a:off x="609600" y="8153400"/>
          <a:ext cx="9020175" cy="249561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8FE14-FACB-4C1F-8343-CF764E04D9EB}">
  <sheetPr codeName="Sheet9"/>
  <dimension ref="A1:R37"/>
  <sheetViews>
    <sheetView showGridLines="0" tabSelected="1" topLeftCell="A21" workbookViewId="0">
      <selection activeCell="A35" sqref="A35:XFD1048576"/>
    </sheetView>
  </sheetViews>
  <sheetFormatPr defaultColWidth="0" defaultRowHeight="14.5" zeroHeight="1"/>
  <cols>
    <col min="1" max="1" width="26" bestFit="1" customWidth="1"/>
    <col min="2" max="2" width="2.54296875" customWidth="1"/>
    <col min="3" max="3" width="90.7265625" customWidth="1"/>
    <col min="4" max="4" width="2.453125" customWidth="1"/>
    <col min="5" max="5" width="26.7265625" customWidth="1"/>
    <col min="6" max="6" width="4.1796875" customWidth="1"/>
    <col min="7" max="8" width="9.1796875" customWidth="1"/>
    <col min="9" max="17" width="9.1796875" hidden="1" customWidth="1"/>
    <col min="18" max="18" width="92.1796875" hidden="1" customWidth="1"/>
    <col min="19" max="16384" width="9.1796875" hidden="1"/>
  </cols>
  <sheetData>
    <row r="1" spans="1:5"/>
    <row r="2" spans="1:5"/>
    <row r="3" spans="1:5"/>
    <row r="4" spans="1:5"/>
    <row r="5" spans="1:5">
      <c r="A5" s="32" t="s">
        <v>650</v>
      </c>
      <c r="C5" s="32" t="s">
        <v>649</v>
      </c>
      <c r="E5" s="32" t="s">
        <v>648</v>
      </c>
    </row>
    <row r="6" spans="1:5"/>
    <row r="7" spans="1:5" ht="29">
      <c r="A7" s="224" t="s">
        <v>647</v>
      </c>
      <c r="C7" s="233" t="s">
        <v>646</v>
      </c>
      <c r="E7" s="222" t="s">
        <v>644</v>
      </c>
    </row>
    <row r="8" spans="1:5">
      <c r="A8" s="224"/>
      <c r="C8" s="234"/>
    </row>
    <row r="9" spans="1:5">
      <c r="A9" s="224" t="s">
        <v>669</v>
      </c>
      <c r="C9" s="233" t="s">
        <v>645</v>
      </c>
      <c r="E9" s="222" t="s">
        <v>644</v>
      </c>
    </row>
    <row r="10" spans="1:5">
      <c r="A10" s="224"/>
      <c r="C10" s="234"/>
    </row>
    <row r="11" spans="1:5" ht="29">
      <c r="A11" s="224" t="s">
        <v>643</v>
      </c>
      <c r="C11" s="233" t="s">
        <v>642</v>
      </c>
      <c r="E11" s="222" t="s">
        <v>644</v>
      </c>
    </row>
    <row r="12" spans="1:5">
      <c r="A12" s="224"/>
      <c r="C12" s="234"/>
    </row>
    <row r="13" spans="1:5" ht="182">
      <c r="A13" s="224" t="s">
        <v>641</v>
      </c>
      <c r="C13" s="233" t="s">
        <v>662</v>
      </c>
      <c r="E13" s="222" t="s">
        <v>671</v>
      </c>
    </row>
    <row r="14" spans="1:5">
      <c r="A14" s="224"/>
      <c r="C14" s="234"/>
    </row>
    <row r="15" spans="1:5" ht="29">
      <c r="A15" s="224" t="s">
        <v>638</v>
      </c>
      <c r="C15" s="235" t="s">
        <v>655</v>
      </c>
      <c r="E15" s="222" t="s">
        <v>672</v>
      </c>
    </row>
    <row r="16" spans="1:5">
      <c r="A16" s="224"/>
      <c r="C16" s="235"/>
      <c r="E16" s="222"/>
    </row>
    <row r="17" spans="1:18" ht="43.5">
      <c r="A17" s="224" t="s">
        <v>639</v>
      </c>
      <c r="C17" s="236" t="s">
        <v>654</v>
      </c>
      <c r="E17" s="223" t="s">
        <v>670</v>
      </c>
    </row>
    <row r="18" spans="1:18">
      <c r="A18" s="224"/>
      <c r="C18" s="234"/>
      <c r="D18" t="s">
        <v>656</v>
      </c>
    </row>
    <row r="19" spans="1:18" ht="101.5">
      <c r="A19" s="224" t="s">
        <v>637</v>
      </c>
      <c r="C19" s="236" t="s">
        <v>657</v>
      </c>
      <c r="E19" s="222" t="s">
        <v>673</v>
      </c>
    </row>
    <row r="20" spans="1:18">
      <c r="A20" s="224"/>
      <c r="C20" s="236"/>
    </row>
    <row r="21" spans="1:18" ht="159.5">
      <c r="A21" s="224" t="s">
        <v>640</v>
      </c>
      <c r="C21" s="233" t="s">
        <v>661</v>
      </c>
      <c r="E21" s="222" t="s">
        <v>675</v>
      </c>
    </row>
    <row r="22" spans="1:18">
      <c r="A22" s="224"/>
      <c r="C22" s="233"/>
      <c r="E22" s="222"/>
    </row>
    <row r="23" spans="1:18" ht="101.5">
      <c r="A23" s="224" t="s">
        <v>658</v>
      </c>
      <c r="C23" s="236" t="s">
        <v>660</v>
      </c>
      <c r="E23" s="222" t="s">
        <v>674</v>
      </c>
    </row>
    <row r="24" spans="1:18">
      <c r="A24" s="224"/>
      <c r="C24" s="233"/>
      <c r="E24" s="222"/>
    </row>
    <row r="25" spans="1:18" ht="159.5">
      <c r="A25" s="224" t="s">
        <v>659</v>
      </c>
      <c r="C25" s="233" t="s">
        <v>661</v>
      </c>
      <c r="E25" s="222" t="s">
        <v>674</v>
      </c>
    </row>
    <row r="26" spans="1:18">
      <c r="A26" s="224"/>
      <c r="C26" s="236"/>
      <c r="R26" s="225"/>
    </row>
    <row r="27" spans="1:18" ht="159.5">
      <c r="A27" s="224" t="s">
        <v>636</v>
      </c>
      <c r="C27" s="233" t="s">
        <v>663</v>
      </c>
      <c r="E27" s="222" t="s">
        <v>644</v>
      </c>
      <c r="R27" s="225"/>
    </row>
    <row r="28" spans="1:18">
      <c r="C28" s="225"/>
    </row>
    <row r="29" spans="1:18">
      <c r="A29" s="224"/>
      <c r="C29" s="225"/>
    </row>
    <row r="30" spans="1:18">
      <c r="C30" s="142"/>
    </row>
    <row r="31" spans="1:18" ht="16.5">
      <c r="C31" s="226"/>
    </row>
    <row r="32" spans="1:18" ht="16.5">
      <c r="C32" s="226"/>
    </row>
    <row r="33" spans="3:3" ht="16.5">
      <c r="C33" s="226"/>
    </row>
    <row r="34" spans="3:3"/>
    <row r="37" spans="3:3" hidden="1">
      <c r="C37" s="155"/>
    </row>
  </sheetData>
  <pageMargins left="0.7" right="0.7" top="0.75" bottom="0.75" header="0.3" footer="0.3"/>
  <pageSetup orientation="portrait" r:id="rId1"/>
  <headerFooter>
    <oddFooter xml:space="preserve">&amp;C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AD3C-62F3-4C43-9DAC-A7A4C2C68A11}">
  <sheetPr codeName="Sheet13">
    <tabColor rgb="FFFFFF00"/>
  </sheetPr>
  <dimension ref="B1:AN75"/>
  <sheetViews>
    <sheetView tabSelected="1" topLeftCell="C33" workbookViewId="0">
      <selection activeCell="A35" sqref="A35:XFD1048576"/>
    </sheetView>
  </sheetViews>
  <sheetFormatPr defaultColWidth="8.81640625" defaultRowHeight="14.5"/>
  <cols>
    <col min="1" max="1" width="3.54296875" style="39" customWidth="1"/>
    <col min="2" max="2" width="20.54296875" style="39" customWidth="1"/>
    <col min="3" max="3" width="61.54296875" style="39" customWidth="1"/>
    <col min="4" max="4" width="17.453125" style="39" customWidth="1"/>
    <col min="5" max="5" width="10.54296875" style="39" customWidth="1"/>
    <col min="6" max="6" width="20.81640625" style="39" customWidth="1"/>
    <col min="7" max="7" width="20.54296875" style="39" bestFit="1" customWidth="1"/>
    <col min="8" max="8" width="18.54296875" style="39" bestFit="1" customWidth="1"/>
    <col min="9" max="9" width="13.54296875" style="39" customWidth="1"/>
    <col min="10" max="10" width="18.26953125" style="39" bestFit="1" customWidth="1"/>
    <col min="11" max="11" width="16.1796875" style="39" bestFit="1" customWidth="1"/>
    <col min="12" max="14" width="15.453125" style="39" customWidth="1"/>
    <col min="15" max="15" width="16.1796875" style="39" bestFit="1" customWidth="1"/>
    <col min="16" max="16" width="15.54296875" style="39" customWidth="1"/>
    <col min="17" max="17" width="13" style="39" customWidth="1"/>
    <col min="18" max="18" width="14" style="39" customWidth="1"/>
    <col min="19" max="19" width="15.81640625" style="39" customWidth="1"/>
    <col min="20" max="20" width="20.7265625" style="39" bestFit="1" customWidth="1"/>
    <col min="21" max="21" width="15" style="39" customWidth="1"/>
    <col min="22" max="22" width="16" style="39" bestFit="1" customWidth="1"/>
    <col min="23" max="23" width="25.7265625" style="39" bestFit="1" customWidth="1"/>
    <col min="24" max="24" width="15.453125" style="39" customWidth="1"/>
    <col min="25" max="26" width="20.1796875" style="39" bestFit="1" customWidth="1"/>
    <col min="27" max="27" width="15.7265625" style="39" bestFit="1" customWidth="1"/>
    <col min="28" max="28" width="16.81640625" style="39" bestFit="1" customWidth="1"/>
    <col min="29" max="29" width="15.1796875" style="39" customWidth="1"/>
    <col min="30" max="30" width="13" style="39" bestFit="1" customWidth="1"/>
    <col min="31" max="31" width="8.7265625" style="39" bestFit="1" customWidth="1"/>
    <col min="32" max="32" width="10.1796875" style="39" bestFit="1" customWidth="1"/>
    <col min="33" max="34" width="8.81640625" style="39"/>
    <col min="35" max="35" width="14.7265625" style="39" bestFit="1" customWidth="1"/>
    <col min="36" max="36" width="16.453125" style="39" bestFit="1" customWidth="1"/>
    <col min="37" max="16384" width="8.81640625" style="39"/>
  </cols>
  <sheetData>
    <row r="1" spans="2:29" ht="53.9" customHeight="1">
      <c r="B1" s="322"/>
      <c r="C1" s="322"/>
      <c r="D1" s="322"/>
      <c r="E1" s="322"/>
      <c r="F1" s="322"/>
      <c r="G1" s="322"/>
      <c r="H1" s="322"/>
      <c r="I1" s="322"/>
      <c r="J1" s="322"/>
      <c r="K1" s="322"/>
      <c r="L1" s="322"/>
      <c r="M1" s="322"/>
      <c r="N1" s="322"/>
      <c r="O1" s="322"/>
      <c r="P1" s="322"/>
      <c r="Q1" s="322"/>
      <c r="R1" s="322"/>
      <c r="S1" s="322"/>
      <c r="T1" s="322"/>
      <c r="U1" s="322"/>
      <c r="V1" s="322"/>
      <c r="W1" s="322"/>
    </row>
    <row r="2" spans="2:29" ht="15.5">
      <c r="B2" s="323"/>
      <c r="C2" s="460" t="s">
        <v>13</v>
      </c>
      <c r="D2" s="460"/>
      <c r="E2" s="323"/>
      <c r="F2" s="323"/>
      <c r="H2" s="325"/>
      <c r="J2" s="325"/>
      <c r="R2" s="323"/>
      <c r="S2" s="323"/>
      <c r="T2" s="323"/>
      <c r="U2" s="323"/>
      <c r="V2" s="323"/>
      <c r="W2" s="323"/>
    </row>
    <row r="3" spans="2:29">
      <c r="B3" s="1"/>
      <c r="C3" s="64" t="s">
        <v>173</v>
      </c>
      <c r="D3" s="64" t="s">
        <v>175</v>
      </c>
      <c r="R3" s="326"/>
      <c r="S3" s="326"/>
      <c r="T3" s="326"/>
      <c r="U3" s="326"/>
      <c r="V3" s="326"/>
      <c r="W3" s="326"/>
    </row>
    <row r="4" spans="2:29" ht="15.5">
      <c r="B4" s="58" t="s">
        <v>3</v>
      </c>
      <c r="C4" s="2">
        <f>INDEX('Incremental Rev Req'!$R$9:$V$24,MATCH(B4,'Incremental Rev Req'!$R$9:$R$24,0),MATCH(Summary!$D$3,'Incremental Rev Req'!$R$9:$V$9,0))</f>
        <v>4502517.1329402486</v>
      </c>
      <c r="D4" s="2">
        <f>INDEX('Incremental Rev Req'!$R$105:$V$120,MATCH(B4,'Incremental Rev Req'!$R$105:$R$120,0),MATCH(Summary!$D$3,'Incremental Rev Req'!$R$105:$V$105,0))</f>
        <v>4502517.1329402486</v>
      </c>
      <c r="G4" s="461" t="s">
        <v>176</v>
      </c>
      <c r="H4" s="461"/>
      <c r="I4" s="461"/>
      <c r="J4" s="461"/>
      <c r="K4" s="461"/>
      <c r="L4" s="461"/>
      <c r="M4" s="461"/>
      <c r="N4" s="461"/>
      <c r="O4" s="461"/>
      <c r="P4" s="461"/>
      <c r="R4" s="24"/>
      <c r="S4" s="35"/>
      <c r="T4" s="35"/>
      <c r="U4" s="35"/>
      <c r="V4" s="35"/>
      <c r="W4" s="35"/>
      <c r="X4" s="35"/>
      <c r="Y4" s="35"/>
    </row>
    <row r="5" spans="2:29" ht="15.5">
      <c r="B5" s="58" t="s">
        <v>14</v>
      </c>
      <c r="C5" s="2">
        <f>INDEX('Incremental Rev Req'!$R$9:$V$24,MATCH(B5,'Incremental Rev Req'!$R$9:$R$24,0),MATCH(Summary!$D$3,'Incremental Rev Req'!$R$9:$V$9,0))</f>
        <v>325539.01622175635</v>
      </c>
      <c r="D5" s="2">
        <f>INDEX('Incremental Rev Req'!$R$105:$V$120,MATCH(B5,'Incremental Rev Req'!$R$105:$R$120,0),MATCH(Summary!$D$3,'Incremental Rev Req'!$R$105:$V$105,0))</f>
        <v>325539.01622175635</v>
      </c>
      <c r="F5" s="5"/>
      <c r="G5" s="6" t="s">
        <v>3</v>
      </c>
      <c r="H5" s="6" t="s">
        <v>5</v>
      </c>
      <c r="I5" s="6" t="s">
        <v>16</v>
      </c>
      <c r="J5" s="6" t="s">
        <v>177</v>
      </c>
      <c r="K5" s="6" t="s">
        <v>14</v>
      </c>
      <c r="L5" s="6" t="s">
        <v>10</v>
      </c>
      <c r="M5" s="6" t="s">
        <v>68</v>
      </c>
      <c r="N5" s="6" t="s">
        <v>131</v>
      </c>
      <c r="O5" s="6" t="s">
        <v>138</v>
      </c>
      <c r="P5" s="6" t="s">
        <v>178</v>
      </c>
      <c r="Q5" s="327" t="s">
        <v>24</v>
      </c>
      <c r="R5" s="6" t="s">
        <v>284</v>
      </c>
      <c r="S5" s="327" t="s">
        <v>211</v>
      </c>
      <c r="T5" s="328" t="s">
        <v>309</v>
      </c>
    </row>
    <row r="6" spans="2:29" ht="15.5">
      <c r="B6" s="58" t="s">
        <v>5</v>
      </c>
      <c r="C6" s="2">
        <f>INDEX('Incremental Rev Req'!$R$9:$V$24,MATCH(B6,'Incremental Rev Req'!$R$9:$R$24,0),MATCH(Summary!$D$3,'Incremental Rev Req'!$R$9:$V$9,0))</f>
        <v>10405674.733848579</v>
      </c>
      <c r="D6" s="2">
        <f>INDEX('Incremental Rev Req'!$R$105:$V$120,MATCH(B6,'Incremental Rev Req'!$R$105:$R$120,0),MATCH(Summary!$D$3,'Incremental Rev Req'!$R$105:$V$105,0))</f>
        <v>10405674.733848579</v>
      </c>
      <c r="F6" s="5" t="s">
        <v>389</v>
      </c>
      <c r="G6" s="95">
        <f>VLOOKUP(Summary!$D$3,$F$35:$T$38,G$33,FALSE)</f>
        <v>6.8693888195402925E-2</v>
      </c>
      <c r="H6" s="95">
        <f>VLOOKUP(Summary!$D$3,$F$35:$T$38,H$33,FALSE)</f>
        <v>0.11186927258139906</v>
      </c>
      <c r="I6" s="95">
        <f>VLOOKUP(Summary!$D$3,$F$35:$T$38,I$33,FALSE)</f>
        <v>7.4706191029710822E-2</v>
      </c>
      <c r="J6" s="95">
        <f>VLOOKUP(Summary!$D$3,$F$35:$T$38,J$33,FALSE)</f>
        <v>8.422601712391331E-2</v>
      </c>
      <c r="K6" s="95">
        <f>VLOOKUP(Summary!$D$3,$F$35:$T$38,K$33,FALSE)</f>
        <v>7.0838044101834891E-2</v>
      </c>
      <c r="L6" s="95">
        <f>VLOOKUP(Summary!$D$3,$F$35:$T$38,L$33,FALSE)</f>
        <v>7.1882727417591191E-2</v>
      </c>
      <c r="M6" s="95">
        <f>VLOOKUP(Summary!$D$3,$F$35:$T$38,M$33,FALSE)</f>
        <v>7.671731264654813E-2</v>
      </c>
      <c r="N6" s="95">
        <f>VLOOKUP(Summary!$D$3,$F$35:$T$38,N$33,FALSE)</f>
        <v>7.6334084178728168E-2</v>
      </c>
      <c r="O6" s="95">
        <f>VLOOKUP(Summary!$D$3,$F$35:$T$38,O$33,FALSE)</f>
        <v>7.2054437570881466E-2</v>
      </c>
      <c r="P6" s="95">
        <f>VLOOKUP(Summary!$D$3,$F$35:$T$38,P$33,FALSE)</f>
        <v>4.7676295613109779E-2</v>
      </c>
      <c r="Q6" s="95">
        <f>VLOOKUP(Summary!$D$3,$F$35:$T$38,Q$33,FALSE)</f>
        <v>8.4510690203994557E-2</v>
      </c>
      <c r="R6" s="95">
        <f>VLOOKUP(Summary!$D$3,$F$35:$T$38,R$33,FALSE)</f>
        <v>0.10325962399932154</v>
      </c>
      <c r="S6" s="95">
        <f>VLOOKUP(Summary!$D$3,$F$35:$T$38,S$33,FALSE)</f>
        <v>4.7655376755746631E-2</v>
      </c>
      <c r="T6" s="95">
        <f>VLOOKUP(Summary!$D$3,$F$35:$T$38,T$33,FALSE)</f>
        <v>9.7164579170647247E-2</v>
      </c>
    </row>
    <row r="7" spans="2:29" ht="15.5">
      <c r="B7" s="58" t="s">
        <v>133</v>
      </c>
      <c r="C7" s="2">
        <f>INDEX('Incremental Rev Req'!$R$9:$V$24,MATCH(B7,'Incremental Rev Req'!$R$9:$R$24,0),MATCH(Summary!$D$3,'Incremental Rev Req'!$R$9:$V$9,0))</f>
        <v>-721064.79799999995</v>
      </c>
      <c r="D7" s="2">
        <f>INDEX('Incremental Rev Req'!$R$105:$V$120,MATCH(B7,'Incremental Rev Req'!$R$105:$R$120,0),MATCH(Summary!$D$3,'Incremental Rev Req'!$R$105:$V$105,0))</f>
        <v>-721064.79799999995</v>
      </c>
      <c r="F7" s="5"/>
      <c r="G7" s="109"/>
      <c r="H7" s="109"/>
      <c r="I7" s="109"/>
      <c r="J7" s="109"/>
      <c r="K7" s="109"/>
      <c r="L7" s="109"/>
      <c r="M7" s="109"/>
      <c r="N7" s="109"/>
      <c r="O7" s="109"/>
      <c r="P7" s="109"/>
      <c r="Q7" s="109"/>
    </row>
    <row r="8" spans="2:29" ht="15.5">
      <c r="B8" s="58" t="s">
        <v>68</v>
      </c>
      <c r="C8" s="2">
        <f>INDEX('Incremental Rev Req'!$R$9:$V$24,MATCH(B8,'Incremental Rev Req'!$R$9:$R$24,0),MATCH(Summary!$D$3,'Incremental Rev Req'!$R$9:$V$9,0))</f>
        <v>-51714.55454002523</v>
      </c>
      <c r="D8" s="2">
        <f>INDEX('Incremental Rev Req'!$R$105:$V$120,MATCH(B8,'Incremental Rev Req'!$R$105:$R$120,0),MATCH(Summary!$D$3,'Incremental Rev Req'!$R$105:$V$105,0))</f>
        <v>-51714.55454002523</v>
      </c>
      <c r="F8" s="17"/>
      <c r="G8" s="461" t="s">
        <v>179</v>
      </c>
      <c r="H8" s="461"/>
      <c r="I8" s="461"/>
      <c r="J8" s="461"/>
      <c r="K8" s="461"/>
      <c r="L8" s="461"/>
      <c r="M8" s="461"/>
      <c r="N8" s="461"/>
      <c r="O8" s="461"/>
      <c r="P8" s="461"/>
      <c r="Q8" s="461"/>
      <c r="R8" s="461"/>
    </row>
    <row r="9" spans="2:29" ht="34.5" customHeight="1">
      <c r="B9" s="58" t="s">
        <v>16</v>
      </c>
      <c r="C9" s="2">
        <f>INDEX('Incremental Rev Req'!$R$9:$V$24,MATCH(B9,'Incremental Rev Req'!$R$9:$R$24,0),MATCH(Summary!$D$3,'Incremental Rev Req'!$R$9:$V$9,0))</f>
        <v>-19018.951371683193</v>
      </c>
      <c r="D9" s="2">
        <f>INDEX('Incremental Rev Req'!$R$105:$V$120,MATCH(B9,'Incremental Rev Req'!$R$105:$R$120,0),MATCH(Summary!$D$3,'Incremental Rev Req'!$R$105:$V$105,0))</f>
        <v>-19018.951371683193</v>
      </c>
      <c r="F9" s="330" t="s">
        <v>173</v>
      </c>
      <c r="G9" s="6" t="s">
        <v>3</v>
      </c>
      <c r="H9" s="6" t="s">
        <v>5</v>
      </c>
      <c r="I9" s="6" t="s">
        <v>16</v>
      </c>
      <c r="J9" s="6" t="s">
        <v>15</v>
      </c>
      <c r="K9" s="6" t="s">
        <v>14</v>
      </c>
      <c r="L9" s="6" t="s">
        <v>10</v>
      </c>
      <c r="M9" s="6" t="s">
        <v>68</v>
      </c>
      <c r="N9" s="6" t="s">
        <v>131</v>
      </c>
      <c r="O9" s="6" t="s">
        <v>138</v>
      </c>
      <c r="P9" s="6" t="s">
        <v>133</v>
      </c>
      <c r="Q9" s="6" t="s">
        <v>17</v>
      </c>
      <c r="R9" s="6" t="s">
        <v>284</v>
      </c>
      <c r="S9" s="327" t="s">
        <v>211</v>
      </c>
      <c r="T9" s="328" t="s">
        <v>309</v>
      </c>
      <c r="U9" s="6" t="s">
        <v>136</v>
      </c>
    </row>
    <row r="10" spans="2:29" ht="15.5">
      <c r="B10" s="58" t="s">
        <v>15</v>
      </c>
      <c r="C10" s="2">
        <f>INDEX('Incremental Rev Req'!$R$9:$V$24,MATCH(B10,'Incremental Rev Req'!$R$9:$R$24,0),MATCH(Summary!$D$3,'Incremental Rev Req'!$R$9:$V$9,0))</f>
        <v>622641.69656726439</v>
      </c>
      <c r="D10" s="2">
        <f>INDEX('Incremental Rev Req'!$R$105:$V$120,MATCH(B10,'Incremental Rev Req'!$R$105:$R$120,0),MATCH(Summary!$D$3,'Incremental Rev Req'!$R$105:$V$105,0))</f>
        <v>622641.69656726439</v>
      </c>
      <c r="F10" s="5" t="s">
        <v>389</v>
      </c>
      <c r="G10" s="331">
        <f t="shared" ref="G10:T10" si="0">G6*G11</f>
        <v>309295.40852808359</v>
      </c>
      <c r="H10" s="331">
        <f t="shared" si="0"/>
        <v>1164075.2631942839</v>
      </c>
      <c r="I10" s="331">
        <f t="shared" si="0"/>
        <v>-1420.8334143577454</v>
      </c>
      <c r="J10" s="331">
        <f t="shared" si="0"/>
        <v>52442.630197136845</v>
      </c>
      <c r="K10" s="331">
        <f t="shared" si="0"/>
        <v>23060.547187984721</v>
      </c>
      <c r="L10" s="331">
        <f t="shared" si="0"/>
        <v>208677.23863905025</v>
      </c>
      <c r="M10" s="331">
        <f t="shared" si="0"/>
        <v>-3967.4016490240806</v>
      </c>
      <c r="N10" s="331">
        <f t="shared" si="0"/>
        <v>53.378667128063618</v>
      </c>
      <c r="O10" s="331">
        <f t="shared" si="0"/>
        <v>-44064.453606345254</v>
      </c>
      <c r="P10" s="331">
        <f t="shared" si="0"/>
        <v>-34377.698465655289</v>
      </c>
      <c r="Q10" s="331">
        <f t="shared" si="0"/>
        <v>34865.861805421431</v>
      </c>
      <c r="R10" s="331">
        <f t="shared" si="0"/>
        <v>20457.040611670658</v>
      </c>
      <c r="S10" s="331">
        <f t="shared" si="0"/>
        <v>-14784.905031073047</v>
      </c>
      <c r="T10" s="331">
        <f t="shared" si="0"/>
        <v>139469.23607962928</v>
      </c>
      <c r="U10" s="331">
        <f>SUM(G10:T10)</f>
        <v>1853781.3127439329</v>
      </c>
      <c r="W10" s="333"/>
      <c r="X10" s="333"/>
    </row>
    <row r="11" spans="2:29" ht="15.5">
      <c r="B11" s="58" t="s">
        <v>17</v>
      </c>
      <c r="C11" s="2">
        <f>INDEX('Incremental Rev Req'!$R$9:$V$24,MATCH(B11,'Incremental Rev Req'!$R$9:$R$24,0),MATCH(Summary!$D$3,'Incremental Rev Req'!$R$9:$V$9,0))</f>
        <v>412561.55548204755</v>
      </c>
      <c r="D11" s="2">
        <f>INDEX('Incremental Rev Req'!$R$105:$V$120,MATCH(B11,'Incremental Rev Req'!$R$105:$R$120,0),MATCH(Summary!$D$3,'Incremental Rev Req'!$R$105:$V$105,0))</f>
        <v>412561.55548204755</v>
      </c>
      <c r="F11" s="5" t="s">
        <v>23</v>
      </c>
      <c r="G11" s="85">
        <f t="shared" ref="G11:M11" si="1">VLOOKUP(G9,$B$4:$D$17,2,FALSE)</f>
        <v>4502517.1329402486</v>
      </c>
      <c r="H11" s="85">
        <f t="shared" si="1"/>
        <v>10405674.733848579</v>
      </c>
      <c r="I11" s="85">
        <f t="shared" si="1"/>
        <v>-19018.951371683193</v>
      </c>
      <c r="J11" s="85">
        <f t="shared" si="1"/>
        <v>622641.69656726439</v>
      </c>
      <c r="K11" s="85">
        <f t="shared" si="1"/>
        <v>325539.01622175635</v>
      </c>
      <c r="L11" s="85">
        <f t="shared" si="1"/>
        <v>2903023.3845576458</v>
      </c>
      <c r="M11" s="85">
        <f t="shared" si="1"/>
        <v>-51714.55454002523</v>
      </c>
      <c r="N11" s="85">
        <f>VLOOKUP(N9,$B$4:$D$16,2,FALSE)</f>
        <v>699.27697046948424</v>
      </c>
      <c r="O11" s="85">
        <f>VLOOKUP(O9,$B$4:$D$16,2,FALSE)</f>
        <v>-611543.92556319828</v>
      </c>
      <c r="P11" s="85">
        <f>VLOOKUP(P9,$B$4:$D$17,2,FALSE)</f>
        <v>-721064.79799999995</v>
      </c>
      <c r="Q11" s="85">
        <f>VLOOKUP(Q9,$B$4:$D$17,2,FALSE)</f>
        <v>412561.55548204755</v>
      </c>
      <c r="R11" s="85">
        <f>VLOOKUP(R9,$B$4:$D$17,2,FALSE)</f>
        <v>198112.67772779291</v>
      </c>
      <c r="S11" s="87">
        <f>VLOOKUP(S9,$B$4:$D$17,2,FALSE)</f>
        <v>-310246.31505594333</v>
      </c>
      <c r="T11" s="85">
        <f>VLOOKUP(T9,$B$4:$D$17,2,FALSE)</f>
        <v>1435391.757676258</v>
      </c>
      <c r="U11" s="85">
        <f>SUM(G11:T11)</f>
        <v>19092572.687461212</v>
      </c>
      <c r="X11" s="325"/>
    </row>
    <row r="12" spans="2:29" ht="15.5">
      <c r="B12" s="58" t="s">
        <v>131</v>
      </c>
      <c r="C12" s="2">
        <f>INDEX('Incremental Rev Req'!$R$9:$V$24,MATCH(B12,'Incremental Rev Req'!$R$9:$R$24,0),MATCH(Summary!$D$3,'Incremental Rev Req'!$R$9:$V$9,0))</f>
        <v>699.27697046948424</v>
      </c>
      <c r="D12" s="2">
        <f>INDEX('Incremental Rev Req'!$R$105:$V$120,MATCH(B12,'Incremental Rev Req'!$R$105:$R$120,0),MATCH(Summary!$D$3,'Incremental Rev Req'!$R$105:$V$105,0))</f>
        <v>699.27697046948424</v>
      </c>
      <c r="F12" s="330" t="s">
        <v>174</v>
      </c>
    </row>
    <row r="13" spans="2:29" ht="15.65" customHeight="1">
      <c r="B13" s="58" t="s">
        <v>10</v>
      </c>
      <c r="C13" s="2">
        <f>INDEX('Incremental Rev Req'!$R$9:$V$24,MATCH(B13,'Incremental Rev Req'!$R$9:$R$24,0),MATCH(Summary!$D$3,'Incremental Rev Req'!$R$9:$V$9,0))</f>
        <v>2903023.3845576458</v>
      </c>
      <c r="D13" s="2">
        <f>INDEX('Incremental Rev Req'!$R$105:$V$120,MATCH(B13,'Incremental Rev Req'!$R$105:$R$120,0),MATCH(Summary!$D$3,'Incremental Rev Req'!$R$105:$V$105,0))</f>
        <v>2903023.3845576458</v>
      </c>
      <c r="F13" s="5" t="s">
        <v>389</v>
      </c>
      <c r="G13" s="331">
        <f t="shared" ref="G13:T13" si="2">G6*G14</f>
        <v>309295.40852808359</v>
      </c>
      <c r="H13" s="331">
        <f t="shared" si="2"/>
        <v>1164075.2631942839</v>
      </c>
      <c r="I13" s="331">
        <f t="shared" si="2"/>
        <v>-1420.8334143577454</v>
      </c>
      <c r="J13" s="331">
        <f t="shared" si="2"/>
        <v>52442.630197136845</v>
      </c>
      <c r="K13" s="331">
        <f t="shared" si="2"/>
        <v>23060.547187984721</v>
      </c>
      <c r="L13" s="331">
        <f t="shared" si="2"/>
        <v>208677.23863905025</v>
      </c>
      <c r="M13" s="331">
        <f t="shared" si="2"/>
        <v>-3967.4016490240806</v>
      </c>
      <c r="N13" s="331">
        <f t="shared" si="2"/>
        <v>53.378667128063618</v>
      </c>
      <c r="O13" s="331">
        <f t="shared" si="2"/>
        <v>-44064.453606345254</v>
      </c>
      <c r="P13" s="331">
        <f t="shared" si="2"/>
        <v>-34377.698465655289</v>
      </c>
      <c r="Q13" s="331">
        <f t="shared" si="2"/>
        <v>34865.861805421431</v>
      </c>
      <c r="R13" s="331">
        <f t="shared" si="2"/>
        <v>20457.040611670658</v>
      </c>
      <c r="S13" s="331">
        <f t="shared" si="2"/>
        <v>-12535.211577053667</v>
      </c>
      <c r="T13" s="331">
        <f t="shared" si="2"/>
        <v>176002.75870810097</v>
      </c>
      <c r="U13" s="331">
        <f>SUM(G13:T13)</f>
        <v>1892564.5288264242</v>
      </c>
    </row>
    <row r="14" spans="2:29" ht="15.65" customHeight="1">
      <c r="B14" s="58" t="s">
        <v>138</v>
      </c>
      <c r="C14" s="2">
        <f>INDEX('Incremental Rev Req'!$R$9:$V$24,MATCH(B14,'Incremental Rev Req'!$R$9:$R$24,0),MATCH(Summary!$D$3,'Incremental Rev Req'!$R$9:$V$9,0))</f>
        <v>-611543.92556319828</v>
      </c>
      <c r="D14" s="2">
        <f>INDEX('Incremental Rev Req'!$R$105:$V$120,MATCH(B14,'Incremental Rev Req'!$R$105:$R$120,0),MATCH(Summary!$D$3,'Incremental Rev Req'!$R$105:$V$105,0))</f>
        <v>-611543.92556319828</v>
      </c>
      <c r="F14" s="5" t="s">
        <v>23</v>
      </c>
      <c r="G14" s="85">
        <f t="shared" ref="G14:S14" si="3">VLOOKUP(G9,$B$4:$D$16,3,FALSE)</f>
        <v>4502517.1329402486</v>
      </c>
      <c r="H14" s="85">
        <f t="shared" si="3"/>
        <v>10405674.733848579</v>
      </c>
      <c r="I14" s="85">
        <f t="shared" si="3"/>
        <v>-19018.951371683193</v>
      </c>
      <c r="J14" s="85">
        <f t="shared" si="3"/>
        <v>622641.69656726439</v>
      </c>
      <c r="K14" s="85">
        <f t="shared" si="3"/>
        <v>325539.01622175635</v>
      </c>
      <c r="L14" s="85">
        <f t="shared" si="3"/>
        <v>2903023.3845576458</v>
      </c>
      <c r="M14" s="85">
        <f t="shared" si="3"/>
        <v>-51714.55454002523</v>
      </c>
      <c r="N14" s="85">
        <f t="shared" si="3"/>
        <v>699.27697046948424</v>
      </c>
      <c r="O14" s="85">
        <f t="shared" si="3"/>
        <v>-611543.92556319828</v>
      </c>
      <c r="P14" s="85">
        <f t="shared" si="3"/>
        <v>-721064.79799999995</v>
      </c>
      <c r="Q14" s="85">
        <f t="shared" si="3"/>
        <v>412561.55548204755</v>
      </c>
      <c r="R14" s="85">
        <f t="shared" si="3"/>
        <v>198112.67772779291</v>
      </c>
      <c r="S14" s="85">
        <f t="shared" si="3"/>
        <v>-263038.76771978475</v>
      </c>
      <c r="T14" s="85">
        <f>VLOOKUP(T9,$B$4:$D$17,3,FALSE)</f>
        <v>1811388.061476524</v>
      </c>
      <c r="U14" s="85">
        <f>SUM(G14:T14)</f>
        <v>19515776.53859764</v>
      </c>
    </row>
    <row r="15" spans="2:29" ht="15.5">
      <c r="B15" s="58" t="s">
        <v>211</v>
      </c>
      <c r="C15" s="103">
        <f>INDEX('Incremental Rev Req'!$R$9:$V$24,MATCH(B15,'Incremental Rev Req'!$R$9:$R$24,0),MATCH(Summary!$D$3,'Incremental Rev Req'!$R$9:$V$9,0))</f>
        <v>-310246.31505594333</v>
      </c>
      <c r="D15" s="2">
        <f>INDEX('Incremental Rev Req'!$R$105:$V$120,MATCH(B15,'Incremental Rev Req'!$R$105:$R$120,0),MATCH(Summary!$D$3,'Incremental Rev Req'!$R$105:$V$105,0))</f>
        <v>-263038.76771978475</v>
      </c>
      <c r="F15" s="170"/>
      <c r="G15" s="3"/>
      <c r="H15" s="3"/>
      <c r="I15" s="3"/>
      <c r="J15" s="17"/>
      <c r="AA15" s="5"/>
      <c r="AB15" s="334" t="s">
        <v>173</v>
      </c>
      <c r="AC15" s="334" t="s">
        <v>174</v>
      </c>
    </row>
    <row r="16" spans="2:29" ht="15.5">
      <c r="B16" s="58" t="s">
        <v>284</v>
      </c>
      <c r="C16" s="103">
        <f>INDEX('Incremental Rev Req'!$R$9:$V$24,MATCH(B16,'Incremental Rev Req'!$R$9:$R$24,0),MATCH(Summary!$D$3,'Incremental Rev Req'!$R$9:$V$9,0))</f>
        <v>198112.67772779291</v>
      </c>
      <c r="D16" s="2">
        <f>INDEX('Incremental Rev Req'!$R$105:$V$120,MATCH(B16,'Incremental Rev Req'!$R$105:$R$120,0),MATCH(Summary!$D$3,'Incremental Rev Req'!$R$105:$V$105,0))</f>
        <v>198112.67772779291</v>
      </c>
      <c r="U16" s="464" t="s">
        <v>173</v>
      </c>
      <c r="V16" s="465"/>
      <c r="W16" s="336" t="s">
        <v>174</v>
      </c>
      <c r="X16" s="335"/>
      <c r="AA16" s="111"/>
      <c r="AB16" s="85"/>
      <c r="AC16" s="85"/>
    </row>
    <row r="17" spans="2:40" ht="15.5">
      <c r="B17" s="39" t="s">
        <v>309</v>
      </c>
      <c r="C17" s="103">
        <f>INDEX('Incremental Rev Req'!$R$9:$V$24,MATCH(B17,'Incremental Rev Req'!$R$9:$R$24,0),MATCH(Summary!$D$3,'Incremental Rev Req'!$R$9:$V$9,0))</f>
        <v>1435391.757676258</v>
      </c>
      <c r="D17" s="2">
        <f>INDEX('Incremental Rev Req'!$R$105:$V$120,MATCH(B17,'Incremental Rev Req'!$R$105:$R$120,0),MATCH(Summary!$D$3,'Incremental Rev Req'!$R$105:$V$105,0))</f>
        <v>1811388.061476524</v>
      </c>
      <c r="F17" s="17"/>
      <c r="G17" s="455" t="s">
        <v>180</v>
      </c>
      <c r="H17" s="455"/>
      <c r="I17" s="455"/>
      <c r="J17" s="455"/>
      <c r="K17" s="455"/>
      <c r="L17" s="455"/>
      <c r="M17" s="455"/>
      <c r="N17" s="455"/>
      <c r="O17" s="455"/>
      <c r="P17" s="455"/>
      <c r="Q17" s="456"/>
      <c r="R17" s="24"/>
      <c r="U17" s="462" t="s">
        <v>181</v>
      </c>
      <c r="V17" s="463"/>
      <c r="W17" s="337" t="s">
        <v>181</v>
      </c>
      <c r="X17" s="338"/>
      <c r="AA17" s="111"/>
      <c r="AB17" s="112"/>
      <c r="AC17" s="112"/>
    </row>
    <row r="18" spans="2:40" ht="31.5" customHeight="1">
      <c r="B18" s="58" t="s">
        <v>136</v>
      </c>
      <c r="C18" s="96">
        <f>SUM(C4:C17)</f>
        <v>19092572.687461212</v>
      </c>
      <c r="D18" s="96">
        <f>SUM(D4:D17)</f>
        <v>19515776.538597636</v>
      </c>
      <c r="E18" s="17"/>
      <c r="G18" s="327" t="s">
        <v>3</v>
      </c>
      <c r="H18" s="6" t="s">
        <v>5</v>
      </c>
      <c r="I18" s="6" t="s">
        <v>16</v>
      </c>
      <c r="J18" s="6" t="s">
        <v>177</v>
      </c>
      <c r="K18" s="6" t="s">
        <v>14</v>
      </c>
      <c r="L18" s="6" t="s">
        <v>10</v>
      </c>
      <c r="M18" s="6" t="s">
        <v>68</v>
      </c>
      <c r="N18" s="6" t="s">
        <v>131</v>
      </c>
      <c r="O18" s="6" t="s">
        <v>138</v>
      </c>
      <c r="P18" s="6" t="s">
        <v>178</v>
      </c>
      <c r="Q18" s="327" t="s">
        <v>24</v>
      </c>
      <c r="R18" s="6" t="s">
        <v>284</v>
      </c>
      <c r="S18" s="327" t="s">
        <v>211</v>
      </c>
      <c r="T18" s="339" t="s">
        <v>309</v>
      </c>
      <c r="U18" s="63" t="s">
        <v>136</v>
      </c>
      <c r="V18" s="63" t="s">
        <v>182</v>
      </c>
      <c r="W18" s="340" t="s">
        <v>136</v>
      </c>
      <c r="X18" s="341" t="s">
        <v>182</v>
      </c>
      <c r="AA18" s="111" t="s">
        <v>196</v>
      </c>
      <c r="AB18" s="85">
        <f>'SAR and RAR'!AB18</f>
        <v>977849.68127552967</v>
      </c>
      <c r="AC18" s="85">
        <f>'SAR and RAR'!AC18</f>
        <v>993281.41063143138</v>
      </c>
    </row>
    <row r="19" spans="2:40" ht="15.5">
      <c r="B19" s="342"/>
      <c r="C19" s="2"/>
      <c r="D19" s="5"/>
      <c r="F19" s="5" t="s">
        <v>389</v>
      </c>
      <c r="G19" s="134">
        <f>VLOOKUP(Summary!$D$3,$F$41:$Q$44,G$33,FALSE)</f>
        <v>1</v>
      </c>
      <c r="H19" s="134">
        <f>VLOOKUP(Summary!$D$3,$F$41:$T$44,H$33,FALSE)</f>
        <v>0.30555356402592271</v>
      </c>
      <c r="I19" s="134">
        <f>VLOOKUP(Summary!$D$3,$F$41:$T$44,I$33,FALSE)</f>
        <v>0.30555356402592271</v>
      </c>
      <c r="J19" s="134">
        <f>VLOOKUP(Summary!$D$3,$F$41:$T$44,J$33,FALSE)</f>
        <v>0.30555356402592271</v>
      </c>
      <c r="K19" s="134">
        <f>VLOOKUP(Summary!$D$3,$F$41:$T$44,K$33,FALSE)</f>
        <v>0.30555356402592271</v>
      </c>
      <c r="L19" s="134">
        <f>VLOOKUP(Summary!$D$3,$F$41:$T$44,L$33,FALSE)</f>
        <v>0.30555356402592271</v>
      </c>
      <c r="M19" s="134">
        <f>VLOOKUP(Summary!$D$3,$F$41:$T$44,M$33,FALSE)</f>
        <v>0.30555356402592271</v>
      </c>
      <c r="N19" s="134">
        <f>VLOOKUP(Summary!$D$3,$F$41:$T$44,N$33,FALSE)</f>
        <v>0.30555356402592271</v>
      </c>
      <c r="O19" s="134">
        <f>VLOOKUP(Summary!$D$3,$F$41:$T$44,O$33,FALSE)</f>
        <v>0.30555356402592271</v>
      </c>
      <c r="P19" s="134">
        <f>VLOOKUP(Summary!$D$3,$F$41:$T$44,P$33,FALSE)</f>
        <v>0.30555356402592271</v>
      </c>
      <c r="Q19" s="134">
        <f>VLOOKUP(Summary!$D$3,$F$41:$T$44,Q$33,FALSE)</f>
        <v>0.30555356402592271</v>
      </c>
      <c r="R19" s="134">
        <f>VLOOKUP(Summary!$D$3,$F$41:$T$44,R$33,FALSE)</f>
        <v>0.30555356402592271</v>
      </c>
      <c r="S19" s="134">
        <f>VLOOKUP(Summary!$D$3,$F$41:$T$44,S$33,FALSE)</f>
        <v>2.6848585640091667</v>
      </c>
      <c r="T19" s="110">
        <f>VLOOKUP(Summary!$D$3,$F$41:$T$44,T$33,FALSE)</f>
        <v>0.30555356402592271</v>
      </c>
      <c r="U19" s="87">
        <f>SUMPRODUCT(G10:T10,G19:T19)</f>
        <v>746040.78268432687</v>
      </c>
      <c r="V19" s="87">
        <f>U19+AB21*H19</f>
        <v>771297.64318477025</v>
      </c>
      <c r="W19" s="113">
        <f>SUMPRODUCT(G13:T13,G19:T19)</f>
        <v>763243.83946629742</v>
      </c>
      <c r="X19" s="114">
        <f>W19+AC21*H19</f>
        <v>788899.2858057362</v>
      </c>
      <c r="AA19" s="111" t="s">
        <v>388</v>
      </c>
      <c r="AB19" s="331">
        <f>VLOOKUP(Summary!$D$3,$F$51:$O$54,10,FALSE)</f>
        <v>5847440.853333055</v>
      </c>
      <c r="AC19" s="115">
        <f>AB19</f>
        <v>5847440.853333055</v>
      </c>
    </row>
    <row r="20" spans="2:40" ht="15.5">
      <c r="B20" s="342"/>
      <c r="C20" s="342"/>
      <c r="D20" s="5"/>
      <c r="F20" s="5" t="s">
        <v>23</v>
      </c>
      <c r="G20" s="134">
        <f>VLOOKUP(Summary!$D$3,$F$45:$T$48,G$33,FALSE)</f>
        <v>1</v>
      </c>
      <c r="H20" s="134">
        <f>VLOOKUP(Summary!$D$3,$F$45:$T$48,H$33,FALSE)</f>
        <v>0.34324990068571132</v>
      </c>
      <c r="I20" s="134">
        <f>VLOOKUP(Summary!$D$3,$F$45:$T$48,I$33,FALSE)</f>
        <v>0.34324990068571132</v>
      </c>
      <c r="J20" s="134">
        <f>VLOOKUP(Summary!$D$3,$F$45:$T$48,J$33,FALSE)</f>
        <v>0.34324990068571132</v>
      </c>
      <c r="K20" s="134">
        <f>VLOOKUP(Summary!$D$3,$F$45:$T$48,K$33,FALSE)</f>
        <v>0.34324990068571132</v>
      </c>
      <c r="L20" s="134">
        <f>VLOOKUP(Summary!$D$3,$F$45:$T$48,L$33,FALSE)</f>
        <v>0.34324990068571132</v>
      </c>
      <c r="M20" s="134">
        <f>VLOOKUP(Summary!$D$3,$F$45:$T$48,M$33,FALSE)</f>
        <v>0.34324990068571132</v>
      </c>
      <c r="N20" s="134">
        <f>VLOOKUP(Summary!$D$3,$F$45:$T$48,N$33,FALSE)</f>
        <v>0.34324990068571132</v>
      </c>
      <c r="O20" s="134">
        <f>VLOOKUP(Summary!$D$3,$F$45:$T$48,O$33,FALSE)</f>
        <v>0.34324990068571132</v>
      </c>
      <c r="P20" s="134">
        <f>VLOOKUP(Summary!$D$3,$F$45:$T$48,P$33,FALSE)</f>
        <v>0.34324990068571132</v>
      </c>
      <c r="Q20" s="134">
        <f>VLOOKUP(Summary!$D$3,$F$45:$T$48,Q$33,FALSE)</f>
        <v>0.34324990068571132</v>
      </c>
      <c r="R20" s="134">
        <f>VLOOKUP(Summary!$D$3,$F$45:$T$48,R$33,FALSE)</f>
        <v>0.34324990068571132</v>
      </c>
      <c r="S20" s="134">
        <f>VLOOKUP(Summary!$D$3,$F$45:$T$48,S$33,FALSE)</f>
        <v>1.8640415411060298</v>
      </c>
      <c r="T20" s="110">
        <f>VLOOKUP(Summary!$D$3,$F$45:$T$48,T$33,FALSE)</f>
        <v>0.34324990068571132</v>
      </c>
      <c r="U20" s="87">
        <f>SUMPRODUCT(G11:T11,G20:T20)</f>
        <v>9038732.2506202925</v>
      </c>
      <c r="V20" s="87">
        <f>U20</f>
        <v>9038732.2506202925</v>
      </c>
      <c r="W20" s="113">
        <f>SUMPRODUCT(G14:T14,G20:T20)</f>
        <v>9255789.7738462556</v>
      </c>
      <c r="X20" s="114">
        <f>W20</f>
        <v>9255789.7738462556</v>
      </c>
      <c r="AA20" s="111" t="s">
        <v>232</v>
      </c>
      <c r="AB20" s="331">
        <f>VLOOKUP(Summary!$D$3,$F$55:$O$58,2,FALSE)</f>
        <v>69174483.386814445</v>
      </c>
      <c r="AC20" s="115">
        <f>AB20</f>
        <v>69174483.386814445</v>
      </c>
    </row>
    <row r="21" spans="2:40" ht="15.5">
      <c r="B21" s="342"/>
      <c r="C21" s="342"/>
      <c r="D21" s="5"/>
      <c r="G21" s="325"/>
      <c r="H21" s="325"/>
      <c r="I21" s="325"/>
      <c r="J21" s="325"/>
      <c r="K21" s="325"/>
      <c r="L21" s="325"/>
      <c r="M21" s="325"/>
      <c r="N21" s="325"/>
      <c r="O21" s="325"/>
      <c r="P21" s="325"/>
      <c r="Q21" s="325"/>
      <c r="S21" s="325"/>
      <c r="U21" s="5"/>
      <c r="V21" s="87"/>
      <c r="AA21" s="111" t="s">
        <v>409</v>
      </c>
      <c r="AB21" s="85">
        <f>AB18*AB19/AB20</f>
        <v>82659.354934902905</v>
      </c>
      <c r="AC21" s="85">
        <f>AC18*AC19/AC20</f>
        <v>83963.826182901816</v>
      </c>
    </row>
    <row r="22" spans="2:40" ht="15.5">
      <c r="B22" s="342"/>
      <c r="C22" s="342"/>
      <c r="D22" s="5"/>
      <c r="F22" s="35" t="str">
        <f>"Notes: Allocation and bundled/unbundled split based on "&amp;Summary!L4&amp;" sales forecast"</f>
        <v>Notes: Allocation and bundled/unbundled split based on 2025 sales forecast</v>
      </c>
      <c r="R22" s="325"/>
      <c r="S22" s="6"/>
      <c r="T22" s="5"/>
      <c r="V22" s="39" t="s">
        <v>494</v>
      </c>
      <c r="W22" s="333">
        <f>P10*P19</f>
        <v>-10504.228289189468</v>
      </c>
      <c r="X22" s="333">
        <f>P13*P19</f>
        <v>-10504.228289189468</v>
      </c>
      <c r="Y22" s="343"/>
    </row>
    <row r="23" spans="2:40" ht="15.5">
      <c r="B23" s="342"/>
      <c r="C23" s="342"/>
      <c r="E23" s="5"/>
      <c r="F23" s="5"/>
      <c r="G23" s="342">
        <f>G10*G19</f>
        <v>309295.40852808359</v>
      </c>
      <c r="H23" s="342">
        <f t="shared" ref="H23:T23" si="4">H10*H19</f>
        <v>355687.34546342748</v>
      </c>
      <c r="I23" s="342">
        <f t="shared" si="4"/>
        <v>-434.14071364412973</v>
      </c>
      <c r="J23" s="342">
        <f t="shared" si="4"/>
        <v>16024.03256362864</v>
      </c>
      <c r="K23" s="342">
        <f t="shared" si="4"/>
        <v>7046.2323816767012</v>
      </c>
      <c r="L23" s="342">
        <f t="shared" si="4"/>
        <v>63762.07399724979</v>
      </c>
      <c r="M23" s="342">
        <f t="shared" si="4"/>
        <v>-1212.2537137816307</v>
      </c>
      <c r="N23" s="342">
        <f t="shared" si="4"/>
        <v>16.310041983933203</v>
      </c>
      <c r="O23" s="342">
        <f t="shared" si="4"/>
        <v>-13464.050846273716</v>
      </c>
      <c r="P23" s="342">
        <f>P10*P19</f>
        <v>-10504.228289189468</v>
      </c>
      <c r="Q23" s="342">
        <f t="shared" si="4"/>
        <v>10653.388337481811</v>
      </c>
      <c r="R23" s="342">
        <f t="shared" si="4"/>
        <v>6250.7216683190118</v>
      </c>
      <c r="S23" s="342">
        <f t="shared" si="4"/>
        <v>-39695.378890738684</v>
      </c>
      <c r="T23" s="342">
        <f t="shared" si="4"/>
        <v>42615.322156103532</v>
      </c>
      <c r="U23" s="5"/>
      <c r="V23" s="39" t="s">
        <v>495</v>
      </c>
      <c r="W23" s="333">
        <f>P11*P20</f>
        <v>-247505.42030146247</v>
      </c>
      <c r="X23" s="344">
        <f>P14*P20</f>
        <v>-247505.42030146247</v>
      </c>
      <c r="Y23" s="5"/>
    </row>
    <row r="24" spans="2:40" ht="16" thickBot="1">
      <c r="B24" s="342"/>
      <c r="C24" s="342"/>
      <c r="E24" s="63"/>
      <c r="F24" s="63"/>
      <c r="G24" s="345"/>
      <c r="H24" s="63"/>
      <c r="I24" s="63"/>
      <c r="J24" s="63"/>
      <c r="K24" s="63"/>
      <c r="L24" s="63"/>
      <c r="M24" s="63"/>
      <c r="N24" s="63"/>
      <c r="O24" s="63"/>
      <c r="P24" s="63"/>
      <c r="Q24" s="63"/>
      <c r="R24" s="63"/>
      <c r="S24" s="16"/>
      <c r="T24" s="16"/>
      <c r="U24" s="346"/>
      <c r="V24" s="346"/>
      <c r="X24" s="5"/>
      <c r="Y24" s="168"/>
    </row>
    <row r="25" spans="2:40" ht="16" thickBot="1">
      <c r="B25" s="342"/>
      <c r="C25" s="342"/>
      <c r="E25" s="63"/>
      <c r="F25" s="63"/>
      <c r="G25" s="63"/>
      <c r="H25" s="63"/>
      <c r="I25" s="63"/>
      <c r="J25" s="63"/>
      <c r="K25" s="63"/>
      <c r="L25" s="63"/>
      <c r="M25" s="63"/>
      <c r="N25" s="63"/>
      <c r="O25" s="63"/>
      <c r="P25" s="63"/>
      <c r="Q25" s="63"/>
      <c r="R25" s="63"/>
      <c r="S25" s="347"/>
      <c r="T25" s="348"/>
      <c r="U25" s="348"/>
      <c r="V25" s="348"/>
      <c r="X25" s="5"/>
      <c r="Y25" s="349"/>
      <c r="AA25" s="451">
        <v>2025</v>
      </c>
      <c r="AB25" s="452"/>
      <c r="AC25" s="452"/>
      <c r="AD25" s="452"/>
      <c r="AE25" s="452"/>
      <c r="AF25" s="453"/>
      <c r="AI25" s="451">
        <v>2026</v>
      </c>
      <c r="AJ25" s="452"/>
      <c r="AK25" s="452"/>
      <c r="AL25" s="452"/>
      <c r="AM25" s="452"/>
      <c r="AN25" s="453"/>
    </row>
    <row r="26" spans="2:40" ht="15.5">
      <c r="B26" s="342"/>
      <c r="C26" s="342"/>
      <c r="D26" s="5"/>
      <c r="E26" s="5"/>
      <c r="F26" s="457" t="s">
        <v>25</v>
      </c>
      <c r="G26" s="458"/>
      <c r="H26" s="458"/>
      <c r="I26" s="458"/>
      <c r="J26" s="458"/>
      <c r="K26" s="459"/>
      <c r="O26" s="5"/>
      <c r="P26" s="457" t="s">
        <v>27</v>
      </c>
      <c r="Q26" s="458"/>
      <c r="R26" s="458"/>
      <c r="S26" s="458"/>
      <c r="T26" s="458"/>
      <c r="U26" s="459"/>
      <c r="V26" s="350"/>
      <c r="Z26" s="5"/>
      <c r="AA26" s="351"/>
      <c r="AB26" s="139">
        <v>500000000</v>
      </c>
      <c r="AC26" s="135"/>
      <c r="AF26" s="135"/>
      <c r="AI26" s="351"/>
      <c r="AJ26" s="139">
        <v>500000000</v>
      </c>
      <c r="AK26" s="135"/>
      <c r="AN26" s="135"/>
    </row>
    <row r="27" spans="2:40" ht="46.5">
      <c r="B27" s="342"/>
      <c r="C27" s="342"/>
      <c r="D27" s="5"/>
      <c r="E27" s="5"/>
      <c r="F27" s="6" t="str">
        <f>Summary!D3&amp;" Sales"</f>
        <v>2025 Sales</v>
      </c>
      <c r="G27" s="6" t="str">
        <f>TEXT(Summary!L3,"mm/d/yyyy")&amp;" Avg Rates"</f>
        <v>09/1/2025 Avg Rates</v>
      </c>
      <c r="H27" s="6" t="s">
        <v>184</v>
      </c>
      <c r="I27" s="6" t="s">
        <v>185</v>
      </c>
      <c r="J27" s="6" t="s">
        <v>186</v>
      </c>
      <c r="K27" s="6" t="s">
        <v>187</v>
      </c>
      <c r="O27" s="5"/>
      <c r="P27" s="6" t="str">
        <f>F27</f>
        <v>2025 Sales</v>
      </c>
      <c r="Q27" s="6" t="str">
        <f>G27</f>
        <v>09/1/2025 Avg Rates</v>
      </c>
      <c r="R27" s="6" t="s">
        <v>184</v>
      </c>
      <c r="S27" s="6" t="s">
        <v>185</v>
      </c>
      <c r="T27" s="6" t="s">
        <v>186</v>
      </c>
      <c r="U27" s="6" t="s">
        <v>187</v>
      </c>
      <c r="V27" s="350"/>
      <c r="Z27" s="5"/>
      <c r="AA27" s="354" t="s">
        <v>312</v>
      </c>
      <c r="AB27" s="139">
        <f>(SUMIF('Authorized Rev Req'!T:T, "Distribution (Wildfire)", 'Authorized Rev Req'!R:R)+SUMIF('Authorized Rev Req'!T:T, "WHC", 'Authorized Rev Req'!R:R))*1000</f>
        <v>2216164203.6611958</v>
      </c>
      <c r="AC27" s="135"/>
      <c r="AF27" s="135"/>
      <c r="AI27" s="354" t="s">
        <v>312</v>
      </c>
      <c r="AJ27" s="139">
        <f>('Incremental Rev Req'!T119+'Incremental Rev Req'!T118)*1000</f>
        <v>2029797213.917661</v>
      </c>
      <c r="AK27" s="135"/>
      <c r="AN27" s="135"/>
    </row>
    <row r="28" spans="2:40" ht="16" thickBot="1">
      <c r="B28" s="342"/>
      <c r="C28" s="16"/>
      <c r="D28" s="5"/>
      <c r="E28" s="5" t="s">
        <v>389</v>
      </c>
      <c r="F28" s="144">
        <f>VLOOKUP(Summary!$D$3,$J$51:$K$54,2,FALSE)</f>
        <v>1786706.3931666978</v>
      </c>
      <c r="G28" s="345">
        <f>IF(Summary!$I$3="Y", AB52,AC52 )</f>
        <v>43.255570991528394</v>
      </c>
      <c r="H28" s="16">
        <f>IF(Summary!$I$3="Y",V19/$F$28*100,SUM(V19-W22)/$F$28*100)</f>
        <v>43.16868435321085</v>
      </c>
      <c r="I28" s="16">
        <f>IF(Summary!$I$3="Y",X19/$F$28*100,SUM(X19-X22)/$F$28*100)</f>
        <v>44.153829013144005</v>
      </c>
      <c r="J28" s="164">
        <f>H28/G28-1</f>
        <v>-2.0086808779974374E-3</v>
      </c>
      <c r="K28" s="164">
        <f>I28/G28-1</f>
        <v>2.0766296711041798E-2</v>
      </c>
      <c r="O28" s="5" t="s">
        <v>389</v>
      </c>
      <c r="P28" s="144">
        <f>VLOOKUP(Summary!$D$3,$N$51:$O$54,2,FALSE)</f>
        <v>5847440.853333055</v>
      </c>
      <c r="Q28" s="345">
        <f>IF(Summary!$I$3="Y", AE52,AF52 )</f>
        <v>33.291687061124286</v>
      </c>
      <c r="R28" s="16">
        <f>IF(Summary!$I$3="Y",(U10+AB21)/P28*100,(U10+AB21-P10)/P28)</f>
        <v>33.11603684841139</v>
      </c>
      <c r="S28" s="16">
        <f>IF(Summary!$I$3="Y",(U13+AC21)/P28*100,(U13+AC21-P11)/P28)</f>
        <v>33.801596366429258</v>
      </c>
      <c r="T28" s="164">
        <f>R28/Q28-1</f>
        <v>-5.2760982761371755E-3</v>
      </c>
      <c r="U28" s="164">
        <f>S28/Q28-1</f>
        <v>1.531641530718364E-2</v>
      </c>
      <c r="V28" s="350"/>
      <c r="X28" s="85"/>
      <c r="AA28" s="137"/>
      <c r="AB28" s="138"/>
      <c r="AC28" s="356"/>
      <c r="AF28" s="135"/>
      <c r="AI28" s="137"/>
      <c r="AJ28" s="138"/>
      <c r="AK28" s="356"/>
      <c r="AN28" s="135"/>
    </row>
    <row r="29" spans="2:40" ht="15.5">
      <c r="E29" s="355" t="s">
        <v>23</v>
      </c>
      <c r="F29" s="144">
        <f>VLOOKUP(Summary!$D$3,$J$55:$K$58,2,FALSE)</f>
        <v>26204056.23133941</v>
      </c>
      <c r="G29" s="345">
        <f>IF(Summary!$I$3="Y", AB53,AC53 )</f>
        <v>34.778170423848316</v>
      </c>
      <c r="H29" s="16">
        <f>IF(Summary!$I$3="Y",V20/$F$29*100,SUM(V20-W23)/$F$29*100)</f>
        <v>34.493637820125691</v>
      </c>
      <c r="I29" s="16">
        <f>IF(Summary!$I$3="Y",W20/$F$29*100,SUM(W20-X23)/$F$29*100)</f>
        <v>35.321973407981616</v>
      </c>
      <c r="J29" s="164">
        <f>H29/G29-1</f>
        <v>-8.1813563006613021E-3</v>
      </c>
      <c r="K29" s="164">
        <f>I29/G29-1</f>
        <v>1.5636330994582837E-2</v>
      </c>
      <c r="O29" s="355" t="s">
        <v>23</v>
      </c>
      <c r="P29" s="144">
        <f>VLOOKUP(Summary!$D$3,$N$55:$O$58,2,FALSE)</f>
        <v>76341045.340410858</v>
      </c>
      <c r="Q29" s="345">
        <f>IF(Summary!$I$3="Y", AE53,AF53 )</f>
        <v>24.987041940003813</v>
      </c>
      <c r="R29" s="16">
        <f>IF(Summary!$I$3="Y",(U11+AB21)/P29*100,(U11+AB21-P11)/P29)</f>
        <v>25.117853648574258</v>
      </c>
      <c r="S29" s="16">
        <f>IF(Summary!$I$3="Y",(U14+AC21)/P29*100,(U14+AC21-P11)/P29)</f>
        <v>25.673921908435659</v>
      </c>
      <c r="T29" s="164">
        <f>R29/Q29-1</f>
        <v>5.2351818548403983E-3</v>
      </c>
      <c r="U29" s="164">
        <f>S29/Q29-1</f>
        <v>2.7489447133482559E-2</v>
      </c>
      <c r="V29" s="359"/>
      <c r="AA29" s="360"/>
      <c r="AB29" s="361" t="s">
        <v>5</v>
      </c>
      <c r="AC29" s="353" t="s">
        <v>299</v>
      </c>
      <c r="AE29" s="362" t="s">
        <v>310</v>
      </c>
      <c r="AF29" s="363" t="s">
        <v>311</v>
      </c>
      <c r="AI29" s="360"/>
      <c r="AJ29" s="361" t="s">
        <v>5</v>
      </c>
      <c r="AK29" s="353" t="s">
        <v>299</v>
      </c>
      <c r="AM29" s="362" t="s">
        <v>310</v>
      </c>
      <c r="AN29" s="363" t="s">
        <v>311</v>
      </c>
    </row>
    <row r="30" spans="2:40" ht="15.5">
      <c r="Q30" s="5"/>
      <c r="R30" s="5"/>
      <c r="S30" s="347"/>
      <c r="T30" s="348"/>
      <c r="U30" s="347"/>
      <c r="V30" s="350"/>
      <c r="AA30" s="136" t="s">
        <v>300</v>
      </c>
      <c r="AB30" s="159">
        <f>'SAR and RAR'!AB30</f>
        <v>0.47516020360540567</v>
      </c>
      <c r="AC30" s="160">
        <f>'SAR and RAR'!AC30</f>
        <v>0.37878142497358519</v>
      </c>
      <c r="AE30" s="394">
        <f>AVERAGE(AB31:AC31)</f>
        <v>0.10256714807736109</v>
      </c>
      <c r="AF30" s="160">
        <f>(0.125*AB31)+(0.875*AC31)</f>
        <v>9.5590554699332614E-2</v>
      </c>
      <c r="AI30" s="136" t="s">
        <v>300</v>
      </c>
      <c r="AJ30" s="159">
        <f>'SAR and RAR'!AJ30</f>
        <v>0.46319682150926622</v>
      </c>
      <c r="AK30" s="160">
        <f>'SAR and RAR'!AK30</f>
        <v>0.37878142497358519</v>
      </c>
      <c r="AM30" s="394">
        <f>AVERAGE(AJ31:AK31)</f>
        <v>0.10012007815001578</v>
      </c>
      <c r="AN30" s="160">
        <f>(0.125*AJ31)+(0.875*AK31)</f>
        <v>9.4978787217496294E-2</v>
      </c>
    </row>
    <row r="31" spans="2:40" ht="15.5">
      <c r="Q31" s="5"/>
      <c r="R31" s="5"/>
      <c r="S31" s="347"/>
      <c r="T31" s="348"/>
      <c r="U31" s="347"/>
      <c r="V31" s="359"/>
      <c r="AA31" s="136" t="s">
        <v>389</v>
      </c>
      <c r="AB31" s="159">
        <f>'SAR and RAR'!AB31</f>
        <v>0.11186927258139906</v>
      </c>
      <c r="AC31" s="160">
        <f>'SAR and RAR'!AC31</f>
        <v>9.3265023573323128E-2</v>
      </c>
      <c r="AF31" s="135"/>
      <c r="AI31" s="136" t="s">
        <v>389</v>
      </c>
      <c r="AJ31" s="159">
        <f>'SAR and RAR'!AJ31</f>
        <v>0.10697513272670844</v>
      </c>
      <c r="AK31" s="160">
        <f>'SAR and RAR'!AK31</f>
        <v>9.3265023573323128E-2</v>
      </c>
      <c r="AN31" s="135"/>
    </row>
    <row r="32" spans="2:40" ht="15.5">
      <c r="B32" s="342"/>
      <c r="C32" s="342"/>
      <c r="D32" s="5"/>
      <c r="E32" s="5"/>
      <c r="F32" s="364"/>
      <c r="G32" s="364"/>
      <c r="H32" s="364"/>
      <c r="I32" s="63"/>
      <c r="J32" s="63"/>
      <c r="K32" s="63"/>
      <c r="L32" s="5"/>
      <c r="M32" s="5"/>
      <c r="N32" s="5"/>
      <c r="O32" s="5"/>
      <c r="P32" s="5"/>
      <c r="Q32" s="5"/>
      <c r="R32" s="5"/>
      <c r="S32" s="347"/>
      <c r="T32" s="348"/>
      <c r="U32" s="347"/>
      <c r="V32" s="359"/>
      <c r="W32" s="359"/>
      <c r="X32" s="350"/>
      <c r="AA32" s="39" t="s">
        <v>410</v>
      </c>
      <c r="AB32" s="159">
        <f>'SAR and RAR'!AB32</f>
        <v>3.0903521567746794E-2</v>
      </c>
      <c r="AC32" s="160">
        <f>'SAR and RAR'!AC32</f>
        <v>2.6315088307225929E-2</v>
      </c>
      <c r="AF32" s="135"/>
      <c r="AI32" s="39" t="s">
        <v>410</v>
      </c>
      <c r="AJ32" s="159">
        <f>'SAR and RAR'!AJ32</f>
        <v>3.3518295432342179E-2</v>
      </c>
      <c r="AK32" s="160">
        <f>'SAR and RAR'!AK32</f>
        <v>2.6315088307225929E-2</v>
      </c>
      <c r="AN32" s="135"/>
    </row>
    <row r="33" spans="2:40" ht="15.5">
      <c r="B33" s="342"/>
      <c r="C33" s="342"/>
      <c r="D33" s="5"/>
      <c r="E33" s="63"/>
      <c r="F33" s="344"/>
      <c r="G33" s="6">
        <v>2</v>
      </c>
      <c r="H33" s="6">
        <v>3</v>
      </c>
      <c r="I33" s="63">
        <v>4</v>
      </c>
      <c r="J33" s="63">
        <v>5</v>
      </c>
      <c r="K33" s="63">
        <v>6</v>
      </c>
      <c r="L33" s="6">
        <v>7</v>
      </c>
      <c r="M33" s="6">
        <v>8</v>
      </c>
      <c r="N33" s="6">
        <v>9</v>
      </c>
      <c r="O33" s="6">
        <v>10</v>
      </c>
      <c r="P33" s="6">
        <v>11</v>
      </c>
      <c r="Q33" s="6">
        <v>12</v>
      </c>
      <c r="R33" s="6">
        <v>13</v>
      </c>
      <c r="S33" s="6">
        <v>14</v>
      </c>
      <c r="T33" s="348">
        <v>15</v>
      </c>
      <c r="U33" s="347"/>
      <c r="V33" s="350"/>
      <c r="W33" s="359"/>
      <c r="X33" s="350"/>
      <c r="AA33" s="136" t="s">
        <v>301</v>
      </c>
      <c r="AB33" s="159">
        <f>'SAR and RAR'!AB33</f>
        <v>9.0860972888808206E-2</v>
      </c>
      <c r="AC33" s="160">
        <f>'SAR and RAR'!AC33</f>
        <v>0.10322124696673839</v>
      </c>
      <c r="AF33" s="135"/>
      <c r="AI33" s="136" t="s">
        <v>301</v>
      </c>
      <c r="AJ33" s="159">
        <f>'SAR and RAR'!AJ33</f>
        <v>8.8372492741079403E-2</v>
      </c>
      <c r="AK33" s="160">
        <f>'SAR and RAR'!AK33</f>
        <v>0.10322124696673839</v>
      </c>
      <c r="AN33" s="135"/>
    </row>
    <row r="34" spans="2:40" ht="15.5">
      <c r="B34" s="342"/>
      <c r="C34" s="342"/>
      <c r="D34" s="35"/>
      <c r="E34" s="330"/>
      <c r="F34" s="330" t="s">
        <v>397</v>
      </c>
      <c r="G34" s="6" t="s">
        <v>3</v>
      </c>
      <c r="H34" s="6" t="s">
        <v>5</v>
      </c>
      <c r="I34" s="6" t="s">
        <v>16</v>
      </c>
      <c r="J34" s="6" t="s">
        <v>177</v>
      </c>
      <c r="K34" s="6" t="s">
        <v>14</v>
      </c>
      <c r="L34" s="6" t="s">
        <v>10</v>
      </c>
      <c r="M34" s="6" t="s">
        <v>68</v>
      </c>
      <c r="N34" s="6" t="s">
        <v>131</v>
      </c>
      <c r="O34" s="6" t="s">
        <v>138</v>
      </c>
      <c r="P34" s="6" t="s">
        <v>178</v>
      </c>
      <c r="Q34" s="6" t="s">
        <v>24</v>
      </c>
      <c r="R34" s="6" t="s">
        <v>284</v>
      </c>
      <c r="S34" s="6" t="s">
        <v>211</v>
      </c>
      <c r="T34" s="60" t="s">
        <v>309</v>
      </c>
      <c r="U34" s="348"/>
      <c r="V34" s="346"/>
      <c r="W34" s="359"/>
      <c r="AA34" s="136" t="s">
        <v>302</v>
      </c>
      <c r="AB34" s="159">
        <f>'SAR and RAR'!AB34</f>
        <v>0.14195734128774121</v>
      </c>
      <c r="AC34" s="160">
        <f>'SAR and RAR'!AC34</f>
        <v>0.17808832329843</v>
      </c>
      <c r="AF34" s="135"/>
      <c r="AI34" s="136" t="s">
        <v>302</v>
      </c>
      <c r="AJ34" s="159">
        <f>'SAR and RAR'!AJ34</f>
        <v>0.14734027441189779</v>
      </c>
      <c r="AK34" s="160">
        <f>'SAR and RAR'!AK34</f>
        <v>0.17808832329843</v>
      </c>
      <c r="AN34" s="135"/>
    </row>
    <row r="35" spans="2:40" ht="15.5">
      <c r="E35" s="5"/>
      <c r="F35" s="365">
        <v>2025</v>
      </c>
      <c r="G35" s="95">
        <v>6.8693888195402925E-2</v>
      </c>
      <c r="H35" s="95">
        <v>0.11186927258139906</v>
      </c>
      <c r="I35" s="95">
        <v>7.4706191029710822E-2</v>
      </c>
      <c r="J35" s="95">
        <v>8.422601712391331E-2</v>
      </c>
      <c r="K35" s="95">
        <v>7.0838044101834891E-2</v>
      </c>
      <c r="L35" s="95">
        <v>7.1882727417591191E-2</v>
      </c>
      <c r="M35" s="95">
        <v>7.671731264654813E-2</v>
      </c>
      <c r="N35" s="95">
        <v>7.6334084178728168E-2</v>
      </c>
      <c r="O35" s="95">
        <v>7.2054437570881466E-2</v>
      </c>
      <c r="P35" s="95">
        <v>4.7676295613109779E-2</v>
      </c>
      <c r="Q35" s="95">
        <v>8.4510690203994557E-2</v>
      </c>
      <c r="R35" s="95">
        <v>0.10325962399932154</v>
      </c>
      <c r="S35" s="95">
        <v>4.7655376755746631E-2</v>
      </c>
      <c r="T35" s="95">
        <f>((AB26*AE30)+((AB27-AB26)*(AF30)))/AB27</f>
        <v>9.7164579170647247E-2</v>
      </c>
      <c r="U35" s="348"/>
      <c r="V35" s="348"/>
      <c r="W35" s="359"/>
      <c r="AA35" s="136" t="s">
        <v>303</v>
      </c>
      <c r="AB35" s="159">
        <f>'SAR and RAR'!AB35</f>
        <v>3.4542583531650232E-3</v>
      </c>
      <c r="AC35" s="160">
        <f>'SAR and RAR'!AC35</f>
        <v>3.8884974138957825E-3</v>
      </c>
      <c r="AF35" s="135"/>
      <c r="AI35" s="136" t="s">
        <v>303</v>
      </c>
      <c r="AJ35" s="159">
        <f>'SAR and RAR'!AJ35</f>
        <v>3.428713267154018E-3</v>
      </c>
      <c r="AK35" s="160">
        <f>'SAR and RAR'!AK35</f>
        <v>3.8884974138957825E-3</v>
      </c>
      <c r="AN35" s="135"/>
    </row>
    <row r="36" spans="2:40" ht="15.5">
      <c r="E36" s="5"/>
      <c r="F36" s="365">
        <f>F35+1</f>
        <v>2026</v>
      </c>
      <c r="G36" s="95">
        <v>6.0576268320025418E-2</v>
      </c>
      <c r="H36" s="95">
        <v>0.10697513272670844</v>
      </c>
      <c r="I36" s="95">
        <v>6.9656835265363551E-2</v>
      </c>
      <c r="J36" s="95">
        <v>7.9871062942367746E-2</v>
      </c>
      <c r="K36" s="95">
        <v>6.6202134539472185E-2</v>
      </c>
      <c r="L36" s="95">
        <v>6.6431059935371489E-2</v>
      </c>
      <c r="M36" s="95">
        <v>7.2066442652027954E-2</v>
      </c>
      <c r="N36" s="95">
        <v>7.1119683769194489E-2</v>
      </c>
      <c r="O36" s="95">
        <v>6.5749117163648535E-2</v>
      </c>
      <c r="P36" s="95">
        <v>4.4333763116814758E-2</v>
      </c>
      <c r="Q36" s="95">
        <v>7.8965219424401989E-2</v>
      </c>
      <c r="R36" s="95">
        <v>9.7595766901840825E-2</v>
      </c>
      <c r="S36" s="95">
        <v>7.797780481067404E-2</v>
      </c>
      <c r="T36" s="95">
        <f>((AJ26*AM30)+((AJ27-AJ26)*(AN30)))/AJ27</f>
        <v>9.6245241545363944E-2</v>
      </c>
      <c r="U36" s="347"/>
      <c r="V36" s="348"/>
      <c r="W36" s="395"/>
      <c r="X36" s="348"/>
      <c r="AA36" s="136" t="s">
        <v>304</v>
      </c>
      <c r="AB36" s="159">
        <f>'SAR and RAR'!AB36</f>
        <v>1.9935356686011873E-3</v>
      </c>
      <c r="AC36" s="160">
        <f>'SAR and RAR'!AC36</f>
        <v>4.3851759179107013E-3</v>
      </c>
      <c r="AF36" s="135"/>
      <c r="AI36" s="136" t="s">
        <v>304</v>
      </c>
      <c r="AJ36" s="159">
        <f>'SAR and RAR'!AJ36</f>
        <v>2.1779720854305292E-3</v>
      </c>
      <c r="AK36" s="160">
        <f>'SAR and RAR'!AK36</f>
        <v>4.3851759179107013E-3</v>
      </c>
      <c r="AN36" s="135"/>
    </row>
    <row r="37" spans="2:40" ht="15.5">
      <c r="B37" s="342"/>
      <c r="C37" s="342"/>
      <c r="E37" s="5"/>
      <c r="F37" s="365">
        <f>F36+1</f>
        <v>2027</v>
      </c>
      <c r="G37" s="95">
        <f>G36</f>
        <v>6.0576268320025418E-2</v>
      </c>
      <c r="H37" s="95">
        <f t="shared" ref="H37:T38" si="5">H36</f>
        <v>0.10697513272670844</v>
      </c>
      <c r="I37" s="95">
        <f t="shared" si="5"/>
        <v>6.9656835265363551E-2</v>
      </c>
      <c r="J37" s="95">
        <f t="shared" si="5"/>
        <v>7.9871062942367746E-2</v>
      </c>
      <c r="K37" s="95">
        <f t="shared" si="5"/>
        <v>6.6202134539472185E-2</v>
      </c>
      <c r="L37" s="95">
        <f t="shared" si="5"/>
        <v>6.6431059935371489E-2</v>
      </c>
      <c r="M37" s="95">
        <f t="shared" si="5"/>
        <v>7.2066442652027954E-2</v>
      </c>
      <c r="N37" s="95">
        <f t="shared" si="5"/>
        <v>7.1119683769194489E-2</v>
      </c>
      <c r="O37" s="95">
        <f t="shared" si="5"/>
        <v>6.5749117163648535E-2</v>
      </c>
      <c r="P37" s="95">
        <f t="shared" si="5"/>
        <v>4.4333763116814758E-2</v>
      </c>
      <c r="Q37" s="95">
        <f t="shared" si="5"/>
        <v>7.8965219424401989E-2</v>
      </c>
      <c r="R37" s="95">
        <f t="shared" si="5"/>
        <v>9.7595766901840825E-2</v>
      </c>
      <c r="S37" s="95">
        <f t="shared" si="5"/>
        <v>7.797780481067404E-2</v>
      </c>
      <c r="T37" s="95">
        <f t="shared" si="5"/>
        <v>9.6245241545363944E-2</v>
      </c>
      <c r="U37" s="347"/>
      <c r="V37" s="359"/>
      <c r="W37" s="195"/>
      <c r="X37" s="350"/>
      <c r="AA37" s="136" t="s">
        <v>305</v>
      </c>
      <c r="AB37" s="159">
        <f>'SAR and RAR'!AB37</f>
        <v>9.1138803870466759E-2</v>
      </c>
      <c r="AC37" s="160">
        <f>'SAR and RAR'!AC37</f>
        <v>8.3547997474525529E-2</v>
      </c>
      <c r="AF37" s="135"/>
      <c r="AI37" s="136" t="s">
        <v>305</v>
      </c>
      <c r="AJ37" s="159">
        <f>'SAR and RAR'!AJ37</f>
        <v>9.0535337083328726E-2</v>
      </c>
      <c r="AK37" s="160">
        <f>'SAR and RAR'!AK37</f>
        <v>8.3547997474525529E-2</v>
      </c>
      <c r="AN37" s="135"/>
    </row>
    <row r="38" spans="2:40" ht="15.5">
      <c r="B38" s="342"/>
      <c r="C38" s="342"/>
      <c r="E38" s="5"/>
      <c r="F38" s="365">
        <f>F37+1</f>
        <v>2028</v>
      </c>
      <c r="G38" s="95">
        <f>G37</f>
        <v>6.0576268320025418E-2</v>
      </c>
      <c r="H38" s="95">
        <f t="shared" si="5"/>
        <v>0.10697513272670844</v>
      </c>
      <c r="I38" s="95">
        <f t="shared" si="5"/>
        <v>6.9656835265363551E-2</v>
      </c>
      <c r="J38" s="95">
        <f t="shared" si="5"/>
        <v>7.9871062942367746E-2</v>
      </c>
      <c r="K38" s="95">
        <f t="shared" si="5"/>
        <v>6.6202134539472185E-2</v>
      </c>
      <c r="L38" s="95">
        <f t="shared" si="5"/>
        <v>6.6431059935371489E-2</v>
      </c>
      <c r="M38" s="95">
        <f t="shared" si="5"/>
        <v>7.2066442652027954E-2</v>
      </c>
      <c r="N38" s="95">
        <f t="shared" si="5"/>
        <v>7.1119683769194489E-2</v>
      </c>
      <c r="O38" s="95">
        <f t="shared" si="5"/>
        <v>6.5749117163648535E-2</v>
      </c>
      <c r="P38" s="95">
        <f t="shared" si="5"/>
        <v>4.4333763116814758E-2</v>
      </c>
      <c r="Q38" s="95">
        <f t="shared" si="5"/>
        <v>7.8965219424401989E-2</v>
      </c>
      <c r="R38" s="95">
        <f t="shared" si="5"/>
        <v>9.7595766901840825E-2</v>
      </c>
      <c r="S38" s="95">
        <f t="shared" si="5"/>
        <v>7.797780481067404E-2</v>
      </c>
      <c r="T38" s="95">
        <f t="shared" si="5"/>
        <v>9.6245241545363944E-2</v>
      </c>
      <c r="U38" s="347"/>
      <c r="V38" s="359"/>
      <c r="W38" s="350"/>
      <c r="X38" s="350"/>
      <c r="AA38" s="136" t="s">
        <v>306</v>
      </c>
      <c r="AB38" s="159">
        <f>'SAR and RAR'!AB38</f>
        <v>3.7447212711002258E-2</v>
      </c>
      <c r="AC38" s="160">
        <f>'SAR and RAR'!AC38</f>
        <v>6.4422916278968789E-2</v>
      </c>
      <c r="AF38" s="135"/>
      <c r="AI38" s="136" t="s">
        <v>306</v>
      </c>
      <c r="AJ38" s="159">
        <f>'SAR and RAR'!AJ38</f>
        <v>4.4679223310610638E-2</v>
      </c>
      <c r="AK38" s="160">
        <f>'SAR and RAR'!AK38</f>
        <v>6.4422916278968789E-2</v>
      </c>
      <c r="AN38" s="135"/>
    </row>
    <row r="39" spans="2:40" ht="15.5">
      <c r="B39" s="342"/>
      <c r="C39" s="342"/>
      <c r="E39" s="5"/>
      <c r="F39" s="366"/>
      <c r="G39" s="367"/>
      <c r="H39" s="165"/>
      <c r="I39" s="63"/>
      <c r="J39" s="63"/>
      <c r="K39" s="63"/>
      <c r="L39" s="5"/>
      <c r="M39" s="5"/>
      <c r="N39" s="5"/>
      <c r="O39" s="5"/>
      <c r="P39" s="5"/>
      <c r="Q39" s="5"/>
      <c r="S39" s="5"/>
      <c r="T39" s="348"/>
      <c r="U39" s="347"/>
      <c r="V39" s="359"/>
      <c r="W39" s="195"/>
      <c r="X39" s="359"/>
      <c r="AA39" s="136" t="s">
        <v>307</v>
      </c>
      <c r="AB39" s="159">
        <f>'SAR and RAR'!AB39</f>
        <v>1.4037636037063674E-2</v>
      </c>
      <c r="AC39" s="160">
        <f>'SAR and RAR'!AC39</f>
        <v>2.0523396718052225E-2</v>
      </c>
      <c r="AD39" s="136"/>
      <c r="AF39" s="135"/>
      <c r="AI39" s="136" t="s">
        <v>307</v>
      </c>
      <c r="AJ39" s="159">
        <f>'SAR and RAR'!AJ39</f>
        <v>1.8033255239449274E-2</v>
      </c>
      <c r="AK39" s="160">
        <f>'SAR and RAR'!AK39</f>
        <v>2.0523396718052225E-2</v>
      </c>
      <c r="AN39" s="135"/>
    </row>
    <row r="40" spans="2:40" ht="16" thickBot="1">
      <c r="B40" s="342"/>
      <c r="C40" s="342"/>
      <c r="D40" s="5"/>
      <c r="E40" s="5"/>
      <c r="F40" s="330" t="s">
        <v>180</v>
      </c>
      <c r="G40" s="63"/>
      <c r="H40" s="63"/>
      <c r="I40" s="63"/>
      <c r="J40" s="63"/>
      <c r="K40" s="63"/>
      <c r="L40" s="5"/>
      <c r="M40" s="5"/>
      <c r="N40" s="5"/>
      <c r="O40" s="5"/>
      <c r="P40" s="5"/>
      <c r="Q40" s="5"/>
      <c r="S40" s="5"/>
      <c r="T40" s="348"/>
      <c r="U40" s="347"/>
      <c r="V40" s="359"/>
      <c r="W40" s="359"/>
      <c r="X40" s="350"/>
      <c r="AA40" s="137" t="s">
        <v>308</v>
      </c>
      <c r="AB40" s="161">
        <f>'SAR and RAR'!AB40</f>
        <v>1.1772414285999427E-3</v>
      </c>
      <c r="AC40" s="162">
        <f>'SAR and RAR'!AC40</f>
        <v>4.356090907734439E-2</v>
      </c>
      <c r="AD40" s="137"/>
      <c r="AE40" s="138"/>
      <c r="AF40" s="138"/>
      <c r="AG40" s="136"/>
      <c r="AI40" s="137" t="s">
        <v>308</v>
      </c>
      <c r="AJ40" s="161">
        <f>'SAR and RAR'!AJ40</f>
        <v>1.742482192732658E-3</v>
      </c>
      <c r="AK40" s="162">
        <f>'SAR and RAR'!AK40</f>
        <v>4.356090907734439E-2</v>
      </c>
      <c r="AL40" s="138"/>
      <c r="AM40" s="138"/>
      <c r="AN40" s="356"/>
    </row>
    <row r="41" spans="2:40" ht="15.5">
      <c r="B41" s="342"/>
      <c r="C41" s="342"/>
      <c r="D41" s="5"/>
      <c r="E41" s="5" t="s">
        <v>389</v>
      </c>
      <c r="F41" s="365">
        <f>F35</f>
        <v>2025</v>
      </c>
      <c r="G41" s="95">
        <v>1</v>
      </c>
      <c r="H41" s="95">
        <f t="shared" ref="H41:T41" si="6">$K51/$O51</f>
        <v>0.30555356402592271</v>
      </c>
      <c r="I41" s="95">
        <f t="shared" si="6"/>
        <v>0.30555356402592271</v>
      </c>
      <c r="J41" s="95">
        <f t="shared" si="6"/>
        <v>0.30555356402592271</v>
      </c>
      <c r="K41" s="95">
        <f t="shared" si="6"/>
        <v>0.30555356402592271</v>
      </c>
      <c r="L41" s="95">
        <f t="shared" si="6"/>
        <v>0.30555356402592271</v>
      </c>
      <c r="M41" s="95">
        <f t="shared" si="6"/>
        <v>0.30555356402592271</v>
      </c>
      <c r="N41" s="95">
        <f t="shared" si="6"/>
        <v>0.30555356402592271</v>
      </c>
      <c r="O41" s="95">
        <f t="shared" si="6"/>
        <v>0.30555356402592271</v>
      </c>
      <c r="P41" s="95">
        <f t="shared" si="6"/>
        <v>0.30555356402592271</v>
      </c>
      <c r="Q41" s="95">
        <f t="shared" si="6"/>
        <v>0.30555356402592271</v>
      </c>
      <c r="R41" s="95">
        <f t="shared" si="6"/>
        <v>0.30555356402592271</v>
      </c>
      <c r="S41" s="95">
        <v>2.6848585640091667</v>
      </c>
      <c r="T41" s="95">
        <f t="shared" si="6"/>
        <v>0.30555356402592271</v>
      </c>
      <c r="U41" s="347"/>
      <c r="V41" s="359"/>
      <c r="W41" s="346"/>
      <c r="X41" s="346"/>
    </row>
    <row r="42" spans="2:40" ht="15.5">
      <c r="B42" s="342"/>
      <c r="C42" s="342"/>
      <c r="D42" s="5"/>
      <c r="E42" s="5" t="s">
        <v>389</v>
      </c>
      <c r="F42" s="365">
        <f>F36</f>
        <v>2026</v>
      </c>
      <c r="G42" s="95">
        <v>1</v>
      </c>
      <c r="H42" s="95">
        <f t="shared" ref="H42:T42" si="7">$K52/$O52</f>
        <v>0.26848331084776911</v>
      </c>
      <c r="I42" s="95">
        <f t="shared" si="7"/>
        <v>0.26848331084776911</v>
      </c>
      <c r="J42" s="95">
        <f t="shared" si="7"/>
        <v>0.26848331084776911</v>
      </c>
      <c r="K42" s="95">
        <f t="shared" si="7"/>
        <v>0.26848331084776911</v>
      </c>
      <c r="L42" s="95">
        <f t="shared" si="7"/>
        <v>0.26848331084776911</v>
      </c>
      <c r="M42" s="95">
        <f t="shared" si="7"/>
        <v>0.26848331084776911</v>
      </c>
      <c r="N42" s="95">
        <f t="shared" si="7"/>
        <v>0.26848331084776911</v>
      </c>
      <c r="O42" s="95">
        <f t="shared" si="7"/>
        <v>0.26848331084776911</v>
      </c>
      <c r="P42" s="95">
        <f t="shared" si="7"/>
        <v>0.26848331084776911</v>
      </c>
      <c r="Q42" s="95">
        <f t="shared" si="7"/>
        <v>0.26848331084776911</v>
      </c>
      <c r="R42" s="95">
        <f t="shared" si="7"/>
        <v>0.26848331084776911</v>
      </c>
      <c r="S42" s="95">
        <v>0.19228311092557437</v>
      </c>
      <c r="T42" s="95">
        <f t="shared" si="7"/>
        <v>0.26848331084776911</v>
      </c>
      <c r="U42" s="348"/>
      <c r="V42" s="346"/>
      <c r="X42" s="350"/>
      <c r="AB42" s="369"/>
      <c r="AC42" s="369"/>
    </row>
    <row r="43" spans="2:40" ht="15.5">
      <c r="B43" s="342"/>
      <c r="C43" s="342"/>
      <c r="D43" s="5"/>
      <c r="E43" s="5" t="s">
        <v>389</v>
      </c>
      <c r="F43" s="365">
        <f>F37</f>
        <v>2027</v>
      </c>
      <c r="G43" s="95">
        <f t="shared" ref="G43:S43" si="8">G42</f>
        <v>1</v>
      </c>
      <c r="H43" s="95">
        <f t="shared" si="8"/>
        <v>0.26848331084776911</v>
      </c>
      <c r="I43" s="95">
        <f t="shared" si="8"/>
        <v>0.26848331084776911</v>
      </c>
      <c r="J43" s="95">
        <f t="shared" si="8"/>
        <v>0.26848331084776911</v>
      </c>
      <c r="K43" s="95">
        <f t="shared" si="8"/>
        <v>0.26848331084776911</v>
      </c>
      <c r="L43" s="95">
        <f t="shared" si="8"/>
        <v>0.26848331084776911</v>
      </c>
      <c r="M43" s="95">
        <f t="shared" si="8"/>
        <v>0.26848331084776911</v>
      </c>
      <c r="N43" s="95">
        <f t="shared" si="8"/>
        <v>0.26848331084776911</v>
      </c>
      <c r="O43" s="95">
        <f t="shared" si="8"/>
        <v>0.26848331084776911</v>
      </c>
      <c r="P43" s="95">
        <f t="shared" si="8"/>
        <v>0.26848331084776911</v>
      </c>
      <c r="Q43" s="95">
        <f t="shared" si="8"/>
        <v>0.26848331084776911</v>
      </c>
      <c r="R43" s="95">
        <f t="shared" si="8"/>
        <v>0.26848331084776911</v>
      </c>
      <c r="S43" s="95">
        <f t="shared" si="8"/>
        <v>0.19228311092557437</v>
      </c>
      <c r="T43" s="95">
        <f t="shared" ref="T43:T47" si="9">$K53/$O53</f>
        <v>0.26848331084776911</v>
      </c>
      <c r="U43" s="347"/>
      <c r="V43" s="359"/>
      <c r="W43" s="196"/>
      <c r="X43" s="348"/>
      <c r="AB43" s="369"/>
    </row>
    <row r="44" spans="2:40" ht="15.5">
      <c r="B44" s="342"/>
      <c r="C44" s="342"/>
      <c r="D44" s="5"/>
      <c r="E44" s="5" t="s">
        <v>389</v>
      </c>
      <c r="F44" s="365">
        <f>F38</f>
        <v>2028</v>
      </c>
      <c r="G44" s="95">
        <f t="shared" ref="G44:R44" si="10">G42</f>
        <v>1</v>
      </c>
      <c r="H44" s="95">
        <f t="shared" si="10"/>
        <v>0.26848331084776911</v>
      </c>
      <c r="I44" s="95">
        <f t="shared" si="10"/>
        <v>0.26848331084776911</v>
      </c>
      <c r="J44" s="95">
        <f t="shared" si="10"/>
        <v>0.26848331084776911</v>
      </c>
      <c r="K44" s="95">
        <f t="shared" si="10"/>
        <v>0.26848331084776911</v>
      </c>
      <c r="L44" s="95">
        <f t="shared" si="10"/>
        <v>0.26848331084776911</v>
      </c>
      <c r="M44" s="95">
        <f t="shared" si="10"/>
        <v>0.26848331084776911</v>
      </c>
      <c r="N44" s="95">
        <f t="shared" si="10"/>
        <v>0.26848331084776911</v>
      </c>
      <c r="O44" s="95">
        <f t="shared" si="10"/>
        <v>0.26848331084776911</v>
      </c>
      <c r="P44" s="95">
        <f t="shared" si="10"/>
        <v>0.26848331084776911</v>
      </c>
      <c r="Q44" s="95">
        <f t="shared" si="10"/>
        <v>0.26848331084776911</v>
      </c>
      <c r="R44" s="95">
        <f t="shared" si="10"/>
        <v>0.26848331084776911</v>
      </c>
      <c r="S44" s="95">
        <f t="shared" ref="S44" si="11">S43</f>
        <v>0.19228311092557437</v>
      </c>
      <c r="T44" s="95">
        <f t="shared" si="9"/>
        <v>0.26848331084776911</v>
      </c>
      <c r="U44" s="348"/>
      <c r="V44" s="348"/>
      <c r="W44" s="348"/>
      <c r="X44" s="348"/>
    </row>
    <row r="45" spans="2:40" ht="62">
      <c r="B45" s="342"/>
      <c r="C45" s="342"/>
      <c r="D45" s="5"/>
      <c r="E45" s="355" t="s">
        <v>23</v>
      </c>
      <c r="F45" s="365">
        <f>F41</f>
        <v>2025</v>
      </c>
      <c r="G45" s="95">
        <v>1</v>
      </c>
      <c r="H45" s="95">
        <f t="shared" ref="H45:R45" si="12">$K55/$O55</f>
        <v>0.34324990068571132</v>
      </c>
      <c r="I45" s="95">
        <f t="shared" si="12"/>
        <v>0.34324990068571132</v>
      </c>
      <c r="J45" s="95">
        <f t="shared" si="12"/>
        <v>0.34324990068571132</v>
      </c>
      <c r="K45" s="95">
        <f t="shared" si="12"/>
        <v>0.34324990068571132</v>
      </c>
      <c r="L45" s="95">
        <f t="shared" si="12"/>
        <v>0.34324990068571132</v>
      </c>
      <c r="M45" s="95">
        <f t="shared" si="12"/>
        <v>0.34324990068571132</v>
      </c>
      <c r="N45" s="95">
        <f t="shared" si="12"/>
        <v>0.34324990068571132</v>
      </c>
      <c r="O45" s="95">
        <f t="shared" si="12"/>
        <v>0.34324990068571132</v>
      </c>
      <c r="P45" s="95">
        <f t="shared" si="12"/>
        <v>0.34324990068571132</v>
      </c>
      <c r="Q45" s="95">
        <f t="shared" si="12"/>
        <v>0.34324990068571132</v>
      </c>
      <c r="R45" s="95">
        <f t="shared" si="12"/>
        <v>0.34324990068571132</v>
      </c>
      <c r="S45" s="95">
        <v>1.8640415411060298</v>
      </c>
      <c r="T45" s="95">
        <f t="shared" si="9"/>
        <v>0.34324990068571132</v>
      </c>
      <c r="U45" s="347"/>
      <c r="V45" s="359"/>
      <c r="W45" s="350"/>
      <c r="X45" s="350"/>
      <c r="AA45" s="370"/>
      <c r="AB45" s="371" t="s">
        <v>539</v>
      </c>
      <c r="AC45" s="371" t="s">
        <v>540</v>
      </c>
      <c r="AD45" s="370"/>
      <c r="AE45" s="371" t="s">
        <v>541</v>
      </c>
      <c r="AF45" s="371" t="s">
        <v>542</v>
      </c>
    </row>
    <row r="46" spans="2:40" ht="15.5">
      <c r="B46" s="342"/>
      <c r="C46" s="342"/>
      <c r="D46" s="5"/>
      <c r="E46" s="355" t="s">
        <v>23</v>
      </c>
      <c r="F46" s="365">
        <f>F42</f>
        <v>2026</v>
      </c>
      <c r="G46" s="95">
        <v>1</v>
      </c>
      <c r="H46" s="95">
        <f t="shared" ref="H46:R46" si="13">$K56/$O56</f>
        <v>0.32079721147489609</v>
      </c>
      <c r="I46" s="95">
        <f t="shared" si="13"/>
        <v>0.32079721147489609</v>
      </c>
      <c r="J46" s="95">
        <f t="shared" si="13"/>
        <v>0.32079721147489609</v>
      </c>
      <c r="K46" s="95">
        <f t="shared" si="13"/>
        <v>0.32079721147489609</v>
      </c>
      <c r="L46" s="95">
        <f t="shared" si="13"/>
        <v>0.32079721147489609</v>
      </c>
      <c r="M46" s="95">
        <f t="shared" si="13"/>
        <v>0.32079721147489609</v>
      </c>
      <c r="N46" s="95">
        <f t="shared" si="13"/>
        <v>0.32079721147489609</v>
      </c>
      <c r="O46" s="95">
        <f t="shared" si="13"/>
        <v>0.32079721147489609</v>
      </c>
      <c r="P46" s="95">
        <f t="shared" si="13"/>
        <v>0.32079721147489609</v>
      </c>
      <c r="Q46" s="95">
        <f t="shared" si="13"/>
        <v>0.32079721147489609</v>
      </c>
      <c r="R46" s="95">
        <f t="shared" si="13"/>
        <v>0.32079721147489609</v>
      </c>
      <c r="S46" s="95">
        <v>0.24723697134857206</v>
      </c>
      <c r="T46" s="95">
        <f t="shared" si="9"/>
        <v>0.32079721147489609</v>
      </c>
      <c r="U46" s="347"/>
      <c r="V46" s="359"/>
      <c r="W46" s="350"/>
      <c r="X46" s="350"/>
      <c r="AA46" s="372"/>
      <c r="AB46" s="373"/>
      <c r="AC46" s="373"/>
      <c r="AD46" s="374"/>
      <c r="AE46" s="373"/>
      <c r="AF46" s="373"/>
    </row>
    <row r="47" spans="2:40" ht="15.5">
      <c r="B47" s="342"/>
      <c r="C47" s="342"/>
      <c r="D47" s="5"/>
      <c r="E47" s="355" t="s">
        <v>23</v>
      </c>
      <c r="F47" s="365">
        <f>F43</f>
        <v>2027</v>
      </c>
      <c r="G47" s="95">
        <f t="shared" ref="G47:S47" si="14">G46</f>
        <v>1</v>
      </c>
      <c r="H47" s="95">
        <f t="shared" si="14"/>
        <v>0.32079721147489609</v>
      </c>
      <c r="I47" s="95">
        <f t="shared" si="14"/>
        <v>0.32079721147489609</v>
      </c>
      <c r="J47" s="95">
        <f t="shared" si="14"/>
        <v>0.32079721147489609</v>
      </c>
      <c r="K47" s="95">
        <f t="shared" si="14"/>
        <v>0.32079721147489609</v>
      </c>
      <c r="L47" s="95">
        <f t="shared" si="14"/>
        <v>0.32079721147489609</v>
      </c>
      <c r="M47" s="95">
        <f t="shared" si="14"/>
        <v>0.32079721147489609</v>
      </c>
      <c r="N47" s="95">
        <f t="shared" si="14"/>
        <v>0.32079721147489609</v>
      </c>
      <c r="O47" s="95">
        <f t="shared" si="14"/>
        <v>0.32079721147489609</v>
      </c>
      <c r="P47" s="95">
        <f t="shared" si="14"/>
        <v>0.32079721147489609</v>
      </c>
      <c r="Q47" s="95">
        <f t="shared" si="14"/>
        <v>0.32079721147489609</v>
      </c>
      <c r="R47" s="95">
        <f t="shared" si="14"/>
        <v>0.32079721147489609</v>
      </c>
      <c r="S47" s="95">
        <f t="shared" si="14"/>
        <v>0.24723697134857206</v>
      </c>
      <c r="T47" s="95">
        <f t="shared" si="9"/>
        <v>0.32079721147489609</v>
      </c>
      <c r="U47" s="348"/>
      <c r="V47" s="346"/>
      <c r="W47" s="359"/>
      <c r="X47" s="350"/>
      <c r="AA47" s="372" t="s">
        <v>389</v>
      </c>
      <c r="AB47" s="375">
        <v>43.574453995215542</v>
      </c>
      <c r="AC47" s="375">
        <v>43.580060781760807</v>
      </c>
      <c r="AD47" s="372" t="s">
        <v>389</v>
      </c>
      <c r="AE47" s="375">
        <v>33.610590836889926</v>
      </c>
      <c r="AF47" s="375">
        <v>33.615544907564775</v>
      </c>
    </row>
    <row r="48" spans="2:40" ht="15.5">
      <c r="B48" s="342"/>
      <c r="C48" s="342"/>
      <c r="D48" s="5"/>
      <c r="E48" s="355" t="s">
        <v>23</v>
      </c>
      <c r="F48" s="365">
        <f>F44</f>
        <v>2028</v>
      </c>
      <c r="G48" s="95">
        <f t="shared" ref="G48:R48" si="15">G46</f>
        <v>1</v>
      </c>
      <c r="H48" s="95">
        <f t="shared" si="15"/>
        <v>0.32079721147489609</v>
      </c>
      <c r="I48" s="95">
        <f t="shared" si="15"/>
        <v>0.32079721147489609</v>
      </c>
      <c r="J48" s="95">
        <f t="shared" si="15"/>
        <v>0.32079721147489609</v>
      </c>
      <c r="K48" s="95">
        <f t="shared" si="15"/>
        <v>0.32079721147489609</v>
      </c>
      <c r="L48" s="95">
        <f t="shared" si="15"/>
        <v>0.32079721147489609</v>
      </c>
      <c r="M48" s="95">
        <f t="shared" si="15"/>
        <v>0.32079721147489609</v>
      </c>
      <c r="N48" s="95">
        <f t="shared" si="15"/>
        <v>0.32079721147489609</v>
      </c>
      <c r="O48" s="95">
        <f t="shared" si="15"/>
        <v>0.32079721147489609</v>
      </c>
      <c r="P48" s="95">
        <f t="shared" si="15"/>
        <v>0.32079721147489609</v>
      </c>
      <c r="Q48" s="95">
        <f t="shared" si="15"/>
        <v>0.32079721147489609</v>
      </c>
      <c r="R48" s="95">
        <f t="shared" si="15"/>
        <v>0.32079721147489609</v>
      </c>
      <c r="S48" s="95">
        <f t="shared" ref="S48" si="16">S47</f>
        <v>0.24723697134857206</v>
      </c>
      <c r="T48" s="95">
        <f>$K58/$O58</f>
        <v>0.32079721147489609</v>
      </c>
      <c r="U48" s="347"/>
      <c r="V48" s="359"/>
      <c r="W48" s="359"/>
      <c r="X48" s="350"/>
      <c r="AA48" s="372" t="s">
        <v>30</v>
      </c>
      <c r="AB48" s="375">
        <v>35.04098349229276</v>
      </c>
      <c r="AC48" s="375">
        <v>35.950335548978678</v>
      </c>
      <c r="AD48" s="374" t="s">
        <v>23</v>
      </c>
      <c r="AE48" s="375">
        <v>25.258006838675957</v>
      </c>
      <c r="AF48" s="375">
        <v>26.142767729506289</v>
      </c>
    </row>
    <row r="49" spans="2:32" ht="15.5">
      <c r="B49" s="342"/>
      <c r="C49" s="342"/>
      <c r="D49" s="5"/>
      <c r="E49" s="5"/>
      <c r="F49" s="63"/>
      <c r="G49" s="63"/>
      <c r="H49" s="63"/>
      <c r="I49" s="63"/>
      <c r="J49" s="63"/>
      <c r="K49" s="63"/>
      <c r="L49" s="5"/>
      <c r="M49" s="5"/>
      <c r="N49" s="5"/>
      <c r="O49" s="5"/>
      <c r="P49" s="5"/>
      <c r="Q49" s="5"/>
      <c r="R49" s="5"/>
      <c r="S49" s="347"/>
      <c r="T49" s="348"/>
      <c r="U49" s="348"/>
      <c r="V49" s="348"/>
      <c r="W49" s="350"/>
      <c r="X49" s="350"/>
      <c r="AA49" s="376"/>
      <c r="AB49" s="377"/>
      <c r="AC49" s="377"/>
      <c r="AD49" s="377"/>
      <c r="AE49" s="377"/>
      <c r="AF49" s="378"/>
    </row>
    <row r="50" spans="2:32" ht="31">
      <c r="B50" s="342"/>
      <c r="C50" s="342"/>
      <c r="D50" s="5"/>
      <c r="E50" s="5"/>
      <c r="F50" s="330" t="s">
        <v>285</v>
      </c>
      <c r="G50" s="63"/>
      <c r="H50" s="63"/>
      <c r="I50" s="63"/>
      <c r="J50" s="330" t="s">
        <v>135</v>
      </c>
      <c r="K50" s="63"/>
      <c r="L50" s="166"/>
      <c r="M50"/>
      <c r="N50" s="330" t="s">
        <v>134</v>
      </c>
      <c r="O50" s="5"/>
      <c r="P50" s="5"/>
      <c r="Q50" s="5"/>
      <c r="R50" s="5"/>
      <c r="S50" s="347"/>
      <c r="T50" s="454"/>
      <c r="U50" s="454"/>
      <c r="V50" s="348"/>
      <c r="W50" s="396"/>
      <c r="X50" s="346"/>
      <c r="AA50" s="370"/>
      <c r="AB50" s="379" t="str">
        <f>'SAR and RAR'!AB48</f>
        <v>9/1/25 Bundled
w/Credit</v>
      </c>
      <c r="AC50" s="379" t="str">
        <f>'SAR and RAR'!AC48</f>
        <v>9/1/25 Bundled
w/out Credit</v>
      </c>
      <c r="AD50" s="379"/>
      <c r="AE50" s="379" t="str">
        <f>'SAR and RAR'!AE48</f>
        <v>9/1/25 System
w/Credit</v>
      </c>
      <c r="AF50" s="379" t="str">
        <f>'SAR and RAR'!AF48</f>
        <v>9/1/25 System
w/out Credit</v>
      </c>
    </row>
    <row r="51" spans="2:32" ht="15.5">
      <c r="B51" s="5"/>
      <c r="C51" s="5"/>
      <c r="D51" s="5"/>
      <c r="E51" s="5" t="s">
        <v>389</v>
      </c>
      <c r="F51" s="365">
        <f t="shared" ref="F51:F58" si="17">F41</f>
        <v>2025</v>
      </c>
      <c r="G51" s="144">
        <v>5833702.0559451627</v>
      </c>
      <c r="H51" s="63"/>
      <c r="I51" s="5" t="s">
        <v>389</v>
      </c>
      <c r="J51" s="365">
        <f t="shared" ref="J51:J58" si="18">F51</f>
        <v>2025</v>
      </c>
      <c r="K51" s="144">
        <v>1786706.3931666978</v>
      </c>
      <c r="L51" s="344"/>
      <c r="M51" s="5" t="s">
        <v>389</v>
      </c>
      <c r="N51" s="365">
        <f t="shared" ref="N51:N58" si="19">F51</f>
        <v>2025</v>
      </c>
      <c r="O51" s="331">
        <v>5847440.853333055</v>
      </c>
      <c r="P51" s="167"/>
      <c r="Q51" s="5"/>
      <c r="R51" s="5"/>
      <c r="S51" s="347"/>
      <c r="T51" s="348"/>
      <c r="U51" s="347"/>
      <c r="V51" s="359"/>
      <c r="W51" s="348"/>
      <c r="X51" s="348"/>
      <c r="AA51" s="372"/>
      <c r="AB51" s="373"/>
      <c r="AC51" s="373"/>
      <c r="AD51" s="374"/>
      <c r="AE51" s="373"/>
      <c r="AF51" s="373"/>
    </row>
    <row r="52" spans="2:32" ht="15.5">
      <c r="B52" s="5"/>
      <c r="C52" s="5"/>
      <c r="D52" s="5"/>
      <c r="E52" s="5" t="s">
        <v>389</v>
      </c>
      <c r="F52" s="365">
        <f t="shared" si="17"/>
        <v>2026</v>
      </c>
      <c r="G52" s="144">
        <v>5559374.8245495278</v>
      </c>
      <c r="H52" s="163"/>
      <c r="I52" s="5" t="s">
        <v>389</v>
      </c>
      <c r="J52" s="365">
        <f t="shared" si="18"/>
        <v>2026</v>
      </c>
      <c r="K52" s="144">
        <v>1496240.595919536</v>
      </c>
      <c r="L52" s="383"/>
      <c r="M52" s="5" t="s">
        <v>389</v>
      </c>
      <c r="N52" s="365">
        <f t="shared" si="19"/>
        <v>2026</v>
      </c>
      <c r="O52" s="331">
        <v>5572937.0708181905</v>
      </c>
      <c r="P52" s="163"/>
      <c r="Q52" s="342"/>
      <c r="R52" s="5"/>
      <c r="S52" s="347"/>
      <c r="T52" s="348"/>
      <c r="U52" s="347"/>
      <c r="V52" s="350"/>
      <c r="W52" s="348"/>
      <c r="X52" s="348"/>
      <c r="AA52" s="372" t="s">
        <v>389</v>
      </c>
      <c r="AB52" s="375">
        <v>43.255570991528394</v>
      </c>
      <c r="AC52" s="375">
        <v>43.261177778073659</v>
      </c>
      <c r="AD52" s="372" t="s">
        <v>389</v>
      </c>
      <c r="AE52" s="375">
        <v>33.291687061124286</v>
      </c>
      <c r="AF52" s="375">
        <v>33.296641131799134</v>
      </c>
    </row>
    <row r="53" spans="2:32" ht="15.5">
      <c r="B53" s="5"/>
      <c r="C53" s="5"/>
      <c r="D53" s="5"/>
      <c r="E53" s="5" t="s">
        <v>389</v>
      </c>
      <c r="F53" s="365">
        <f t="shared" si="17"/>
        <v>2027</v>
      </c>
      <c r="G53" s="144">
        <f>$G$52</f>
        <v>5559374.8245495278</v>
      </c>
      <c r="H53" s="63"/>
      <c r="I53" s="5" t="s">
        <v>389</v>
      </c>
      <c r="J53" s="365">
        <f t="shared" si="18"/>
        <v>2027</v>
      </c>
      <c r="K53" s="144">
        <f>K52</f>
        <v>1496240.595919536</v>
      </c>
      <c r="L53" s="5"/>
      <c r="M53" s="5" t="s">
        <v>389</v>
      </c>
      <c r="N53" s="365">
        <f t="shared" si="19"/>
        <v>2027</v>
      </c>
      <c r="O53" s="144">
        <f>O52</f>
        <v>5572937.0708181905</v>
      </c>
      <c r="P53" s="5"/>
      <c r="Q53" s="5"/>
      <c r="R53" s="5"/>
      <c r="S53" s="347"/>
      <c r="T53" s="348"/>
      <c r="U53" s="347"/>
      <c r="V53" s="359"/>
      <c r="W53" s="359"/>
      <c r="X53" s="350"/>
      <c r="AA53" s="372" t="s">
        <v>30</v>
      </c>
      <c r="AB53" s="375">
        <v>34.778170423848316</v>
      </c>
      <c r="AC53" s="375">
        <v>35.687522480534234</v>
      </c>
      <c r="AD53" s="374" t="s">
        <v>23</v>
      </c>
      <c r="AE53" s="382">
        <v>24.987041940003813</v>
      </c>
      <c r="AF53" s="382">
        <v>25.871802830834145</v>
      </c>
    </row>
    <row r="54" spans="2:32" ht="15.5">
      <c r="B54" s="5"/>
      <c r="C54" s="5"/>
      <c r="D54" s="5"/>
      <c r="E54" s="5" t="s">
        <v>389</v>
      </c>
      <c r="F54" s="365">
        <f t="shared" si="17"/>
        <v>2028</v>
      </c>
      <c r="G54" s="144">
        <f>$G$52</f>
        <v>5559374.8245495278</v>
      </c>
      <c r="H54" s="63"/>
      <c r="I54" s="5" t="s">
        <v>389</v>
      </c>
      <c r="J54" s="365">
        <f t="shared" si="18"/>
        <v>2028</v>
      </c>
      <c r="K54" s="144">
        <f>K53</f>
        <v>1496240.595919536</v>
      </c>
      <c r="L54" s="5"/>
      <c r="M54" s="5" t="s">
        <v>389</v>
      </c>
      <c r="N54" s="365">
        <f t="shared" si="19"/>
        <v>2028</v>
      </c>
      <c r="O54" s="144">
        <f>O53</f>
        <v>5572937.0708181905</v>
      </c>
      <c r="P54" s="5"/>
      <c r="Q54" s="5"/>
      <c r="R54" s="5"/>
      <c r="S54" s="347"/>
      <c r="T54" s="348"/>
      <c r="U54" s="347"/>
      <c r="V54" s="359"/>
      <c r="W54" s="359"/>
      <c r="X54" s="350"/>
    </row>
    <row r="55" spans="2:32" ht="15.5">
      <c r="B55" s="5"/>
      <c r="C55" s="5"/>
      <c r="D55" s="5"/>
      <c r="E55" s="355" t="s">
        <v>23</v>
      </c>
      <c r="F55" s="365">
        <f t="shared" si="17"/>
        <v>2025</v>
      </c>
      <c r="G55" s="144">
        <f>'SAR and RAR'!G55</f>
        <v>69174483.386814445</v>
      </c>
      <c r="H55" s="63"/>
      <c r="I55" s="355" t="s">
        <v>23</v>
      </c>
      <c r="J55" s="365">
        <f t="shared" si="18"/>
        <v>2025</v>
      </c>
      <c r="K55" s="144">
        <f>'SAR and RAR'!K55</f>
        <v>26204056.23133941</v>
      </c>
      <c r="L55" s="5"/>
      <c r="M55" s="355" t="s">
        <v>23</v>
      </c>
      <c r="N55" s="365">
        <f t="shared" si="19"/>
        <v>2025</v>
      </c>
      <c r="O55" s="331">
        <f>'SAR and RAR'!O55</f>
        <v>76341045.340410858</v>
      </c>
      <c r="P55" s="167"/>
      <c r="Q55" s="5"/>
      <c r="R55" s="5"/>
      <c r="S55" s="347"/>
      <c r="T55" s="348"/>
      <c r="U55" s="347"/>
      <c r="V55" s="350"/>
      <c r="W55" s="359"/>
      <c r="X55" s="350"/>
    </row>
    <row r="56" spans="2:32" ht="15.5">
      <c r="B56" s="5"/>
      <c r="C56" s="5"/>
      <c r="D56" s="5"/>
      <c r="E56" s="355" t="s">
        <v>23</v>
      </c>
      <c r="F56" s="365">
        <f t="shared" si="17"/>
        <v>2026</v>
      </c>
      <c r="G56" s="144">
        <f>'SAR and RAR'!G56</f>
        <v>70534125.937143385</v>
      </c>
      <c r="H56" s="163"/>
      <c r="I56" s="355" t="s">
        <v>23</v>
      </c>
      <c r="J56" s="365">
        <f t="shared" si="18"/>
        <v>2026</v>
      </c>
      <c r="K56" s="144">
        <f>'SAR and RAR'!K56</f>
        <v>25055466.304582879</v>
      </c>
      <c r="L56" s="163"/>
      <c r="M56" s="355" t="s">
        <v>23</v>
      </c>
      <c r="N56" s="365">
        <f t="shared" si="19"/>
        <v>2026</v>
      </c>
      <c r="O56" s="331">
        <f>'SAR and RAR'!O56</f>
        <v>78103753.425374106</v>
      </c>
      <c r="P56" s="163"/>
      <c r="Q56" s="5"/>
      <c r="R56" s="5"/>
      <c r="S56" s="347"/>
      <c r="T56" s="348"/>
      <c r="U56" s="348"/>
      <c r="V56" s="348"/>
      <c r="W56" s="348"/>
      <c r="X56" s="348"/>
    </row>
    <row r="57" spans="2:32" ht="15.5">
      <c r="B57" s="5"/>
      <c r="C57" s="5"/>
      <c r="D57" s="5"/>
      <c r="E57" s="355" t="s">
        <v>23</v>
      </c>
      <c r="F57" s="365">
        <f t="shared" si="17"/>
        <v>2027</v>
      </c>
      <c r="G57" s="144">
        <f>'SAR and RAR'!G57</f>
        <v>70534125.937143385</v>
      </c>
      <c r="H57" s="63"/>
      <c r="I57" s="355" t="s">
        <v>23</v>
      </c>
      <c r="J57" s="365">
        <f t="shared" si="18"/>
        <v>2027</v>
      </c>
      <c r="K57" s="144">
        <f>'SAR and RAR'!K57</f>
        <v>25055466.304582879</v>
      </c>
      <c r="L57" s="5"/>
      <c r="M57" s="355" t="s">
        <v>23</v>
      </c>
      <c r="N57" s="365">
        <f t="shared" si="19"/>
        <v>2027</v>
      </c>
      <c r="O57" s="331">
        <f>'SAR and RAR'!O57</f>
        <v>78103753.425374106</v>
      </c>
      <c r="P57" s="5"/>
      <c r="Q57" s="5"/>
      <c r="R57" s="5"/>
      <c r="S57" s="347"/>
      <c r="T57" s="348"/>
      <c r="U57" s="348"/>
      <c r="V57" s="348"/>
      <c r="W57" s="348"/>
      <c r="X57" s="348"/>
    </row>
    <row r="58" spans="2:32" ht="15.5">
      <c r="B58" s="5"/>
      <c r="C58" s="5"/>
      <c r="D58" s="5"/>
      <c r="E58" s="355" t="s">
        <v>23</v>
      </c>
      <c r="F58" s="365">
        <f t="shared" si="17"/>
        <v>2028</v>
      </c>
      <c r="G58" s="144">
        <f>'SAR and RAR'!G58</f>
        <v>70534125.937143385</v>
      </c>
      <c r="H58" s="63"/>
      <c r="I58" s="355" t="s">
        <v>23</v>
      </c>
      <c r="J58" s="365">
        <f t="shared" si="18"/>
        <v>2028</v>
      </c>
      <c r="K58" s="144">
        <f>'SAR and RAR'!K58</f>
        <v>25055466.304582879</v>
      </c>
      <c r="L58" s="5"/>
      <c r="M58" s="355" t="s">
        <v>23</v>
      </c>
      <c r="N58" s="365">
        <f t="shared" si="19"/>
        <v>2028</v>
      </c>
      <c r="O58" s="331">
        <f>'SAR and RAR'!O58</f>
        <v>78103753.425374106</v>
      </c>
      <c r="P58" s="5"/>
      <c r="Q58" s="5"/>
      <c r="R58" s="5"/>
      <c r="S58" s="347"/>
      <c r="T58" s="348"/>
      <c r="U58" s="347"/>
      <c r="V58" s="350"/>
      <c r="W58" s="359"/>
      <c r="X58" s="350"/>
    </row>
    <row r="59" spans="2:32" ht="15.5">
      <c r="B59" s="5"/>
      <c r="C59" s="5"/>
      <c r="D59" s="5"/>
      <c r="E59" s="5"/>
      <c r="F59" s="63"/>
      <c r="G59" s="63"/>
      <c r="H59" s="63"/>
      <c r="I59" s="63"/>
      <c r="J59" s="63"/>
      <c r="K59" s="63"/>
      <c r="L59" s="5"/>
      <c r="M59" s="5"/>
      <c r="N59" s="5"/>
      <c r="O59" s="5"/>
      <c r="P59" s="5"/>
      <c r="Q59" s="5"/>
      <c r="R59" s="5"/>
      <c r="S59" s="347"/>
      <c r="T59" s="348"/>
      <c r="U59" s="348"/>
      <c r="V59" s="346"/>
      <c r="W59" s="359"/>
      <c r="X59" s="350"/>
    </row>
    <row r="60" spans="2:32" ht="15.5">
      <c r="B60" s="5"/>
      <c r="C60" s="5"/>
      <c r="D60" s="5"/>
      <c r="E60" s="385" t="s">
        <v>63</v>
      </c>
      <c r="F60" s="63"/>
      <c r="G60" s="63"/>
      <c r="H60" s="63"/>
      <c r="I60" s="63"/>
      <c r="J60" s="63"/>
      <c r="K60" s="63"/>
      <c r="L60" s="5"/>
      <c r="M60" s="5"/>
      <c r="N60" s="5"/>
      <c r="O60" s="5"/>
      <c r="P60" s="5"/>
      <c r="Q60" s="5"/>
      <c r="R60" s="5"/>
      <c r="S60" s="347"/>
      <c r="T60" s="454"/>
      <c r="U60" s="454"/>
      <c r="V60" s="348"/>
      <c r="W60" s="359"/>
      <c r="X60" s="350"/>
    </row>
    <row r="61" spans="2:32" ht="15.5">
      <c r="B61" s="5"/>
      <c r="C61" s="5"/>
      <c r="D61" s="5"/>
      <c r="E61" s="5"/>
      <c r="F61" s="63"/>
      <c r="G61" s="63"/>
      <c r="H61" s="63"/>
      <c r="I61" s="63"/>
      <c r="J61" s="63"/>
      <c r="K61" s="63"/>
      <c r="L61" s="5"/>
      <c r="M61" s="5"/>
      <c r="N61" s="5"/>
      <c r="O61" s="5"/>
      <c r="P61" s="5"/>
      <c r="Q61" s="5"/>
      <c r="R61" s="5"/>
      <c r="S61" s="347"/>
      <c r="T61" s="348"/>
      <c r="U61" s="347"/>
      <c r="V61" s="348"/>
      <c r="W61" s="359"/>
      <c r="X61" s="359"/>
    </row>
    <row r="62" spans="2:32" ht="15.5">
      <c r="B62" s="5"/>
      <c r="C62" s="5"/>
      <c r="D62" s="5"/>
      <c r="E62" s="5" t="str">
        <f>'SAR and RAR'!E62</f>
        <v>2025 Forecast: Adopted in D.24-12-038</v>
      </c>
      <c r="F62" s="63"/>
      <c r="G62" s="63"/>
      <c r="H62" s="63"/>
      <c r="I62" s="63"/>
      <c r="J62" s="63"/>
      <c r="K62" s="63"/>
      <c r="L62" s="5"/>
      <c r="M62" s="5"/>
      <c r="N62" s="5"/>
      <c r="O62" s="5"/>
      <c r="P62" s="5"/>
      <c r="Q62" s="5"/>
      <c r="R62" s="5"/>
      <c r="S62" s="347"/>
      <c r="T62" s="348"/>
      <c r="U62" s="347"/>
      <c r="V62" s="348"/>
      <c r="W62" s="359"/>
      <c r="X62" s="350"/>
    </row>
    <row r="63" spans="2:32" ht="15.5">
      <c r="B63" s="5"/>
      <c r="C63" s="5"/>
      <c r="D63" s="5"/>
      <c r="E63" s="5" t="s">
        <v>607</v>
      </c>
      <c r="F63" s="63"/>
      <c r="G63" s="63"/>
      <c r="H63" s="63"/>
      <c r="I63" s="63"/>
      <c r="J63" s="63"/>
      <c r="K63" s="63"/>
      <c r="L63" s="5"/>
      <c r="M63" s="5"/>
      <c r="N63" s="5"/>
      <c r="O63" s="5"/>
      <c r="P63" s="5"/>
      <c r="Q63" s="5"/>
      <c r="R63" s="5"/>
      <c r="S63" s="347"/>
      <c r="T63" s="348"/>
      <c r="U63" s="348"/>
      <c r="V63" s="348"/>
      <c r="W63" s="348"/>
      <c r="X63" s="348"/>
    </row>
    <row r="64" spans="2:32" ht="15.5">
      <c r="B64" s="5"/>
      <c r="C64" s="5"/>
      <c r="D64" s="5"/>
      <c r="E64" s="5" t="str">
        <f>'SAR and RAR'!E64</f>
        <v>2027 Forecast: Set equal to the 2026</v>
      </c>
      <c r="F64" s="63"/>
      <c r="G64" s="63"/>
      <c r="H64" s="63"/>
      <c r="I64" s="63"/>
      <c r="J64" s="63"/>
      <c r="K64" s="63"/>
      <c r="L64" s="5"/>
      <c r="M64" s="5"/>
      <c r="N64" s="5"/>
      <c r="O64" s="5"/>
      <c r="P64" s="5"/>
      <c r="Q64" s="5"/>
      <c r="R64" s="5"/>
      <c r="S64" s="347"/>
      <c r="T64" s="348"/>
      <c r="U64" s="348"/>
      <c r="V64" s="346"/>
      <c r="W64" s="348"/>
      <c r="X64" s="348"/>
    </row>
    <row r="65" spans="2:24" ht="15.5">
      <c r="B65" s="5"/>
      <c r="C65" s="5"/>
      <c r="D65" s="5"/>
      <c r="E65" s="5" t="str">
        <f>'SAR and RAR'!E65</f>
        <v>2028 Forecast: Set equal to the 2026</v>
      </c>
      <c r="F65" s="63"/>
      <c r="G65" s="63"/>
      <c r="H65" s="63"/>
      <c r="I65" s="63"/>
      <c r="J65" s="63"/>
      <c r="K65" s="63"/>
      <c r="L65" s="5"/>
      <c r="M65" s="5"/>
      <c r="N65" s="5"/>
      <c r="O65" s="5"/>
      <c r="P65" s="5"/>
      <c r="Q65" s="5"/>
      <c r="R65" s="5"/>
      <c r="S65" s="347"/>
      <c r="T65" s="454"/>
      <c r="U65" s="454"/>
      <c r="V65" s="350"/>
      <c r="W65" s="350"/>
      <c r="X65" s="350"/>
    </row>
    <row r="66" spans="2:24" ht="15.5">
      <c r="B66" s="5"/>
      <c r="C66" s="5"/>
      <c r="D66" s="5"/>
      <c r="E66" s="5"/>
      <c r="F66" s="63"/>
      <c r="G66" s="63"/>
      <c r="H66" s="63"/>
      <c r="I66" s="63"/>
      <c r="J66" s="63"/>
      <c r="K66" s="63"/>
      <c r="L66" s="5"/>
      <c r="M66" s="5"/>
      <c r="N66" s="5"/>
      <c r="O66" s="5"/>
      <c r="P66" s="5"/>
      <c r="Q66" s="5"/>
      <c r="R66" s="5"/>
      <c r="S66" s="5"/>
      <c r="T66" s="5"/>
      <c r="U66" s="5"/>
      <c r="V66" s="5"/>
      <c r="W66" s="346"/>
      <c r="X66" s="346"/>
    </row>
    <row r="67" spans="2:24" ht="15.5">
      <c r="B67" s="5"/>
      <c r="C67" s="5"/>
      <c r="D67" s="5"/>
      <c r="W67" s="348"/>
      <c r="X67" s="348"/>
    </row>
    <row r="68" spans="2:24" ht="15.5">
      <c r="B68" s="5"/>
      <c r="C68" s="5"/>
      <c r="D68" s="5"/>
      <c r="W68" s="348"/>
      <c r="X68" s="348"/>
    </row>
    <row r="69" spans="2:24" ht="15.5">
      <c r="B69" s="5"/>
      <c r="C69" s="5"/>
      <c r="D69" s="5"/>
      <c r="W69" s="348"/>
      <c r="X69" s="348"/>
    </row>
    <row r="70" spans="2:24" ht="15.5">
      <c r="B70" s="5"/>
      <c r="C70" s="5"/>
      <c r="D70" s="5"/>
      <c r="W70" s="346"/>
      <c r="X70" s="346"/>
    </row>
    <row r="71" spans="2:24" ht="15.5">
      <c r="B71" s="5"/>
      <c r="C71" s="5"/>
      <c r="D71" s="5"/>
      <c r="W71" s="348"/>
      <c r="X71" s="348"/>
    </row>
    <row r="72" spans="2:24" ht="15.5">
      <c r="B72" s="5"/>
      <c r="C72" s="5"/>
      <c r="D72" s="5"/>
      <c r="W72" s="348"/>
      <c r="X72" s="348"/>
    </row>
    <row r="73" spans="2:24" ht="15.5">
      <c r="B73" s="5"/>
      <c r="C73" s="5"/>
      <c r="D73" s="5"/>
      <c r="W73" s="346"/>
      <c r="X73" s="346"/>
    </row>
    <row r="74" spans="2:24" ht="15.5">
      <c r="B74" s="5"/>
      <c r="C74" s="5"/>
      <c r="D74" s="5"/>
      <c r="W74" s="350"/>
      <c r="X74" s="350"/>
    </row>
    <row r="75" spans="2:24" ht="15.5">
      <c r="B75" s="5"/>
      <c r="C75" s="5"/>
      <c r="D75" s="5"/>
      <c r="W75" s="5"/>
      <c r="X75" s="5"/>
    </row>
  </sheetData>
  <mergeCells count="13">
    <mergeCell ref="T65:U65"/>
    <mergeCell ref="AA25:AF25"/>
    <mergeCell ref="AI25:AN25"/>
    <mergeCell ref="F26:K26"/>
    <mergeCell ref="P26:U26"/>
    <mergeCell ref="T50:U50"/>
    <mergeCell ref="T60:U60"/>
    <mergeCell ref="C2:D2"/>
    <mergeCell ref="G4:P4"/>
    <mergeCell ref="G8:R8"/>
    <mergeCell ref="U16:V16"/>
    <mergeCell ref="G17:Q17"/>
    <mergeCell ref="U17:V17"/>
  </mergeCells>
  <pageMargins left="0.7" right="0.7" top="0.75" bottom="0.75" header="0.3" footer="0.3"/>
  <pageSetup orientation="portrait" r:id="rId1"/>
  <headerFooter>
    <oddFooter xml:space="preserve">&amp;C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12B33-5BCC-4468-B1F3-3C3E9F9FCE77}">
  <sheetPr codeName="Sheet14">
    <tabColor rgb="FFFFFF00"/>
  </sheetPr>
  <dimension ref="A1:AD41"/>
  <sheetViews>
    <sheetView tabSelected="1" topLeftCell="U1" workbookViewId="0">
      <selection activeCell="A35" sqref="A35:XFD1048576"/>
    </sheetView>
  </sheetViews>
  <sheetFormatPr defaultColWidth="8.81640625" defaultRowHeight="14.5"/>
  <cols>
    <col min="1" max="1" width="7.453125" style="39" customWidth="1"/>
    <col min="2" max="2" width="14.453125" style="39" customWidth="1"/>
    <col min="3" max="4" width="13" style="39" customWidth="1"/>
    <col min="5" max="5" width="18" style="39" bestFit="1" customWidth="1"/>
    <col min="6" max="6" width="13.54296875" style="39" customWidth="1"/>
    <col min="7" max="7" width="16.26953125" style="39" customWidth="1"/>
    <col min="8" max="8" width="14.1796875" style="39" customWidth="1"/>
    <col min="9" max="9" width="15" style="39" customWidth="1"/>
    <col min="10" max="10" width="14" style="39" customWidth="1"/>
    <col min="11" max="11" width="15" style="39" bestFit="1" customWidth="1"/>
    <col min="12" max="12" width="13" style="39" customWidth="1"/>
    <col min="13" max="14" width="14.1796875" style="39" customWidth="1"/>
    <col min="15" max="15" width="14.54296875" style="39" customWidth="1"/>
    <col min="16" max="16" width="14.26953125" style="39" customWidth="1"/>
    <col min="17" max="17" width="9.1796875" style="39" customWidth="1"/>
    <col min="18" max="18" width="11.1796875" style="39" bestFit="1" customWidth="1"/>
    <col min="19" max="19" width="10.1796875" style="39" bestFit="1" customWidth="1"/>
    <col min="20" max="20" width="11.1796875" style="39" bestFit="1" customWidth="1"/>
    <col min="21" max="21" width="10.1796875" style="39" bestFit="1" customWidth="1"/>
    <col min="22" max="22" width="14.1796875" style="39" bestFit="1" customWidth="1"/>
    <col min="23" max="23" width="14" style="39" customWidth="1"/>
    <col min="24" max="24" width="9.453125" style="39" customWidth="1"/>
    <col min="25" max="28" width="15.7265625" style="39" bestFit="1" customWidth="1"/>
    <col min="29" max="29" width="12.26953125" style="39" customWidth="1"/>
    <col min="30" max="30" width="18.26953125" style="39" customWidth="1"/>
    <col min="31" max="32" width="8.81640625" style="39"/>
    <col min="33" max="33" width="28.54296875" style="39" customWidth="1"/>
    <col min="34" max="16384" width="8.81640625" style="39"/>
  </cols>
  <sheetData>
    <row r="1" spans="1:25">
      <c r="A1" s="30"/>
      <c r="B1" s="30"/>
      <c r="C1" s="30"/>
      <c r="D1" s="30"/>
      <c r="E1" s="30"/>
      <c r="F1" s="30"/>
      <c r="G1" s="30"/>
      <c r="H1" s="30"/>
      <c r="I1" s="30"/>
    </row>
    <row r="2" spans="1:25">
      <c r="A2" s="17"/>
      <c r="B2" s="473"/>
      <c r="C2" s="473"/>
      <c r="D2" s="473"/>
      <c r="F2" s="17"/>
    </row>
    <row r="3" spans="1:25">
      <c r="E3" s="474" t="s">
        <v>390</v>
      </c>
      <c r="F3" s="474"/>
      <c r="G3" s="474"/>
      <c r="H3" s="474"/>
      <c r="I3" s="474"/>
      <c r="J3" s="474"/>
      <c r="K3" s="474"/>
      <c r="M3" s="65"/>
      <c r="N3" s="65"/>
      <c r="O3" s="65"/>
      <c r="P3" s="397"/>
      <c r="Q3" s="397"/>
      <c r="R3" s="397"/>
      <c r="S3" s="397"/>
      <c r="T3" s="397"/>
      <c r="U3" s="397"/>
      <c r="V3" s="397"/>
    </row>
    <row r="4" spans="1:25" ht="15.75" customHeight="1">
      <c r="D4" s="5"/>
      <c r="E4" s="97">
        <f>Summary!D3</f>
        <v>2025</v>
      </c>
      <c r="F4" s="94">
        <f>Summary!L3</f>
        <v>45901</v>
      </c>
      <c r="G4" s="386">
        <f>Summary!L3</f>
        <v>45901</v>
      </c>
      <c r="H4" s="14" t="s">
        <v>21</v>
      </c>
      <c r="I4" s="14" t="s">
        <v>21</v>
      </c>
      <c r="J4" s="14" t="s">
        <v>21</v>
      </c>
      <c r="K4" s="14" t="s">
        <v>21</v>
      </c>
      <c r="L4" s="63"/>
      <c r="O4" s="5"/>
      <c r="P4" s="97"/>
      <c r="Q4" s="94"/>
      <c r="R4" s="386"/>
      <c r="S4" s="14"/>
      <c r="T4" s="14"/>
      <c r="U4" s="14"/>
      <c r="V4" s="14"/>
    </row>
    <row r="5" spans="1:25" ht="30.65" customHeight="1">
      <c r="D5" s="5"/>
      <c r="E5" s="14" t="s">
        <v>41</v>
      </c>
      <c r="F5" s="14" t="s">
        <v>26</v>
      </c>
      <c r="G5" s="14" t="s">
        <v>42</v>
      </c>
      <c r="H5" s="14" t="s">
        <v>166</v>
      </c>
      <c r="I5" s="14" t="s">
        <v>167</v>
      </c>
      <c r="J5" s="14" t="s">
        <v>168</v>
      </c>
      <c r="K5" s="14" t="s">
        <v>169</v>
      </c>
      <c r="L5" s="6"/>
      <c r="M5" s="74"/>
      <c r="N5" s="74"/>
      <c r="O5" s="6"/>
      <c r="P5" s="14"/>
      <c r="Q5" s="14"/>
      <c r="R5" s="14"/>
      <c r="S5" s="14"/>
      <c r="T5" s="14"/>
      <c r="U5" s="14"/>
      <c r="V5" s="14"/>
    </row>
    <row r="6" spans="1:25" ht="42" customHeight="1">
      <c r="B6" s="7"/>
      <c r="D6" s="7"/>
      <c r="E6" s="5"/>
      <c r="F6" s="5"/>
      <c r="G6" s="5"/>
      <c r="J6" s="63"/>
      <c r="K6" s="63"/>
      <c r="L6" s="63"/>
      <c r="O6" s="7"/>
      <c r="P6" s="5"/>
      <c r="Q6" s="5"/>
      <c r="R6" s="5"/>
      <c r="U6" s="63"/>
      <c r="V6" s="63"/>
    </row>
    <row r="7" spans="1:25" ht="15.5">
      <c r="D7" s="398" t="s">
        <v>375</v>
      </c>
      <c r="E7" s="101">
        <f>HLOOKUP($E$4,$Y$33:$AB$41,2,FALSE)</f>
        <v>164227.76070798401</v>
      </c>
      <c r="F7" s="9">
        <v>0.50050000000000006</v>
      </c>
      <c r="G7" s="168">
        <f t="shared" ref="G7:G12" si="0">F7*E7</f>
        <v>82195.994234345999</v>
      </c>
      <c r="H7" s="15">
        <f t="shared" ref="H7:H12" si="1">F7+(I$15-SUM($G$7:$G$14))/SUM($E$7:$E$12)</f>
        <v>0.50192412774854078</v>
      </c>
      <c r="I7" s="168">
        <f t="shared" ref="I7:I12" si="2">H7*E7</f>
        <v>82429.875545450952</v>
      </c>
      <c r="J7" s="15">
        <f t="shared" ref="J7:J12" si="3">F7+(K$15-SUM($G$7:$G$14))/SUM($E$7:$E$12)</f>
        <v>0.51179824239615501</v>
      </c>
      <c r="K7" s="168">
        <f t="shared" ref="K7:K12" si="4">J7*E7</f>
        <v>84051.47928300254</v>
      </c>
      <c r="L7" s="399"/>
      <c r="O7" s="8"/>
      <c r="P7" s="147"/>
      <c r="Q7" s="9"/>
      <c r="R7" s="146"/>
      <c r="S7" s="15"/>
      <c r="T7" s="146"/>
      <c r="U7" s="15"/>
      <c r="V7" s="146"/>
      <c r="W7" s="41"/>
    </row>
    <row r="8" spans="1:25" ht="15.5">
      <c r="D8" s="12" t="s">
        <v>373</v>
      </c>
      <c r="E8" s="101">
        <f>HLOOKUP($E$4,$Y$33:$AB$41,3,FALSE)</f>
        <v>114890.37430075801</v>
      </c>
      <c r="F8" s="9">
        <v>0.45127</v>
      </c>
      <c r="G8" s="168">
        <f t="shared" si="0"/>
        <v>51846.579210703065</v>
      </c>
      <c r="H8" s="15">
        <f t="shared" si="1"/>
        <v>0.45269412774854073</v>
      </c>
      <c r="I8" s="168">
        <f t="shared" si="2"/>
        <v>52010.197780785005</v>
      </c>
      <c r="J8" s="15">
        <f t="shared" si="3"/>
        <v>0.46256824239615502</v>
      </c>
      <c r="K8" s="168">
        <f t="shared" si="4"/>
        <v>53144.63850853801</v>
      </c>
      <c r="L8" s="399"/>
      <c r="O8" s="12"/>
      <c r="P8" s="147"/>
      <c r="Q8" s="9"/>
      <c r="R8" s="146"/>
      <c r="S8" s="15"/>
      <c r="T8" s="146"/>
      <c r="U8" s="15"/>
      <c r="V8" s="146"/>
      <c r="W8" s="41"/>
      <c r="Y8" s="19"/>
    </row>
    <row r="9" spans="1:25" ht="15.5">
      <c r="D9" s="398" t="s">
        <v>372</v>
      </c>
      <c r="E9" s="101">
        <f>HLOOKUP($E$4,$Y$33:$AB$41,4,FALSE)</f>
        <v>378411.76724420895</v>
      </c>
      <c r="F9" s="9">
        <v>0.43046000000000001</v>
      </c>
      <c r="G9" s="168">
        <f t="shared" si="0"/>
        <v>162891.12932794218</v>
      </c>
      <c r="H9" s="15">
        <f t="shared" si="1"/>
        <v>0.43188412774854074</v>
      </c>
      <c r="I9" s="168">
        <f t="shared" si="2"/>
        <v>163430.036026049</v>
      </c>
      <c r="J9" s="15">
        <f t="shared" si="3"/>
        <v>0.44175824239615502</v>
      </c>
      <c r="K9" s="168">
        <f t="shared" si="4"/>
        <v>167166.51719982465</v>
      </c>
      <c r="L9" s="399"/>
      <c r="O9" s="8"/>
      <c r="P9" s="147"/>
      <c r="Q9" s="9"/>
      <c r="R9" s="146"/>
      <c r="S9" s="15"/>
      <c r="T9" s="146"/>
      <c r="U9" s="15"/>
      <c r="V9" s="146"/>
      <c r="W9" s="41"/>
      <c r="Y9" s="19"/>
    </row>
    <row r="10" spans="1:25" ht="15.5">
      <c r="D10" s="12" t="s">
        <v>371</v>
      </c>
      <c r="E10" s="101">
        <f>HLOOKUP($E$4,$Y$33:$AB$41,5,FALSE)</f>
        <v>259532.52884888198</v>
      </c>
      <c r="F10" s="9">
        <v>0.42507999999999996</v>
      </c>
      <c r="G10" s="168">
        <f t="shared" si="0"/>
        <v>110322.08736308274</v>
      </c>
      <c r="H10" s="15">
        <f t="shared" si="1"/>
        <v>0.42650412774854068</v>
      </c>
      <c r="I10" s="168">
        <f t="shared" si="2"/>
        <v>110691.69483906539</v>
      </c>
      <c r="J10" s="15">
        <f t="shared" si="3"/>
        <v>0.43637824239615497</v>
      </c>
      <c r="K10" s="168">
        <f t="shared" si="4"/>
        <v>113254.3487837045</v>
      </c>
      <c r="L10" s="399"/>
      <c r="O10" s="12"/>
      <c r="P10" s="147"/>
      <c r="Q10" s="9"/>
      <c r="R10" s="146"/>
      <c r="S10" s="15"/>
      <c r="T10" s="146"/>
      <c r="U10" s="15"/>
      <c r="V10" s="146"/>
      <c r="W10" s="41"/>
      <c r="Y10" s="19"/>
    </row>
    <row r="11" spans="1:25" ht="15.5">
      <c r="D11" s="398" t="s">
        <v>370</v>
      </c>
      <c r="E11" s="101">
        <f>HLOOKUP($E$4,$Y$33:$AB$41,6,FALSE)</f>
        <v>773980.50218370289</v>
      </c>
      <c r="F11" s="9">
        <v>0.40895999999999993</v>
      </c>
      <c r="G11" s="168">
        <f t="shared" si="0"/>
        <v>316527.06617304706</v>
      </c>
      <c r="H11" s="15">
        <f t="shared" si="1"/>
        <v>0.41038412774854066</v>
      </c>
      <c r="I11" s="168">
        <f t="shared" si="2"/>
        <v>317629.3132830364</v>
      </c>
      <c r="J11" s="15">
        <f t="shared" si="3"/>
        <v>0.42025824239615495</v>
      </c>
      <c r="K11" s="168">
        <f t="shared" si="4"/>
        <v>325271.68549661635</v>
      </c>
      <c r="L11" s="399"/>
      <c r="O11" s="8"/>
      <c r="P11" s="147"/>
      <c r="Q11" s="9"/>
      <c r="R11" s="146"/>
      <c r="S11" s="15"/>
      <c r="T11" s="146"/>
      <c r="U11" s="15"/>
      <c r="V11" s="146"/>
      <c r="W11" s="11"/>
      <c r="Y11" s="19"/>
    </row>
    <row r="12" spans="1:25" ht="15.5">
      <c r="D12" s="398" t="s">
        <v>385</v>
      </c>
      <c r="E12" s="101">
        <f>HLOOKUP($E$4,$Y$33:$AB$41,7,FALSE)</f>
        <v>91561.710181789007</v>
      </c>
      <c r="F12" s="9">
        <v>0.39253999999999994</v>
      </c>
      <c r="G12" s="168">
        <f t="shared" si="0"/>
        <v>35941.633714759453</v>
      </c>
      <c r="H12" s="15">
        <f t="shared" si="1"/>
        <v>0.39396412774854067</v>
      </c>
      <c r="I12" s="168">
        <f t="shared" si="2"/>
        <v>36072.029286933182</v>
      </c>
      <c r="J12" s="15">
        <f t="shared" si="3"/>
        <v>0.40383824239615496</v>
      </c>
      <c r="K12" s="168">
        <f t="shared" si="4"/>
        <v>36976.120110599797</v>
      </c>
      <c r="L12" s="399"/>
      <c r="O12" s="12"/>
      <c r="P12" s="147"/>
      <c r="Q12" s="9"/>
      <c r="R12" s="146"/>
      <c r="S12" s="15"/>
      <c r="T12" s="146"/>
      <c r="U12" s="15"/>
      <c r="V12" s="146"/>
      <c r="W12" s="11"/>
      <c r="Y12" s="19"/>
    </row>
    <row r="13" spans="1:25" ht="15.5">
      <c r="L13" s="11"/>
      <c r="O13" s="12"/>
      <c r="P13" s="10"/>
      <c r="Q13" s="9"/>
      <c r="R13" s="168"/>
      <c r="S13" s="388"/>
      <c r="T13" s="13"/>
      <c r="U13" s="5"/>
      <c r="V13" s="13"/>
      <c r="X13" s="19"/>
      <c r="Y13" s="19"/>
    </row>
    <row r="14" spans="1:25" ht="15.5">
      <c r="D14" s="12" t="s">
        <v>387</v>
      </c>
      <c r="E14" s="101">
        <f>HLOOKUP($E$4,$Y$33:$AB$41,9,FALSE)</f>
        <v>904.07420694299992</v>
      </c>
      <c r="F14" s="9">
        <v>0.32854</v>
      </c>
      <c r="G14" s="168">
        <f>F14*E14*365/12</f>
        <v>9034.4964234503677</v>
      </c>
      <c r="H14" s="9">
        <f>F14</f>
        <v>0.32854</v>
      </c>
      <c r="I14" s="168">
        <f>H14*E14*365/12</f>
        <v>9034.4964234503677</v>
      </c>
      <c r="J14" s="9">
        <f>H14</f>
        <v>0.32854</v>
      </c>
      <c r="K14" s="168">
        <f>J14*E14*365/12</f>
        <v>9034.4964234503677</v>
      </c>
      <c r="L14" s="11"/>
      <c r="O14" s="12"/>
      <c r="P14" s="10"/>
      <c r="Q14" s="9"/>
      <c r="R14" s="10"/>
      <c r="S14" s="388"/>
      <c r="T14" s="10"/>
      <c r="U14" s="10"/>
      <c r="V14" s="10"/>
      <c r="Y14" s="19"/>
    </row>
    <row r="15" spans="1:25" ht="15.5">
      <c r="D15" s="400" t="s">
        <v>411</v>
      </c>
      <c r="E15" s="75"/>
      <c r="F15" s="9"/>
      <c r="G15" s="168">
        <f>SUM(G7:G14)</f>
        <v>768758.98644733091</v>
      </c>
      <c r="H15" s="10"/>
      <c r="I15" s="168">
        <f>'SAR and RAR (B-1)'!V19</f>
        <v>771297.64318477025</v>
      </c>
      <c r="J15" s="168"/>
      <c r="K15" s="168">
        <f>'SAR and RAR (B-1)'!X19</f>
        <v>788899.2858057362</v>
      </c>
      <c r="L15" s="11"/>
      <c r="O15" s="76"/>
      <c r="P15" s="10"/>
      <c r="Q15" s="9"/>
      <c r="R15" s="10"/>
      <c r="S15" s="388"/>
      <c r="T15" s="10"/>
      <c r="U15" s="10"/>
      <c r="V15" s="10"/>
    </row>
    <row r="16" spans="1:25" ht="15.5">
      <c r="P16" s="10"/>
      <c r="Q16" s="9"/>
      <c r="S16" s="388"/>
    </row>
    <row r="17" spans="2:30" ht="15.5">
      <c r="O17" s="18"/>
      <c r="S17" s="388"/>
    </row>
    <row r="18" spans="2:30" ht="15.5">
      <c r="S18" s="388"/>
    </row>
    <row r="19" spans="2:30">
      <c r="B19" s="20"/>
      <c r="E19" s="389"/>
      <c r="P19" s="39" t="s">
        <v>584</v>
      </c>
    </row>
    <row r="20" spans="2:30">
      <c r="B20" s="21" t="s">
        <v>391</v>
      </c>
      <c r="C20" s="21"/>
      <c r="E20" s="22" t="s">
        <v>21</v>
      </c>
      <c r="F20" s="22" t="s">
        <v>21</v>
      </c>
      <c r="H20" s="21"/>
      <c r="I20" s="21"/>
      <c r="J20" s="21"/>
      <c r="K20" s="21"/>
      <c r="L20" s="21"/>
      <c r="M20" s="21"/>
      <c r="N20" s="21"/>
      <c r="P20" s="29" t="s">
        <v>382</v>
      </c>
      <c r="Q20" s="475" t="s">
        <v>147</v>
      </c>
      <c r="R20" s="476"/>
      <c r="S20" s="477"/>
      <c r="T20" s="475" t="s">
        <v>148</v>
      </c>
      <c r="U20" s="476"/>
      <c r="V20" s="477"/>
      <c r="X20" s="120"/>
      <c r="Y20" s="401"/>
      <c r="Z20" s="401"/>
      <c r="AA20" s="401"/>
      <c r="AB20" s="401"/>
      <c r="AC20" s="468"/>
      <c r="AD20" s="468"/>
    </row>
    <row r="21" spans="2:30">
      <c r="B21" s="23" t="s">
        <v>26</v>
      </c>
      <c r="C21" s="78">
        <v>45658</v>
      </c>
      <c r="D21" s="78">
        <f>Summary!L3</f>
        <v>45901</v>
      </c>
      <c r="E21" s="79" t="s">
        <v>173</v>
      </c>
      <c r="F21" s="79" t="s">
        <v>174</v>
      </c>
      <c r="P21" s="402" t="s">
        <v>381</v>
      </c>
      <c r="Q21" s="403" t="s">
        <v>380</v>
      </c>
      <c r="R21" s="404" t="s">
        <v>379</v>
      </c>
      <c r="S21" s="403" t="s">
        <v>378</v>
      </c>
      <c r="T21" s="404" t="s">
        <v>380</v>
      </c>
      <c r="U21" s="403" t="s">
        <v>378</v>
      </c>
      <c r="V21" s="403" t="s">
        <v>386</v>
      </c>
      <c r="W21" s="403" t="s">
        <v>136</v>
      </c>
      <c r="Y21" s="468"/>
      <c r="Z21" s="468"/>
      <c r="AA21" s="468"/>
      <c r="AB21" s="468"/>
      <c r="AC21" s="60"/>
      <c r="AD21" s="60"/>
    </row>
    <row r="22" spans="2:30">
      <c r="B22" s="398" t="s">
        <v>375</v>
      </c>
      <c r="C22" s="80">
        <v>0.50368999999999986</v>
      </c>
      <c r="D22" s="80">
        <f t="shared" ref="D22:D27" si="5">F7</f>
        <v>0.50050000000000006</v>
      </c>
      <c r="E22" s="80">
        <f t="shared" ref="E22:E27" si="6">H7</f>
        <v>0.50192412774854078</v>
      </c>
      <c r="F22" s="80">
        <f t="shared" ref="F22:F27" si="7">J7</f>
        <v>0.51179824239615501</v>
      </c>
      <c r="I22" s="19"/>
      <c r="J22" s="19"/>
      <c r="M22" s="19"/>
      <c r="N22" s="19"/>
      <c r="P22" s="329" t="s">
        <v>377</v>
      </c>
      <c r="Q22" s="169">
        <v>253.26005479163373</v>
      </c>
      <c r="R22" s="169">
        <v>203.24535061377168</v>
      </c>
      <c r="S22" s="169">
        <v>616.11055265792106</v>
      </c>
      <c r="T22" s="169">
        <v>210.69843400682512</v>
      </c>
      <c r="U22" s="169">
        <v>655.09949481548813</v>
      </c>
      <c r="V22" s="169">
        <v>73.307124861750722</v>
      </c>
      <c r="W22" s="169">
        <v>2011.7210117473905</v>
      </c>
      <c r="Y22" s="405"/>
      <c r="Z22" s="405"/>
      <c r="AA22" s="405"/>
      <c r="AB22" s="405"/>
      <c r="AC22" s="143"/>
      <c r="AD22" s="143"/>
    </row>
    <row r="23" spans="2:30" ht="15">
      <c r="B23" s="12" t="s">
        <v>373</v>
      </c>
      <c r="C23" s="80">
        <v>0.45445999999999992</v>
      </c>
      <c r="D23" s="80">
        <f t="shared" si="5"/>
        <v>0.45127</v>
      </c>
      <c r="E23" s="80">
        <f t="shared" si="6"/>
        <v>0.45269412774854073</v>
      </c>
      <c r="F23" s="80">
        <f t="shared" si="7"/>
        <v>0.46256824239615502</v>
      </c>
      <c r="I23" s="19"/>
      <c r="J23" s="19"/>
      <c r="M23" s="19"/>
      <c r="N23" s="19"/>
      <c r="P23" s="329" t="s">
        <v>376</v>
      </c>
      <c r="Q23" s="169">
        <v>328.91245973645681</v>
      </c>
      <c r="R23" s="169">
        <v>287.45257686676428</v>
      </c>
      <c r="S23" s="169">
        <v>824.1323718887262</v>
      </c>
      <c r="T23" s="169">
        <v>221.50181384629926</v>
      </c>
      <c r="U23" s="169">
        <v>750.2864423167797</v>
      </c>
      <c r="V23" s="169">
        <v>125.74213575858033</v>
      </c>
      <c r="W23" s="169">
        <v>2538.0278004136067</v>
      </c>
      <c r="Y23" s="405"/>
      <c r="Z23" s="405"/>
      <c r="AA23" s="406"/>
      <c r="AB23" s="405"/>
      <c r="AC23" s="143"/>
      <c r="AD23" s="143"/>
    </row>
    <row r="24" spans="2:30">
      <c r="B24" s="398" t="s">
        <v>372</v>
      </c>
      <c r="C24" s="80">
        <v>0.43364999999999992</v>
      </c>
      <c r="D24" s="80">
        <f t="shared" si="5"/>
        <v>0.43046000000000001</v>
      </c>
      <c r="E24" s="80">
        <f t="shared" si="6"/>
        <v>0.43188412774854074</v>
      </c>
      <c r="F24" s="80">
        <f t="shared" si="7"/>
        <v>0.44175824239615502</v>
      </c>
      <c r="I24" s="19"/>
      <c r="J24" s="19"/>
      <c r="M24" s="19"/>
      <c r="N24" s="19"/>
      <c r="P24" s="407" t="s">
        <v>374</v>
      </c>
      <c r="Q24" s="169">
        <v>1024.5283476898983</v>
      </c>
      <c r="R24" s="169">
        <v>688.0103926613715</v>
      </c>
      <c r="S24" s="169">
        <v>1887.6541783197226</v>
      </c>
      <c r="T24" s="169">
        <v>767.30921757172814</v>
      </c>
      <c r="U24" s="169">
        <v>1748.6497255811878</v>
      </c>
      <c r="V24" s="169">
        <v>280.83766342421131</v>
      </c>
      <c r="W24" s="207">
        <v>6396.9895252481192</v>
      </c>
      <c r="Y24" s="405"/>
      <c r="Z24" s="405"/>
      <c r="AA24" s="405"/>
      <c r="AB24" s="405"/>
      <c r="AC24" s="143"/>
      <c r="AD24" s="143"/>
    </row>
    <row r="25" spans="2:30" ht="15">
      <c r="B25" s="12" t="s">
        <v>371</v>
      </c>
      <c r="C25" s="80">
        <v>0.42827000000000004</v>
      </c>
      <c r="D25" s="80">
        <f t="shared" si="5"/>
        <v>0.42507999999999996</v>
      </c>
      <c r="E25" s="80">
        <f t="shared" si="6"/>
        <v>0.42650412774854068</v>
      </c>
      <c r="F25" s="80">
        <f t="shared" si="7"/>
        <v>0.43637824239615497</v>
      </c>
      <c r="I25" s="19"/>
      <c r="J25" s="19"/>
      <c r="M25" s="19"/>
      <c r="N25" s="19"/>
      <c r="P25" s="408"/>
      <c r="Q25" s="409"/>
      <c r="R25" s="409"/>
      <c r="S25" s="409"/>
      <c r="T25" s="409"/>
      <c r="U25" s="145"/>
      <c r="V25" s="145"/>
      <c r="Y25" s="405"/>
      <c r="Z25" s="406"/>
      <c r="AA25" s="405"/>
      <c r="AB25" s="405"/>
      <c r="AC25" s="143"/>
      <c r="AD25" s="143"/>
    </row>
    <row r="26" spans="2:30" ht="15">
      <c r="B26" s="398" t="s">
        <v>370</v>
      </c>
      <c r="C26" s="80">
        <v>0.41215000000000007</v>
      </c>
      <c r="D26" s="80">
        <f t="shared" si="5"/>
        <v>0.40895999999999993</v>
      </c>
      <c r="E26" s="80">
        <f t="shared" si="6"/>
        <v>0.41038412774854066</v>
      </c>
      <c r="F26" s="80">
        <f t="shared" si="7"/>
        <v>0.42025824239615495</v>
      </c>
      <c r="I26" s="19"/>
      <c r="J26" s="19"/>
      <c r="M26" s="19"/>
      <c r="N26" s="19"/>
      <c r="Q26" s="405"/>
      <c r="R26" s="405"/>
      <c r="S26" s="405"/>
      <c r="T26" s="405"/>
      <c r="U26" s="143"/>
      <c r="V26" s="143"/>
      <c r="Y26" s="405"/>
      <c r="Z26" s="405"/>
      <c r="AA26" s="405"/>
      <c r="AB26" s="406"/>
      <c r="AC26" s="143"/>
      <c r="AD26" s="143"/>
    </row>
    <row r="27" spans="2:30">
      <c r="B27" s="398" t="s">
        <v>385</v>
      </c>
      <c r="C27" s="80">
        <v>0.39573000000000003</v>
      </c>
      <c r="D27" s="80">
        <f t="shared" si="5"/>
        <v>0.39253999999999994</v>
      </c>
      <c r="E27" s="80">
        <f t="shared" si="6"/>
        <v>0.39396412774854067</v>
      </c>
      <c r="F27" s="80">
        <f t="shared" si="7"/>
        <v>0.40383824239615496</v>
      </c>
      <c r="I27" s="19"/>
      <c r="J27" s="19"/>
      <c r="M27" s="19"/>
      <c r="N27" s="19"/>
      <c r="Q27" s="405"/>
      <c r="R27" s="405"/>
      <c r="S27" s="405"/>
      <c r="T27" s="405"/>
      <c r="U27" s="143"/>
      <c r="V27" s="143"/>
      <c r="Y27" s="405"/>
      <c r="Z27" s="405"/>
      <c r="AA27" s="405"/>
      <c r="AB27" s="405"/>
      <c r="AC27" s="143"/>
      <c r="AD27" s="143"/>
    </row>
    <row r="28" spans="2:30">
      <c r="B28" s="12" t="s">
        <v>387</v>
      </c>
      <c r="C28" s="80">
        <v>0.32854</v>
      </c>
      <c r="D28" s="80">
        <f>F14</f>
        <v>0.32854</v>
      </c>
      <c r="E28" s="80">
        <f>H14</f>
        <v>0.32854</v>
      </c>
      <c r="F28" s="80">
        <f>J14</f>
        <v>0.32854</v>
      </c>
      <c r="Q28" s="41"/>
    </row>
    <row r="29" spans="2:30">
      <c r="B29" s="20"/>
      <c r="C29" s="83"/>
      <c r="D29" s="80"/>
      <c r="E29" s="108"/>
      <c r="F29" s="108"/>
      <c r="N29" s="41"/>
    </row>
    <row r="30" spans="2:30">
      <c r="B30" s="20"/>
      <c r="C30" s="468" t="s">
        <v>389</v>
      </c>
      <c r="D30" s="468"/>
      <c r="E30" s="468"/>
      <c r="F30" s="468"/>
      <c r="G30" s="468"/>
      <c r="H30" s="468"/>
      <c r="I30" s="468"/>
      <c r="J30" s="468"/>
      <c r="L30" s="20"/>
    </row>
    <row r="31" spans="2:30">
      <c r="B31" s="20"/>
      <c r="C31" s="469">
        <f>C21</f>
        <v>45658</v>
      </c>
      <c r="D31" s="470"/>
      <c r="E31" s="469">
        <f>D21</f>
        <v>45901</v>
      </c>
      <c r="F31" s="470"/>
      <c r="G31" s="471" t="str">
        <f>$E$21</f>
        <v>Authorized</v>
      </c>
      <c r="H31" s="471"/>
      <c r="I31" s="472" t="str">
        <f>$F$21</f>
        <v>w/Pending</v>
      </c>
      <c r="J31" s="471"/>
      <c r="L31" s="20"/>
      <c r="M31" s="148"/>
      <c r="N31" s="149"/>
      <c r="O31" s="148"/>
      <c r="P31" s="149"/>
      <c r="Q31" s="150"/>
      <c r="R31" s="150"/>
      <c r="S31" s="128"/>
      <c r="T31" s="150"/>
    </row>
    <row r="32" spans="2:30">
      <c r="B32" s="20"/>
      <c r="C32" s="83" t="s">
        <v>147</v>
      </c>
      <c r="D32" s="83" t="s">
        <v>148</v>
      </c>
      <c r="E32" s="83" t="s">
        <v>147</v>
      </c>
      <c r="F32" s="83" t="s">
        <v>148</v>
      </c>
      <c r="G32" s="83" t="s">
        <v>147</v>
      </c>
      <c r="H32" s="83" t="s">
        <v>148</v>
      </c>
      <c r="I32" s="83" t="s">
        <v>147</v>
      </c>
      <c r="J32" s="83" t="s">
        <v>148</v>
      </c>
      <c r="L32" s="20"/>
      <c r="M32" s="83"/>
      <c r="N32" s="83"/>
      <c r="O32" s="83"/>
      <c r="P32" s="83"/>
      <c r="Q32" s="83"/>
      <c r="R32" s="83"/>
      <c r="S32" s="83"/>
      <c r="T32" s="83"/>
    </row>
    <row r="33" spans="2:28">
      <c r="B33" s="39" t="s">
        <v>377</v>
      </c>
      <c r="C33" s="83">
        <f>SUM(SUM($C$22*$Q22,$C$23*$R22,$C$24*$S22),($C$28*365.25/12))</f>
        <v>497.10771644804004</v>
      </c>
      <c r="D33" s="83">
        <f>SUM(SUM($C$25*$T22,$C$26*$U22,$C$27*$V22),($C$28*365.25/12))</f>
        <v>399.24483989184711</v>
      </c>
      <c r="E33" s="83">
        <f>SUM(SUM($D$22*$Q22,$D$23*$R22,$D$24*$S22),($D$28*365.25/12))</f>
        <v>493.68607154181814</v>
      </c>
      <c r="F33" s="83">
        <f>SUM(SUM($D$25*$T22,$D$26*$U22,$D$27*$V22),($D$28*365.25/12))</f>
        <v>396.24909477059481</v>
      </c>
      <c r="G33" s="83">
        <f>SUM(SUM($E$22*$Q22,$E$23*$R22,$E$24*$S22),($E$28*365.25/12))</f>
        <v>495.21361369122377</v>
      </c>
      <c r="H33" s="83">
        <f>SUM(SUM($E$25*$T22,$E$26*$U22,$E$27*$V22),($E$28*365.25/12))</f>
        <v>397.58650033634115</v>
      </c>
      <c r="I33" s="83">
        <f>SUM(SUM($F$22*$Q22,$F$23*$R22,$F$24*$S22),($F$28*365.25/12))</f>
        <v>505.80474663400162</v>
      </c>
      <c r="J33" s="83">
        <f>SUM(SUM($F$25*$T22,$F$26*$U22,$F$27*$V22),($F$28*365.25/12))</f>
        <v>406.85933130257155</v>
      </c>
      <c r="M33" s="83"/>
      <c r="N33" s="83"/>
      <c r="O33" s="83"/>
      <c r="P33" s="83"/>
      <c r="Q33" s="83"/>
      <c r="R33" s="83"/>
      <c r="S33" s="83"/>
      <c r="T33" s="83"/>
      <c r="W33" s="39" t="s">
        <v>285</v>
      </c>
      <c r="X33" s="39" t="s">
        <v>389</v>
      </c>
      <c r="Y33" s="39">
        <f>'Res Bill Impact'!Y38</f>
        <v>2025</v>
      </c>
      <c r="Z33" s="39">
        <f>Y33+1</f>
        <v>2026</v>
      </c>
      <c r="AA33" s="39">
        <f>Z33+1</f>
        <v>2027</v>
      </c>
      <c r="AB33" s="39">
        <f>AA33+1</f>
        <v>2028</v>
      </c>
    </row>
    <row r="34" spans="2:28" ht="15.5">
      <c r="B34" s="39" t="s">
        <v>376</v>
      </c>
      <c r="C34" s="83">
        <f>SUM(SUM($C$22*$Q23,$C$23*$R23,$C$24*$S23),($C$28*365.25/12))</f>
        <v>663.69055424707153</v>
      </c>
      <c r="D34" s="83">
        <f>SUM(SUM($C$25*$T23,$C$26*$U23,$C$27*$V23),($C$28*365.25/12))</f>
        <v>463.85301065055842</v>
      </c>
      <c r="E34" s="83">
        <f>SUM(SUM($D$22*$Q23,$D$23*$R23,$D$24*$S23),($D$28*365.25/12))</f>
        <v>659.09536751398241</v>
      </c>
      <c r="F34" s="83">
        <f>SUM(SUM($D$25*$T23,$D$26*$U23,$D$27*$V23),($D$28*365.25/12))</f>
        <v>460.35188870032817</v>
      </c>
      <c r="G34" s="83">
        <f>SUM(SUM($E$22*$Q23,$E$23*$R23,$E$24*$S23),($E$28*365.25/12))</f>
        <v>661.14681984511685</v>
      </c>
      <c r="H34" s="83">
        <f>SUM(SUM($E$25*$T23,$E$26*$U23,$E$27*$V23),($E$28*365.25/12))</f>
        <v>461.91491218633058</v>
      </c>
      <c r="I34" s="83">
        <f>SUM(SUM($F$22*$Q23,$F$23*$R23,$F$24*$S23),($F$28*365.25/12))</f>
        <v>675.37045640615747</v>
      </c>
      <c r="J34" s="83">
        <f>SUM(SUM($F$25*$T23,$F$26*$U23,$F$27*$V23),($F$28*365.25/12))</f>
        <v>472.75205310540616</v>
      </c>
      <c r="M34" s="83"/>
      <c r="N34" s="83"/>
      <c r="O34" s="83"/>
      <c r="P34" s="83"/>
      <c r="Q34" s="83"/>
      <c r="R34" s="83"/>
      <c r="S34" s="83"/>
      <c r="T34" s="83"/>
      <c r="V34" s="41" t="s">
        <v>147</v>
      </c>
      <c r="W34" s="41" t="s">
        <v>380</v>
      </c>
      <c r="X34" s="41" t="s">
        <v>380</v>
      </c>
      <c r="Y34" s="101">
        <v>164227.76070798401</v>
      </c>
      <c r="Z34" s="101">
        <v>146605.677329142</v>
      </c>
      <c r="AA34" s="101">
        <f>$Z34</f>
        <v>146605.677329142</v>
      </c>
      <c r="AB34" s="101">
        <f>$Z34</f>
        <v>146605.677329142</v>
      </c>
    </row>
    <row r="35" spans="2:28" ht="15.5">
      <c r="B35" s="39" t="s">
        <v>374</v>
      </c>
      <c r="C35" s="83">
        <f>SUM(SUM($C$22*$Q24,$C$23*$R24,$C$24*$S24),($C$28*365.25/12))</f>
        <v>1657.2990571751591</v>
      </c>
      <c r="D35" s="83">
        <f>SUM(SUM($C$25*$T24,$C$26*$U24,$C$27*$V24),($C$28*365.25/12))</f>
        <v>1170.4573278045939</v>
      </c>
      <c r="E35" s="83">
        <f>SUM(SUM($D$22*$Q24,$D$23*$R24,$D$24*$S24),($D$28*365.25/12))</f>
        <v>1645.8144417645992</v>
      </c>
      <c r="F35" s="83">
        <f>SUM(SUM($D$25*$T24,$D$26*$U24,$D$27*$V24),($D$28*365.25/12))</f>
        <v>1161.5355466296126</v>
      </c>
      <c r="G35" s="83">
        <f>SUM(SUM($E$22*$Q24,$E$23*$R24,$E$24*$S24),($E$28*365.25/12))</f>
        <v>1650.9415764001783</v>
      </c>
      <c r="H35" s="83">
        <f>SUM(SUM($E$25*$T24,$E$26*$U24,$E$27*$V24),($E$28*365.25/12))</f>
        <v>1165.5185422840636</v>
      </c>
      <c r="I35" s="83">
        <f>SUM(SUM($F$22*$Q24,$F$23*$R24,$F$24*$S24),($F$28*365.25/12))</f>
        <v>1686.4902940326647</v>
      </c>
      <c r="J35" s="83">
        <f>SUM(SUM($F$25*$T24,$F$26*$U24,$F$27*$V24),($F$28*365.25/12))</f>
        <v>1193.1344326234648</v>
      </c>
      <c r="M35" s="83"/>
      <c r="N35" s="83"/>
      <c r="O35" s="83"/>
      <c r="P35" s="83"/>
      <c r="Q35" s="83"/>
      <c r="R35" s="83"/>
      <c r="S35" s="83"/>
      <c r="T35" s="83"/>
      <c r="V35" s="41" t="s">
        <v>147</v>
      </c>
      <c r="W35" s="41" t="s">
        <v>392</v>
      </c>
      <c r="X35" s="41" t="s">
        <v>392</v>
      </c>
      <c r="Y35" s="101">
        <v>114890.37430075801</v>
      </c>
      <c r="Z35" s="101">
        <v>100931.25260386498</v>
      </c>
      <c r="AA35" s="101">
        <f t="shared" ref="AA35:AB39" si="8">$Z35</f>
        <v>100931.25260386498</v>
      </c>
      <c r="AB35" s="101">
        <f t="shared" si="8"/>
        <v>100931.25260386498</v>
      </c>
    </row>
    <row r="36" spans="2:28" ht="15.5">
      <c r="C36" s="83"/>
      <c r="D36" s="83"/>
      <c r="E36" s="83"/>
      <c r="F36" s="83"/>
      <c r="G36" s="83"/>
      <c r="H36" s="83"/>
      <c r="I36" s="83"/>
      <c r="J36" s="83"/>
      <c r="M36" s="83"/>
      <c r="N36" s="83"/>
      <c r="O36" s="83"/>
      <c r="P36" s="83"/>
      <c r="Q36" s="83"/>
      <c r="R36" s="83"/>
      <c r="S36" s="83"/>
      <c r="T36" s="83"/>
      <c r="V36" s="41" t="s">
        <v>147</v>
      </c>
      <c r="W36" s="41" t="s">
        <v>393</v>
      </c>
      <c r="X36" s="41" t="s">
        <v>393</v>
      </c>
      <c r="Y36" s="101">
        <v>378411.76724420895</v>
      </c>
      <c r="Z36" s="101">
        <v>327463.57863626804</v>
      </c>
      <c r="AA36" s="101">
        <f t="shared" si="8"/>
        <v>327463.57863626804</v>
      </c>
      <c r="AB36" s="101">
        <f t="shared" si="8"/>
        <v>327463.57863626804</v>
      </c>
    </row>
    <row r="37" spans="2:28" ht="15.5">
      <c r="C37" s="83"/>
      <c r="D37" s="83"/>
      <c r="E37" s="83"/>
      <c r="F37" s="83"/>
      <c r="G37" s="159"/>
      <c r="H37" s="159"/>
      <c r="I37" s="83"/>
      <c r="J37" s="83"/>
      <c r="M37" s="83"/>
      <c r="N37" s="83"/>
      <c r="O37" s="83"/>
      <c r="P37" s="83"/>
      <c r="Q37" s="83"/>
      <c r="R37" s="83"/>
      <c r="S37" s="83"/>
      <c r="T37" s="83"/>
      <c r="V37" s="41" t="s">
        <v>148</v>
      </c>
      <c r="W37" s="41" t="s">
        <v>380</v>
      </c>
      <c r="X37" s="41" t="s">
        <v>392</v>
      </c>
      <c r="Y37" s="101">
        <v>259532.52884888198</v>
      </c>
      <c r="Z37" s="101">
        <v>218631.32489041702</v>
      </c>
      <c r="AA37" s="101">
        <f t="shared" si="8"/>
        <v>218631.32489041702</v>
      </c>
      <c r="AB37" s="101">
        <f t="shared" si="8"/>
        <v>218631.32489041702</v>
      </c>
    </row>
    <row r="38" spans="2:28" ht="15" customHeight="1">
      <c r="C38" s="83"/>
      <c r="D38" s="83"/>
      <c r="E38" s="83"/>
      <c r="F38" s="83"/>
      <c r="G38" s="159"/>
      <c r="H38" s="159"/>
      <c r="I38" s="83"/>
      <c r="J38" s="83"/>
      <c r="M38" s="83"/>
      <c r="N38" s="83"/>
      <c r="O38" s="83"/>
      <c r="P38" s="83"/>
      <c r="Q38" s="83"/>
      <c r="R38" s="83"/>
      <c r="S38" s="83"/>
      <c r="T38" s="83"/>
      <c r="V38" s="41" t="s">
        <v>148</v>
      </c>
      <c r="W38" s="41" t="s">
        <v>393</v>
      </c>
      <c r="X38" s="41" t="s">
        <v>393</v>
      </c>
      <c r="Y38" s="101">
        <v>773980.50218370289</v>
      </c>
      <c r="Z38" s="101">
        <v>627500.59973076393</v>
      </c>
      <c r="AA38" s="101">
        <f t="shared" si="8"/>
        <v>627500.59973076393</v>
      </c>
      <c r="AB38" s="101">
        <f t="shared" si="8"/>
        <v>627500.59973076393</v>
      </c>
    </row>
    <row r="39" spans="2:28" ht="15" customHeight="1">
      <c r="C39" s="83"/>
      <c r="D39" s="83"/>
      <c r="E39" s="83"/>
      <c r="F39" s="83"/>
      <c r="G39" s="159"/>
      <c r="H39" s="159"/>
      <c r="I39" s="83"/>
      <c r="J39" s="83"/>
      <c r="M39" s="83"/>
      <c r="N39" s="83"/>
      <c r="O39" s="83"/>
      <c r="P39" s="83"/>
      <c r="Q39" s="83"/>
      <c r="R39" s="83"/>
      <c r="S39" s="83"/>
      <c r="T39" s="83"/>
      <c r="V39" s="41" t="s">
        <v>148</v>
      </c>
      <c r="W39" s="41" t="s">
        <v>394</v>
      </c>
      <c r="X39" s="41" t="s">
        <v>395</v>
      </c>
      <c r="Y39" s="101">
        <v>91561.710181789007</v>
      </c>
      <c r="Z39" s="101">
        <v>71782.163739511001</v>
      </c>
      <c r="AA39" s="101">
        <f t="shared" si="8"/>
        <v>71782.163739511001</v>
      </c>
      <c r="AB39" s="101">
        <f t="shared" si="8"/>
        <v>71782.163739511001</v>
      </c>
    </row>
    <row r="40" spans="2:28" ht="15" customHeight="1">
      <c r="C40" s="83"/>
      <c r="D40" s="83"/>
      <c r="E40" s="83"/>
      <c r="F40" s="83"/>
      <c r="G40" s="83"/>
      <c r="H40" s="83"/>
      <c r="I40" s="83"/>
      <c r="J40" s="83"/>
      <c r="M40" s="83"/>
      <c r="N40" s="83"/>
      <c r="O40" s="83"/>
      <c r="P40" s="83"/>
      <c r="Q40" s="83"/>
      <c r="R40" s="83"/>
      <c r="S40" s="83"/>
      <c r="T40" s="83"/>
    </row>
    <row r="41" spans="2:28" ht="15.5">
      <c r="V41" s="39" t="s">
        <v>460</v>
      </c>
      <c r="W41" s="39" t="s">
        <v>396</v>
      </c>
      <c r="Y41" s="101">
        <v>904.07420694299992</v>
      </c>
      <c r="Z41" s="101">
        <v>823.34589711300009</v>
      </c>
      <c r="AA41" s="101">
        <f>$Z41</f>
        <v>823.34589711300009</v>
      </c>
      <c r="AB41" s="101">
        <f>$Z41</f>
        <v>823.34589711300009</v>
      </c>
    </row>
  </sheetData>
  <mergeCells count="12">
    <mergeCell ref="Y21:Z21"/>
    <mergeCell ref="AA21:AB21"/>
    <mergeCell ref="C30:J30"/>
    <mergeCell ref="C31:D31"/>
    <mergeCell ref="E31:F31"/>
    <mergeCell ref="G31:H31"/>
    <mergeCell ref="I31:J31"/>
    <mergeCell ref="B2:D2"/>
    <mergeCell ref="E3:K3"/>
    <mergeCell ref="Q20:S20"/>
    <mergeCell ref="AC20:AD20"/>
    <mergeCell ref="T20:V20"/>
  </mergeCells>
  <pageMargins left="0.7" right="0.7" top="0.75" bottom="0.75" header="0.3" footer="0.3"/>
  <pageSetup orientation="portrait" r:id="rId1"/>
  <headerFooter>
    <oddFooter xml:space="preserve">&amp;C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53E89-DD7E-459E-8738-720B77FF019E}">
  <sheetPr codeName="Sheet6">
    <tabColor rgb="FF92D050"/>
    <pageSetUpPr autoPageBreaks="0"/>
  </sheetPr>
  <dimension ref="A1:S109"/>
  <sheetViews>
    <sheetView tabSelected="1" topLeftCell="C54" workbookViewId="0">
      <selection activeCell="A35" sqref="A35:XFD1048576"/>
    </sheetView>
  </sheetViews>
  <sheetFormatPr defaultColWidth="8.81640625" defaultRowHeight="14.5"/>
  <cols>
    <col min="1" max="1" width="5.54296875" style="39" customWidth="1"/>
    <col min="2" max="2" width="11.54296875" style="39" bestFit="1" customWidth="1"/>
    <col min="3" max="3" width="44.81640625" style="39" bestFit="1" customWidth="1"/>
    <col min="4" max="4" width="19" style="39" customWidth="1"/>
    <col min="5" max="5" width="18" style="39" customWidth="1"/>
    <col min="6" max="6" width="13.453125" style="39" customWidth="1"/>
    <col min="7" max="8" width="15.7265625" style="39" customWidth="1"/>
    <col min="9" max="9" width="14.1796875" style="39" customWidth="1"/>
    <col min="10" max="10" width="14.81640625" style="39" customWidth="1"/>
    <col min="11" max="11" width="21.54296875" style="39" customWidth="1"/>
    <col min="12" max="14" width="13.453125" style="39" customWidth="1"/>
    <col min="15" max="16" width="15.7265625" style="39" customWidth="1"/>
    <col min="17" max="17" width="13.453125" style="39" customWidth="1"/>
    <col min="18" max="19" width="15.81640625" style="39" customWidth="1"/>
    <col min="20" max="24" width="15.54296875" style="39" customWidth="1"/>
    <col min="25" max="16384" width="8.81640625" style="39"/>
  </cols>
  <sheetData>
    <row r="1" spans="2:18">
      <c r="B1" s="3"/>
    </row>
    <row r="2" spans="2:18">
      <c r="B2" s="34" t="s">
        <v>139</v>
      </c>
      <c r="J2" s="34" t="s">
        <v>22</v>
      </c>
      <c r="K2" s="35"/>
      <c r="L2" s="35"/>
    </row>
    <row r="3" spans="2:18">
      <c r="B3" s="35"/>
      <c r="C3" s="41" t="s">
        <v>487</v>
      </c>
      <c r="D3" s="42">
        <v>500</v>
      </c>
      <c r="J3" s="35" t="s">
        <v>140</v>
      </c>
      <c r="K3" s="37"/>
      <c r="L3" s="199">
        <v>45901</v>
      </c>
    </row>
    <row r="4" spans="2:18">
      <c r="B4" s="38"/>
      <c r="C4" s="59" t="s">
        <v>141</v>
      </c>
      <c r="D4" s="42" t="s">
        <v>206</v>
      </c>
      <c r="J4" s="35" t="s">
        <v>41</v>
      </c>
      <c r="K4" s="37"/>
      <c r="L4" s="102">
        <v>2025</v>
      </c>
    </row>
    <row r="5" spans="2:18">
      <c r="C5" s="41" t="s">
        <v>486</v>
      </c>
      <c r="D5" s="180" t="s">
        <v>143</v>
      </c>
      <c r="J5" s="38" t="s">
        <v>35</v>
      </c>
      <c r="L5" s="40">
        <v>4</v>
      </c>
      <c r="M5" s="38" t="s">
        <v>36</v>
      </c>
    </row>
    <row r="6" spans="2:18">
      <c r="C6" s="1"/>
      <c r="D6" s="64" t="s">
        <v>216</v>
      </c>
      <c r="F6" s="60"/>
      <c r="J6" s="38" t="s">
        <v>37</v>
      </c>
      <c r="L6" s="90">
        <v>8</v>
      </c>
      <c r="M6" s="38" t="s">
        <v>36</v>
      </c>
    </row>
    <row r="7" spans="2:18">
      <c r="B7" s="65"/>
      <c r="C7" s="58" t="s">
        <v>3</v>
      </c>
      <c r="D7" s="221"/>
      <c r="E7" s="66"/>
      <c r="J7" s="38" t="s">
        <v>34</v>
      </c>
      <c r="L7" s="116" t="s">
        <v>236</v>
      </c>
      <c r="M7" s="43"/>
    </row>
    <row r="8" spans="2:18">
      <c r="B8" s="62"/>
      <c r="C8" s="58" t="s">
        <v>14</v>
      </c>
      <c r="D8" s="221"/>
      <c r="E8" s="60"/>
      <c r="F8" s="61"/>
      <c r="J8" s="39" t="s">
        <v>274</v>
      </c>
      <c r="L8" s="198">
        <v>-58.226628459800274</v>
      </c>
    </row>
    <row r="9" spans="2:18">
      <c r="B9" s="62"/>
      <c r="C9" s="58" t="s">
        <v>5</v>
      </c>
      <c r="D9" s="221"/>
      <c r="E9" s="60"/>
      <c r="F9" s="61"/>
      <c r="N9" s="35"/>
      <c r="P9" s="478" t="s">
        <v>241</v>
      </c>
      <c r="Q9" s="478" t="s">
        <v>242</v>
      </c>
    </row>
    <row r="10" spans="2:18">
      <c r="B10" s="62"/>
      <c r="C10" s="58" t="s">
        <v>133</v>
      </c>
      <c r="D10" s="221"/>
      <c r="E10" s="60"/>
      <c r="F10" s="61"/>
      <c r="N10" s="39" t="s">
        <v>239</v>
      </c>
      <c r="O10" s="39" t="s">
        <v>240</v>
      </c>
      <c r="P10" s="479"/>
      <c r="Q10" s="479"/>
    </row>
    <row r="11" spans="2:18">
      <c r="B11" s="62"/>
      <c r="C11" s="58" t="s">
        <v>68</v>
      </c>
      <c r="D11" s="221"/>
      <c r="E11" s="60"/>
      <c r="F11" s="61"/>
      <c r="J11" s="38" t="s">
        <v>51</v>
      </c>
      <c r="N11" s="121">
        <f>IF($D$4="ALL",SUMPRODUCT('Hypothetical Res Bill Impact'!Q$22:Q$31,'Hypothetical Res Bill Impact'!$U$22:$U$31),VLOOKUP(D$4,'Hypothetical Res Bill Impact'!$P$22:$T$31,2,FALSE))</f>
        <v>481.75</v>
      </c>
      <c r="O11" s="121">
        <f>IF($D$4="ALL",SUMPRODUCT('Hypothetical Res Bill Impact'!Y$22:Y$31,'Hypothetical Res Bill Impact'!$AC$22:$AC$31),VLOOKUP($D$4,'Hypothetical Res Bill Impact'!$X$22:$AB$31,2,FALSE))</f>
        <v>463</v>
      </c>
      <c r="P11" s="121">
        <f>VLOOKUP($D$4,'Hypothetical Res Bill Impact'!$H$22:$J$31,2,FALSE)</f>
        <v>298.28750000000002</v>
      </c>
      <c r="Q11" s="121">
        <f>VLOOKUP($D$4,'Hypothetical Res Bill Impact'!$L$22:$N$31,2,FALSE)</f>
        <v>258.71875</v>
      </c>
      <c r="R11" s="38" t="s">
        <v>31</v>
      </c>
    </row>
    <row r="12" spans="2:18">
      <c r="B12" s="62"/>
      <c r="C12" s="58" t="s">
        <v>16</v>
      </c>
      <c r="D12" s="221"/>
      <c r="E12" s="67"/>
      <c r="F12" s="61"/>
      <c r="J12" s="38" t="s">
        <v>52</v>
      </c>
      <c r="N12" s="121">
        <f>IF($D$4="ALL",SUMPRODUCT('Hypothetical Res Bill Impact'!R$22:R$31,'Hypothetical Res Bill Impact'!$U$22:$U$31),VLOOKUP(D$4,'Hypothetical Res Bill Impact'!$P$22:$T$31,3,FALSE))</f>
        <v>402.875</v>
      </c>
      <c r="O12" s="121">
        <f>IF($D$4="ALL",SUMPRODUCT('Hypothetical Res Bill Impact'!Y$22:Y$31,'Hypothetical Res Bill Impact'!$AC$22:$AC$31),VLOOKUP($D$4,'Hypothetical Res Bill Impact'!$X$22:$AB$31,3,FALSE))</f>
        <v>462.875</v>
      </c>
      <c r="P12" s="121">
        <f>VLOOKUP($D$4,'Hypothetical Res Bill Impact'!$H$22:$J$31,3,FALSE)</f>
        <v>295.24374999999998</v>
      </c>
      <c r="Q12" s="121">
        <f>VLOOKUP($D$4,'Hypothetical Res Bill Impact'!$L$22:$N$31,3,FALSE)</f>
        <v>444.38749999999999</v>
      </c>
      <c r="R12" s="38" t="s">
        <v>31</v>
      </c>
    </row>
    <row r="13" spans="2:18">
      <c r="B13" s="62"/>
      <c r="C13" s="58" t="s">
        <v>15</v>
      </c>
      <c r="D13" s="221"/>
      <c r="E13" s="60"/>
      <c r="F13" s="61"/>
      <c r="J13" s="38" t="s">
        <v>237</v>
      </c>
      <c r="N13" s="121">
        <f>(N11*4)+(N12*8)</f>
        <v>5150</v>
      </c>
      <c r="O13" s="121">
        <f>(O11*4)+(O12*8)</f>
        <v>5555</v>
      </c>
      <c r="P13" s="121">
        <f>(P11*4)+(P12*8)</f>
        <v>3555.1</v>
      </c>
      <c r="Q13" s="121">
        <f>(Q11*4)+(Q12*8)</f>
        <v>4589.9750000000004</v>
      </c>
      <c r="R13" s="38" t="s">
        <v>251</v>
      </c>
    </row>
    <row r="14" spans="2:18">
      <c r="B14" s="62"/>
      <c r="C14" s="58" t="s">
        <v>17</v>
      </c>
      <c r="D14" s="221"/>
      <c r="E14" s="60"/>
      <c r="F14" s="61"/>
      <c r="J14" s="38" t="s">
        <v>53</v>
      </c>
      <c r="N14" s="121">
        <f>IF(D$4="ALL",SUMPRODUCT('Hypothetical Res Bill Impact'!S$22:S$31,'Hypothetical Res Bill Impact'!$V$22:$V$31),VLOOKUP(D$4,'Hypothetical Res Bill Impact'!$P$22:$T$31,4,FALSE))</f>
        <v>438.25</v>
      </c>
      <c r="O14" s="121">
        <f>IF($D$4="ALL",SUMPRODUCT('Hypothetical Res Bill Impact'!Y$22:Y$31,'Hypothetical Res Bill Impact'!$AD$22:$AD$31),VLOOKUP($D$4,'Hypothetical Res Bill Impact'!$X$22:$AB$31,4,FALSE))</f>
        <v>413.5</v>
      </c>
      <c r="P14" s="121">
        <f t="shared" ref="P14:Q16" si="0">P11</f>
        <v>298.28750000000002</v>
      </c>
      <c r="Q14" s="121">
        <f t="shared" si="0"/>
        <v>258.71875</v>
      </c>
      <c r="R14" s="38" t="s">
        <v>31</v>
      </c>
    </row>
    <row r="15" spans="2:18">
      <c r="B15" s="62"/>
      <c r="C15" s="58" t="s">
        <v>131</v>
      </c>
      <c r="D15" s="221"/>
      <c r="E15" s="60"/>
      <c r="F15" s="61"/>
      <c r="J15" s="38" t="s">
        <v>54</v>
      </c>
      <c r="N15" s="121">
        <f>IF($D$4="ALL",SUMPRODUCT('Hypothetical Res Bill Impact'!T$22:T$31,'Hypothetical Res Bill Impact'!$V$22:$V$31),VLOOKUP(D$4,'Hypothetical Res Bill Impact'!$P$22:$T$31,5,FALSE))</f>
        <v>381.625</v>
      </c>
      <c r="O15" s="121">
        <f>IF($D$4="ALL",SUMPRODUCT('Hypothetical Res Bill Impact'!Y$22:Y$31,'Hypothetical Res Bill Impact'!$AD$22:$AD$31),VLOOKUP($D$4,'Hypothetical Res Bill Impact'!$X$22:$AB$31,5,FALSE))</f>
        <v>438.75</v>
      </c>
      <c r="P15" s="121">
        <f t="shared" si="0"/>
        <v>295.24374999999998</v>
      </c>
      <c r="Q15" s="121">
        <f t="shared" si="0"/>
        <v>444.38749999999999</v>
      </c>
      <c r="R15" s="38" t="s">
        <v>31</v>
      </c>
    </row>
    <row r="16" spans="2:18">
      <c r="B16" s="62"/>
      <c r="C16" s="58" t="s">
        <v>10</v>
      </c>
      <c r="D16" s="221"/>
      <c r="E16" s="60"/>
      <c r="F16" s="61"/>
      <c r="J16" s="38" t="s">
        <v>238</v>
      </c>
      <c r="N16" s="121">
        <f>(N14*4)+(N15*8)</f>
        <v>4806</v>
      </c>
      <c r="O16" s="121">
        <f>(O14*4)+(O15*8)</f>
        <v>5164</v>
      </c>
      <c r="P16" s="121">
        <f t="shared" si="0"/>
        <v>3555.1</v>
      </c>
      <c r="Q16" s="121">
        <f t="shared" si="0"/>
        <v>4589.9750000000004</v>
      </c>
      <c r="R16" s="38" t="s">
        <v>251</v>
      </c>
    </row>
    <row r="17" spans="2:19">
      <c r="B17" s="58"/>
      <c r="C17" s="58" t="s">
        <v>138</v>
      </c>
      <c r="D17" s="221"/>
      <c r="F17" s="61"/>
      <c r="J17" s="38" t="s">
        <v>33</v>
      </c>
      <c r="N17" s="41"/>
      <c r="P17" s="82" t="str">
        <f>LEFT('Res Bill Impact'!P19,4)</f>
        <v>2024</v>
      </c>
    </row>
    <row r="18" spans="2:19">
      <c r="B18" s="58"/>
      <c r="C18" s="58" t="s">
        <v>211</v>
      </c>
      <c r="D18" s="221"/>
      <c r="F18" s="61"/>
      <c r="J18" s="38"/>
      <c r="M18" s="38"/>
    </row>
    <row r="19" spans="2:19">
      <c r="B19" s="58"/>
      <c r="C19" s="58" t="s">
        <v>284</v>
      </c>
      <c r="D19" s="221"/>
      <c r="F19" s="61"/>
      <c r="J19" s="38"/>
      <c r="M19" s="38"/>
    </row>
    <row r="20" spans="2:19">
      <c r="B20" s="58"/>
      <c r="C20" s="39" t="s">
        <v>309</v>
      </c>
      <c r="D20" s="2"/>
      <c r="F20" s="61"/>
      <c r="J20" s="38"/>
      <c r="M20" s="38"/>
    </row>
    <row r="21" spans="2:19">
      <c r="B21" s="58"/>
      <c r="C21" s="58" t="s">
        <v>136</v>
      </c>
      <c r="D21" s="92">
        <f>SUM(D7:D20)</f>
        <v>0</v>
      </c>
      <c r="F21" s="61"/>
      <c r="J21" s="38"/>
      <c r="M21" s="38"/>
    </row>
    <row r="22" spans="2:19">
      <c r="B22" s="34" t="s">
        <v>144</v>
      </c>
      <c r="D22" s="39" t="s">
        <v>313</v>
      </c>
    </row>
    <row r="23" spans="2:19" ht="15" thickBot="1">
      <c r="D23" s="68" t="s">
        <v>157</v>
      </c>
      <c r="E23" s="68" t="s">
        <v>158</v>
      </c>
      <c r="F23" s="68" t="s">
        <v>159</v>
      </c>
      <c r="G23" s="68" t="s">
        <v>160</v>
      </c>
      <c r="H23" s="68" t="s">
        <v>161</v>
      </c>
      <c r="L23" s="68" t="s">
        <v>157</v>
      </c>
      <c r="M23" s="68" t="s">
        <v>158</v>
      </c>
      <c r="N23" s="68" t="s">
        <v>159</v>
      </c>
      <c r="O23" s="68" t="s">
        <v>160</v>
      </c>
      <c r="P23" s="68" t="s">
        <v>161</v>
      </c>
    </row>
    <row r="24" spans="2:19">
      <c r="B24" s="435" t="s">
        <v>145</v>
      </c>
      <c r="C24" s="436"/>
      <c r="D24" s="436"/>
      <c r="E24" s="436"/>
      <c r="F24" s="436"/>
      <c r="G24" s="436"/>
      <c r="H24" s="437"/>
      <c r="J24" s="435" t="s">
        <v>146</v>
      </c>
      <c r="K24" s="436"/>
      <c r="L24" s="436"/>
      <c r="M24" s="436"/>
      <c r="N24" s="436"/>
      <c r="O24" s="436"/>
      <c r="P24" s="437"/>
    </row>
    <row r="25" spans="2:19" ht="29">
      <c r="B25" s="441" t="s">
        <v>18</v>
      </c>
      <c r="C25" s="442"/>
      <c r="D25" s="33">
        <v>45658</v>
      </c>
      <c r="E25" s="33">
        <f>L3</f>
        <v>45901</v>
      </c>
      <c r="F25" s="36" t="s">
        <v>21</v>
      </c>
      <c r="G25" s="36" t="str">
        <f>"% Change over "&amp;TEXT(D25,"mm/d/yyyy")</f>
        <v>% Change over 01/1/2025</v>
      </c>
      <c r="H25" s="4" t="str">
        <f>"% Change over "&amp;TEXT(E25,"mm/d/yyyy")</f>
        <v>% Change over 09/1/2025</v>
      </c>
      <c r="J25" s="443" t="s">
        <v>18</v>
      </c>
      <c r="K25" s="444"/>
      <c r="L25" s="33">
        <f>$D$25</f>
        <v>45658</v>
      </c>
      <c r="M25" s="33">
        <f>$E$25</f>
        <v>45901</v>
      </c>
      <c r="N25" s="36" t="s">
        <v>21</v>
      </c>
      <c r="O25" s="36" t="str">
        <f>$G$25</f>
        <v>% Change over 01/1/2025</v>
      </c>
      <c r="P25" s="4" t="str">
        <f>$H$25</f>
        <v>% Change over 09/1/2025</v>
      </c>
    </row>
    <row r="26" spans="2:19">
      <c r="B26" s="445" t="s">
        <v>19</v>
      </c>
      <c r="C26" s="446"/>
      <c r="D26" s="177">
        <f>IF($D$5="Y", 'Hypothetical SAR and RAR'!AB45, 'Hypothetical SAR and RAR'!AC45)</f>
        <v>35.876526998426449</v>
      </c>
      <c r="E26" s="44">
        <f>IF($D$5="Y", 'Hypothetical SAR and RAR'!AB50, 'Hypothetical SAR and RAR'!AC50)</f>
        <v>35.656709684711373</v>
      </c>
      <c r="F26" s="44">
        <f>'Hypothetical SAR and RAR'!G29</f>
        <v>35.656709684711373</v>
      </c>
      <c r="G26" s="45">
        <f t="shared" ref="G26:H28" si="1">$F26/D26-1</f>
        <v>-6.1270510862079242E-3</v>
      </c>
      <c r="H26" s="69">
        <f t="shared" si="1"/>
        <v>0</v>
      </c>
      <c r="J26" s="445" t="s">
        <v>40</v>
      </c>
      <c r="K26" s="446"/>
      <c r="L26" s="44">
        <f>IF($D$5="Y", 'Hypothetical SAR and RAR'!AE45, 'Hypothetical SAR and RAR'!AF45)</f>
        <v>28.129082432984287</v>
      </c>
      <c r="M26" s="44">
        <f>IF($D$5="Y", 'Hypothetical SAR and RAR'!AE50, 'Hypothetical SAR and RAR'!AF50)</f>
        <v>27.886265438798862</v>
      </c>
      <c r="N26" s="44">
        <f>'Hypothetical SAR and RAR'!Q29</f>
        <v>27.886265438798862</v>
      </c>
      <c r="O26" s="45">
        <f t="shared" ref="O26:P28" si="2">$N26/L26-1</f>
        <v>-8.6322401295498841E-3</v>
      </c>
      <c r="P26" s="69">
        <f t="shared" si="2"/>
        <v>0</v>
      </c>
      <c r="S26" s="177"/>
    </row>
    <row r="27" spans="2:19">
      <c r="B27" s="151"/>
      <c r="C27" s="152" t="s">
        <v>389</v>
      </c>
      <c r="D27" s="177">
        <f>IF($D$5="Y", 'Hypothetical SAR and RAR (B-1)'!X31,'Hypothetical SAR and RAR (B-1)'!Y31)</f>
        <v>43.574453995215542</v>
      </c>
      <c r="E27" s="153">
        <f>IF($D$5="Y", 'Hypothetical SAR and RAR (B-1)'!X36,'Hypothetical SAR and RAR (B-1)'!Y36)</f>
        <v>43.255570991528394</v>
      </c>
      <c r="F27" s="153">
        <f>'Hypothetical SAR and RAR (B-1)'!G29</f>
        <v>43.255570991528394</v>
      </c>
      <c r="G27" s="45">
        <f t="shared" si="1"/>
        <v>-7.3181181736015066E-3</v>
      </c>
      <c r="H27" s="69">
        <f t="shared" si="1"/>
        <v>0</v>
      </c>
      <c r="J27" s="151"/>
      <c r="K27" s="152" t="s">
        <v>417</v>
      </c>
      <c r="L27" s="153">
        <f>IF($D$5="Y", 'Hypothetical SAR and RAR (B-1)'!AA31,'Hypothetical SAR and RAR (B-1)'!AB31)</f>
        <v>33.610590836889926</v>
      </c>
      <c r="M27" s="153">
        <f>IF($D$5="Y",'Hypothetical SAR and RAR (B-1)'!AA36,'Hypothetical SAR and RAR (B-1)'!AB36)</f>
        <v>33.291687061124286</v>
      </c>
      <c r="N27" s="153">
        <f>'Hypothetical SAR and RAR (B-1)'!Q29</f>
        <v>33.291687061124286</v>
      </c>
      <c r="O27" s="45">
        <f t="shared" si="2"/>
        <v>-9.4881930910784007E-3</v>
      </c>
      <c r="P27" s="69">
        <f t="shared" si="2"/>
        <v>0</v>
      </c>
    </row>
    <row r="28" spans="2:19" ht="15" thickBot="1">
      <c r="B28" s="433" t="s">
        <v>30</v>
      </c>
      <c r="C28" s="434"/>
      <c r="D28" s="192">
        <f>IF($D$5="Y", 'Hypothetical SAR and RAR'!AB46, 'Hypothetical SAR and RAR'!AC46)</f>
        <v>35.04098349229276</v>
      </c>
      <c r="E28" s="47">
        <f>IF($D$5="Y", 'Hypothetical SAR and RAR'!AB51, 'Hypothetical SAR and RAR'!AC51)</f>
        <v>34.778170423848316</v>
      </c>
      <c r="F28" s="47">
        <f>'Hypothetical SAR and RAR'!G30</f>
        <v>34.778170423848316</v>
      </c>
      <c r="G28" s="48">
        <f t="shared" si="1"/>
        <v>-7.5001624455617311E-3</v>
      </c>
      <c r="H28" s="70">
        <f t="shared" si="1"/>
        <v>0</v>
      </c>
      <c r="J28" s="433" t="s">
        <v>39</v>
      </c>
      <c r="K28" s="434"/>
      <c r="L28" s="47">
        <f>IF($D$5="Y", 'Hypothetical SAR and RAR'!AE46, 'Hypothetical SAR and RAR'!AF46)</f>
        <v>25.258006838675957</v>
      </c>
      <c r="M28" s="47">
        <f>IF($D$5="Y", 'Hypothetical SAR and RAR'!AE51, 'Hypothetical SAR and RAR'!AF51)</f>
        <v>24.987041940003813</v>
      </c>
      <c r="N28" s="47">
        <f>'Hypothetical SAR and RAR'!Q30</f>
        <v>24.987041940003813</v>
      </c>
      <c r="O28" s="48">
        <f t="shared" si="2"/>
        <v>-1.0727881277521556E-2</v>
      </c>
      <c r="P28" s="70">
        <f t="shared" si="2"/>
        <v>0</v>
      </c>
    </row>
    <row r="30" spans="2:19" ht="15" thickBot="1"/>
    <row r="31" spans="2:19">
      <c r="B31" s="428" t="s">
        <v>256</v>
      </c>
      <c r="C31" s="429"/>
      <c r="D31" s="429"/>
      <c r="E31" s="429"/>
      <c r="F31" s="429"/>
      <c r="G31" s="429"/>
      <c r="H31" s="430"/>
      <c r="J31" s="428" t="s">
        <v>265</v>
      </c>
      <c r="K31" s="429"/>
      <c r="L31" s="429"/>
      <c r="M31" s="429"/>
      <c r="N31" s="429"/>
      <c r="O31" s="429"/>
      <c r="P31" s="430"/>
    </row>
    <row r="32" spans="2:19" ht="29">
      <c r="B32" s="50"/>
      <c r="C32" s="51"/>
      <c r="D32" s="33">
        <f>$D$25</f>
        <v>45658</v>
      </c>
      <c r="E32" s="33">
        <f>$E$25</f>
        <v>45901</v>
      </c>
      <c r="F32" s="36" t="s">
        <v>21</v>
      </c>
      <c r="G32" s="36" t="str">
        <f>$G$25</f>
        <v>% Change over 01/1/2025</v>
      </c>
      <c r="H32" s="4" t="str">
        <f>$H$25</f>
        <v>% Change over 09/1/2025</v>
      </c>
      <c r="J32" s="50"/>
      <c r="K32" s="51"/>
      <c r="L32" s="33">
        <f>$D$25</f>
        <v>45658</v>
      </c>
      <c r="M32" s="33">
        <f>$E$25</f>
        <v>45901</v>
      </c>
      <c r="N32" s="36" t="s">
        <v>21</v>
      </c>
      <c r="O32" s="36" t="str">
        <f>$G$25</f>
        <v>% Change over 01/1/2025</v>
      </c>
      <c r="P32" s="4" t="str">
        <f>$H$25</f>
        <v>% Change over 09/1/2025</v>
      </c>
    </row>
    <row r="33" spans="2:17">
      <c r="B33" s="431" t="s">
        <v>49</v>
      </c>
      <c r="C33" s="432"/>
      <c r="D33" s="52">
        <f>((D40*4)+(D47*8)+($L$8*2))/12</f>
        <v>175.9560715067</v>
      </c>
      <c r="E33" s="52">
        <f>((E40*4)+(E47*8)+($L$8*2))/12</f>
        <v>174.65379363184343</v>
      </c>
      <c r="F33" s="52">
        <f>((F40*4)+(F47*8)+($L$8*2))/12</f>
        <v>174.65379363184343</v>
      </c>
      <c r="G33" s="53">
        <f t="shared" ref="G33:H35" si="3">$F33/D33-1</f>
        <v>-7.4011533884864589E-3</v>
      </c>
      <c r="H33" s="71">
        <f t="shared" si="3"/>
        <v>0</v>
      </c>
      <c r="J33" s="431" t="s">
        <v>49</v>
      </c>
      <c r="K33" s="432"/>
      <c r="L33" s="52">
        <f>((L40*4)+(L47*8)+($L$8*2))/12</f>
        <v>184.17742723586665</v>
      </c>
      <c r="M33" s="52">
        <f>((M40*4)+(M47*8)+($L$8*2))/12</f>
        <v>182.80477849376064</v>
      </c>
      <c r="N33" s="52">
        <f>((N40*4)+(N47*8)+($L$8*2))/12</f>
        <v>182.80477849376064</v>
      </c>
      <c r="O33" s="53">
        <f t="shared" ref="O33:P35" si="4">$N33/L33-1</f>
        <v>-7.4528608782666872E-3</v>
      </c>
      <c r="P33" s="71">
        <f t="shared" si="4"/>
        <v>0</v>
      </c>
    </row>
    <row r="34" spans="2:17">
      <c r="B34" s="431" t="s">
        <v>50</v>
      </c>
      <c r="C34" s="432"/>
      <c r="D34" s="52">
        <f t="shared" ref="D34:F35" si="5">((D41*4)+(D48*8)+($L$8*2))/12</f>
        <v>95.441697923366618</v>
      </c>
      <c r="E34" s="52">
        <f t="shared" si="5"/>
        <v>95.060705585379893</v>
      </c>
      <c r="F34" s="52">
        <f t="shared" si="5"/>
        <v>95.060705585379893</v>
      </c>
      <c r="G34" s="53">
        <f t="shared" si="3"/>
        <v>-3.9918855833079858E-3</v>
      </c>
      <c r="H34" s="72">
        <f t="shared" si="3"/>
        <v>0</v>
      </c>
      <c r="J34" s="431" t="s">
        <v>50</v>
      </c>
      <c r="K34" s="432"/>
      <c r="L34" s="52">
        <f t="shared" ref="L34:N35" si="6">((L41*4)+(L48*8)+($L$8*2))/12</f>
        <v>99.294054840033269</v>
      </c>
      <c r="M34" s="52">
        <f t="shared" si="6"/>
        <v>98.904823436845604</v>
      </c>
      <c r="N34" s="52">
        <f t="shared" si="6"/>
        <v>98.904823436845604</v>
      </c>
      <c r="O34" s="53">
        <f t="shared" si="4"/>
        <v>-3.9199869903060458E-3</v>
      </c>
      <c r="P34" s="72">
        <f t="shared" si="4"/>
        <v>0</v>
      </c>
    </row>
    <row r="35" spans="2:17" ht="15" thickBot="1">
      <c r="B35" s="433" t="s">
        <v>136</v>
      </c>
      <c r="C35" s="434"/>
      <c r="D35" s="55">
        <f t="shared" si="5"/>
        <v>155.32583998402055</v>
      </c>
      <c r="E35" s="55">
        <f t="shared" si="5"/>
        <v>154.25962348650862</v>
      </c>
      <c r="F35" s="55">
        <f t="shared" si="5"/>
        <v>154.25962348650862</v>
      </c>
      <c r="G35" s="56">
        <f t="shared" si="3"/>
        <v>-6.8643858460486484E-3</v>
      </c>
      <c r="H35" s="73">
        <f t="shared" si="3"/>
        <v>0</v>
      </c>
      <c r="J35" s="433" t="s">
        <v>136</v>
      </c>
      <c r="K35" s="434"/>
      <c r="L35" s="55">
        <f t="shared" si="6"/>
        <v>162.42772532532041</v>
      </c>
      <c r="M35" s="55">
        <f t="shared" si="6"/>
        <v>161.30705801811069</v>
      </c>
      <c r="N35" s="55">
        <f t="shared" si="6"/>
        <v>161.30705801811069</v>
      </c>
      <c r="O35" s="56">
        <f t="shared" si="4"/>
        <v>-6.8994828620863036E-3</v>
      </c>
      <c r="P35" s="73">
        <f t="shared" si="4"/>
        <v>0</v>
      </c>
    </row>
    <row r="36" spans="2:17" ht="15" thickBot="1">
      <c r="B36" s="58"/>
      <c r="C36" s="58"/>
      <c r="D36" s="117"/>
      <c r="E36" s="117"/>
      <c r="F36" s="117"/>
      <c r="G36" s="118"/>
      <c r="H36" s="118"/>
      <c r="J36" s="58"/>
      <c r="K36" s="58"/>
      <c r="L36" s="117"/>
      <c r="M36" s="117"/>
      <c r="N36" s="117"/>
      <c r="O36" s="118"/>
      <c r="P36" s="118"/>
    </row>
    <row r="37" spans="2:17" ht="15" hidden="1" thickBot="1">
      <c r="D37" s="39">
        <v>2</v>
      </c>
      <c r="E37" s="39">
        <v>4</v>
      </c>
      <c r="F37" s="39">
        <v>6</v>
      </c>
      <c r="L37" s="39">
        <v>2</v>
      </c>
      <c r="M37" s="39">
        <v>4</v>
      </c>
      <c r="N37" s="39">
        <v>6</v>
      </c>
    </row>
    <row r="38" spans="2:17">
      <c r="B38" s="428" t="s">
        <v>257</v>
      </c>
      <c r="C38" s="429"/>
      <c r="D38" s="429"/>
      <c r="E38" s="429"/>
      <c r="F38" s="429"/>
      <c r="G38" s="429"/>
      <c r="H38" s="430"/>
      <c r="J38" s="428" t="s">
        <v>266</v>
      </c>
      <c r="K38" s="429"/>
      <c r="L38" s="429"/>
      <c r="M38" s="429"/>
      <c r="N38" s="429"/>
      <c r="O38" s="429"/>
      <c r="P38" s="430"/>
    </row>
    <row r="39" spans="2:17" ht="29">
      <c r="B39" s="50"/>
      <c r="C39" s="51"/>
      <c r="D39" s="33">
        <f>$D$25</f>
        <v>45658</v>
      </c>
      <c r="E39" s="33">
        <f>$E$25</f>
        <v>45901</v>
      </c>
      <c r="F39" s="36" t="s">
        <v>21</v>
      </c>
      <c r="G39" s="36" t="str">
        <f>$G$25</f>
        <v>% Change over 01/1/2025</v>
      </c>
      <c r="H39" s="4" t="str">
        <f>$H$25</f>
        <v>% Change over 09/1/2025</v>
      </c>
      <c r="J39" s="50"/>
      <c r="K39" s="51"/>
      <c r="L39" s="33">
        <f>$D$25</f>
        <v>45658</v>
      </c>
      <c r="M39" s="33">
        <f>$E$25</f>
        <v>45901</v>
      </c>
      <c r="N39" s="36" t="s">
        <v>21</v>
      </c>
      <c r="O39" s="36" t="str">
        <f>$G$25</f>
        <v>% Change over 01/1/2025</v>
      </c>
      <c r="P39" s="4" t="str">
        <f>$H$25</f>
        <v>% Change over 09/1/2025</v>
      </c>
    </row>
    <row r="40" spans="2:17">
      <c r="B40" s="431" t="s">
        <v>49</v>
      </c>
      <c r="C40" s="432"/>
      <c r="D40" s="52">
        <f>VLOOKUP($D$4,'Hypothetical Res Bill Impact'!$B$37:$H$47,D37,FALSE)</f>
        <v>211.881659375</v>
      </c>
      <c r="E40" s="52">
        <f>VLOOKUP($D$4,'Hypothetical Res Bill Impact'!$B$37:$H$47,E37,FALSE)</f>
        <v>210.40237541031431</v>
      </c>
      <c r="F40" s="52">
        <f>VLOOKUP($D$4,'Hypothetical Res Bill Impact'!$B$37:$H$47,F37,FALSE)</f>
        <v>210.40237541031431</v>
      </c>
      <c r="G40" s="53">
        <f t="shared" ref="G40:H42" si="7">$F40/D40-1</f>
        <v>-6.9816517817031798E-3</v>
      </c>
      <c r="H40" s="72">
        <f t="shared" si="7"/>
        <v>0</v>
      </c>
      <c r="J40" s="431" t="s">
        <v>49</v>
      </c>
      <c r="K40" s="432"/>
      <c r="L40" s="52">
        <f>VLOOKUP($D$4,'Hypothetical Res Bill Impact'!$J$37:$P$47,L37,FALSE)</f>
        <v>206.4687646875</v>
      </c>
      <c r="M40" s="52">
        <f>VLOOKUP($D$4,'Hypothetical Res Bill Impact'!$J$37:$P$47,M37,FALSE)</f>
        <v>205.03282232359066</v>
      </c>
      <c r="N40" s="52">
        <f>VLOOKUP($D$4,'Hypothetical Res Bill Impact'!$J$37:$P$47,N37,FALSE)</f>
        <v>205.03282232359066</v>
      </c>
      <c r="O40" s="53">
        <f t="shared" ref="O40:P42" si="8">$N40/L40-1</f>
        <v>-6.9547680303250203E-3</v>
      </c>
      <c r="P40" s="71">
        <f t="shared" si="8"/>
        <v>0</v>
      </c>
      <c r="Q40" s="127"/>
    </row>
    <row r="41" spans="2:17">
      <c r="B41" s="431" t="s">
        <v>50</v>
      </c>
      <c r="C41" s="432"/>
      <c r="D41" s="52">
        <f>VLOOKUP($D$4,'Hypothetical Res Bill Impact'!$B$53:$H$63,D37,FALSE)</f>
        <v>116.762897</v>
      </c>
      <c r="E41" s="52">
        <f>VLOOKUP($D$4,'Hypothetical Res Bill Impact'!$B$53:$H$63,E37,FALSE)</f>
        <v>116.33736012780651</v>
      </c>
      <c r="F41" s="52">
        <f>VLOOKUP($D$4,'Hypothetical Res Bill Impact'!$B$53:$H$63,F37,FALSE)</f>
        <v>116.33736012780651</v>
      </c>
      <c r="G41" s="53">
        <f t="shared" si="7"/>
        <v>-3.6444528452689307E-3</v>
      </c>
      <c r="H41" s="72">
        <f t="shared" si="7"/>
        <v>0</v>
      </c>
      <c r="J41" s="431" t="s">
        <v>50</v>
      </c>
      <c r="K41" s="432"/>
      <c r="L41" s="52">
        <f>VLOOKUP($D$4,'Hypothetical Res Bill Impact'!$J$53:$P$63,L37,FALSE)</f>
        <v>111.66575374999999</v>
      </c>
      <c r="M41" s="52">
        <f>VLOOKUP($D$4,'Hypothetical Res Bill Impact'!$J$53:$P$63,M37,FALSE)</f>
        <v>111.2566732313127</v>
      </c>
      <c r="N41" s="52">
        <f>VLOOKUP($D$4,'Hypothetical Res Bill Impact'!$J$53:$P$63,N37,FALSE)</f>
        <v>111.2566732313127</v>
      </c>
      <c r="O41" s="53">
        <f t="shared" si="8"/>
        <v>-3.663437580004647E-3</v>
      </c>
      <c r="P41" s="72">
        <f t="shared" si="8"/>
        <v>0</v>
      </c>
    </row>
    <row r="42" spans="2:17" ht="15" thickBot="1">
      <c r="B42" s="433" t="s">
        <v>136</v>
      </c>
      <c r="C42" s="434"/>
      <c r="D42" s="55">
        <f>D40*(1-'Hypothetical SAR and RAR'!$Y$16)+D41*'Hypothetical SAR and RAR'!$Y$16</f>
        <v>187.50933922130781</v>
      </c>
      <c r="E42" s="55">
        <f>E40*(1-'Hypothetical SAR and RAR'!$Y$16)+E41*'Hypothetical SAR and RAR'!$Y$16</f>
        <v>186.30005731360842</v>
      </c>
      <c r="F42" s="55">
        <f>F40*(1-'Hypothetical SAR and RAR'!$Y$16)+F41*'Hypothetical SAR and RAR'!$Y$16</f>
        <v>186.30005731360842</v>
      </c>
      <c r="G42" s="56">
        <f t="shared" si="7"/>
        <v>-6.4491822792470677E-3</v>
      </c>
      <c r="H42" s="73">
        <f t="shared" si="7"/>
        <v>0</v>
      </c>
      <c r="J42" s="433" t="s">
        <v>136</v>
      </c>
      <c r="K42" s="434"/>
      <c r="L42" s="55">
        <f>L40*(1-'Hypothetical SAR and RAR'!$Y$16)+L41*'Hypothetical SAR and RAR'!$Y$16</f>
        <v>182.1773496563261</v>
      </c>
      <c r="M42" s="55">
        <f>M40*(1-'Hypothetical SAR and RAR'!$Y$16)+M41*'Hypothetical SAR and RAR'!$Y$16</f>
        <v>181.00452053128225</v>
      </c>
      <c r="N42" s="55">
        <f>N40*(1-'Hypothetical SAR and RAR'!$Y$16)+N41*'Hypothetical SAR and RAR'!$Y$16</f>
        <v>181.00452053128225</v>
      </c>
      <c r="O42" s="56">
        <f t="shared" si="8"/>
        <v>-6.4378427244460301E-3</v>
      </c>
      <c r="P42" s="73">
        <f t="shared" si="8"/>
        <v>0</v>
      </c>
    </row>
    <row r="43" spans="2:17" ht="15" thickBot="1">
      <c r="B43" s="58"/>
      <c r="C43" s="58"/>
      <c r="D43" s="117"/>
      <c r="E43" s="117"/>
      <c r="F43" s="117"/>
      <c r="G43" s="118"/>
      <c r="H43" s="118"/>
      <c r="J43" s="58"/>
      <c r="K43" s="58"/>
      <c r="L43" s="117"/>
      <c r="M43" s="117"/>
      <c r="N43" s="117"/>
      <c r="O43" s="118"/>
      <c r="P43" s="118"/>
    </row>
    <row r="44" spans="2:17" ht="15" hidden="1" thickBot="1">
      <c r="D44" s="39">
        <v>3</v>
      </c>
      <c r="E44" s="39">
        <v>5</v>
      </c>
      <c r="F44" s="39">
        <v>7</v>
      </c>
      <c r="L44" s="39">
        <v>3</v>
      </c>
      <c r="M44" s="39">
        <v>5</v>
      </c>
      <c r="N44" s="39">
        <v>7</v>
      </c>
    </row>
    <row r="45" spans="2:17">
      <c r="B45" s="428" t="s">
        <v>258</v>
      </c>
      <c r="C45" s="429"/>
      <c r="D45" s="429"/>
      <c r="E45" s="429"/>
      <c r="F45" s="429"/>
      <c r="G45" s="429"/>
      <c r="H45" s="430"/>
      <c r="J45" s="428" t="s">
        <v>267</v>
      </c>
      <c r="K45" s="429"/>
      <c r="L45" s="429"/>
      <c r="M45" s="429"/>
      <c r="N45" s="429"/>
      <c r="O45" s="429"/>
      <c r="P45" s="430"/>
    </row>
    <row r="46" spans="2:17" ht="29">
      <c r="B46" s="50"/>
      <c r="C46" s="51"/>
      <c r="D46" s="33">
        <f>$D$25</f>
        <v>45658</v>
      </c>
      <c r="E46" s="33">
        <f>$E$25</f>
        <v>45901</v>
      </c>
      <c r="F46" s="36" t="s">
        <v>21</v>
      </c>
      <c r="G46" s="36" t="str">
        <f>$G$25</f>
        <v>% Change over 01/1/2025</v>
      </c>
      <c r="H46" s="4" t="str">
        <f>$H$25</f>
        <v>% Change over 09/1/2025</v>
      </c>
      <c r="J46" s="50"/>
      <c r="K46" s="51"/>
      <c r="L46" s="33">
        <f>$D$25</f>
        <v>45658</v>
      </c>
      <c r="M46" s="33">
        <f>$E$25</f>
        <v>45901</v>
      </c>
      <c r="N46" s="36" t="s">
        <v>21</v>
      </c>
      <c r="O46" s="36" t="str">
        <f>$G$25</f>
        <v>% Change over 01/1/2025</v>
      </c>
      <c r="P46" s="4" t="str">
        <f>$H$25</f>
        <v>% Change over 09/1/2025</v>
      </c>
    </row>
    <row r="47" spans="2:17">
      <c r="B47" s="431" t="s">
        <v>49</v>
      </c>
      <c r="C47" s="432"/>
      <c r="D47" s="52">
        <f>VLOOKUP($D$4,'Hypothetical Res Bill Impact'!$B$37:$H$47,D44,FALSE)</f>
        <v>172.54993468750001</v>
      </c>
      <c r="E47" s="52">
        <f>VLOOKUP($D$4,'Hypothetical Res Bill Impact'!$B$37:$H$47,E44,FALSE)</f>
        <v>171.33615985755804</v>
      </c>
      <c r="F47" s="52">
        <f>VLOOKUP($D$4,'Hypothetical Res Bill Impact'!$B$37:$H$47,F44,FALSE)</f>
        <v>171.33615985755804</v>
      </c>
      <c r="G47" s="53">
        <f t="shared" ref="G47:H49" si="9">$F47/D47-1</f>
        <v>-7.0343395501145656E-3</v>
      </c>
      <c r="H47" s="72">
        <f t="shared" si="9"/>
        <v>0</v>
      </c>
      <c r="J47" s="431" t="s">
        <v>49</v>
      </c>
      <c r="K47" s="432"/>
      <c r="L47" s="52">
        <f>VLOOKUP($D$4,'Hypothetical Res Bill Impact'!$J$37:$P$47,L44,FALSE)</f>
        <v>187.58841562500001</v>
      </c>
      <c r="M47" s="52">
        <f>VLOOKUP($D$4,'Hypothetical Res Bill Impact'!$J$37:$P$47,M44,FALSE)</f>
        <v>186.24741369379569</v>
      </c>
      <c r="N47" s="52">
        <f>VLOOKUP($D$4,'Hypothetical Res Bill Impact'!$J$37:$P$47,N44,FALSE)</f>
        <v>186.24741369379569</v>
      </c>
      <c r="O47" s="53">
        <f t="shared" ref="O47:P49" si="10">$N47/L47-1</f>
        <v>-7.1486393588666708E-3</v>
      </c>
      <c r="P47" s="71">
        <f t="shared" si="10"/>
        <v>0</v>
      </c>
    </row>
    <row r="48" spans="2:17">
      <c r="B48" s="431" t="s">
        <v>50</v>
      </c>
      <c r="C48" s="432"/>
      <c r="D48" s="52">
        <f>VLOOKUP($D$4,'Hypothetical Res Bill Impact'!$B$53:$H$63,D44,FALSE)</f>
        <v>99.3377555</v>
      </c>
      <c r="E48" s="52">
        <f>VLOOKUP($D$4,'Hypothetical Res Bill Impact'!$B$53:$H$63,E44,FALSE)</f>
        <v>98.979035429116678</v>
      </c>
      <c r="F48" s="52">
        <f>VLOOKUP($D$4,'Hypothetical Res Bill Impact'!$B$53:$H$63,F44,FALSE)</f>
        <v>98.979035429116678</v>
      </c>
      <c r="G48" s="53">
        <f t="shared" si="9"/>
        <v>-3.6111151201048131E-3</v>
      </c>
      <c r="H48" s="72">
        <f t="shared" si="9"/>
        <v>0</v>
      </c>
      <c r="J48" s="431" t="s">
        <v>50</v>
      </c>
      <c r="K48" s="432"/>
      <c r="L48" s="52">
        <f>VLOOKUP($D$4,'Hypothetical Res Bill Impact'!$J$53:$P$63,L44,FALSE)</f>
        <v>107.6648625</v>
      </c>
      <c r="M48" s="52">
        <f>VLOOKUP($D$4,'Hypothetical Res Bill Impact'!$J$53:$P$63,M44,FALSE)</f>
        <v>107.28555565456213</v>
      </c>
      <c r="N48" s="52">
        <f>VLOOKUP($D$4,'Hypothetical Res Bill Impact'!$J$53:$P$63,N44,FALSE)</f>
        <v>107.28555565456213</v>
      </c>
      <c r="O48" s="53">
        <f t="shared" si="10"/>
        <v>-3.523032831977746E-3</v>
      </c>
      <c r="P48" s="72">
        <f t="shared" si="10"/>
        <v>0</v>
      </c>
    </row>
    <row r="49" spans="2:16" ht="15" thickBot="1">
      <c r="B49" s="433" t="s">
        <v>136</v>
      </c>
      <c r="C49" s="434"/>
      <c r="D49" s="55">
        <f>D47*(1-'Hypothetical SAR and RAR'!$Y$16)+D48*'Hypothetical SAR and RAR'!$Y$16</f>
        <v>153.79074748032698</v>
      </c>
      <c r="E49" s="55">
        <f>E47*(1-'Hypothetical SAR and RAR'!$Y$16)+E48*'Hypothetical SAR and RAR'!$Y$16</f>
        <v>152.7960636879088</v>
      </c>
      <c r="F49" s="55">
        <f>F47*(1-'Hypothetical SAR and RAR'!$Y$16)+F48*'Hypothetical SAR and RAR'!$Y$16</f>
        <v>152.7960636879088</v>
      </c>
      <c r="G49" s="56">
        <f t="shared" si="9"/>
        <v>-6.4677739637453158E-3</v>
      </c>
      <c r="H49" s="73">
        <f t="shared" si="9"/>
        <v>0</v>
      </c>
      <c r="J49" s="433" t="s">
        <v>136</v>
      </c>
      <c r="K49" s="434"/>
      <c r="L49" s="55">
        <f>L47*(1-'Hypothetical SAR and RAR'!$Y$16)+L48*'Hypothetical SAR and RAR'!$Y$16</f>
        <v>167.10957027476763</v>
      </c>
      <c r="M49" s="55">
        <f>M47*(1-'Hypothetical SAR and RAR'!$Y$16)+M48*'Hypothetical SAR and RAR'!$Y$16</f>
        <v>166.01498387647499</v>
      </c>
      <c r="N49" s="55">
        <f>N47*(1-'Hypothetical SAR and RAR'!$Y$16)+N48*'Hypothetical SAR and RAR'!$Y$16</f>
        <v>166.01498387647499</v>
      </c>
      <c r="O49" s="56">
        <f t="shared" si="10"/>
        <v>-6.5501119803784702E-3</v>
      </c>
      <c r="P49" s="73">
        <f t="shared" si="10"/>
        <v>0</v>
      </c>
    </row>
    <row r="51" spans="2:16" ht="15" thickBot="1"/>
    <row r="52" spans="2:16">
      <c r="B52" s="428" t="s">
        <v>259</v>
      </c>
      <c r="C52" s="429"/>
      <c r="D52" s="429"/>
      <c r="E52" s="429"/>
      <c r="F52" s="429"/>
      <c r="G52" s="429"/>
      <c r="H52" s="430"/>
      <c r="J52" s="428" t="s">
        <v>268</v>
      </c>
      <c r="K52" s="429"/>
      <c r="L52" s="429"/>
      <c r="M52" s="429"/>
      <c r="N52" s="429"/>
      <c r="O52" s="429"/>
      <c r="P52" s="430"/>
    </row>
    <row r="53" spans="2:16" ht="29">
      <c r="B53" s="50"/>
      <c r="C53" s="51"/>
      <c r="D53" s="33">
        <f>$D$25</f>
        <v>45658</v>
      </c>
      <c r="E53" s="33">
        <f>$E$25</f>
        <v>45901</v>
      </c>
      <c r="F53" s="36" t="s">
        <v>21</v>
      </c>
      <c r="G53" s="36" t="str">
        <f>$G$25</f>
        <v>% Change over 01/1/2025</v>
      </c>
      <c r="H53" s="4" t="str">
        <f>$H$25</f>
        <v>% Change over 09/1/2025</v>
      </c>
      <c r="J53" s="50"/>
      <c r="K53" s="51"/>
      <c r="L53" s="33">
        <f>$D$25</f>
        <v>45658</v>
      </c>
      <c r="M53" s="33">
        <f>$E$25</f>
        <v>45901</v>
      </c>
      <c r="N53" s="36" t="s">
        <v>21</v>
      </c>
      <c r="O53" s="36" t="str">
        <f>$G$25</f>
        <v>% Change over 01/1/2025</v>
      </c>
      <c r="P53" s="4" t="str">
        <f>$H$25</f>
        <v>% Change over 09/1/2025</v>
      </c>
    </row>
    <row r="54" spans="2:16">
      <c r="B54" s="431" t="s">
        <v>225</v>
      </c>
      <c r="C54" s="432"/>
      <c r="D54" s="52">
        <f>((D61*4)+(D68*8)+($L$8*2))/12</f>
        <v>109.16033042336663</v>
      </c>
      <c r="E54" s="52">
        <f>((E61*4)+(E68*8)+($L$8*2))/12</f>
        <v>108.30805968688156</v>
      </c>
      <c r="F54" s="52">
        <f>((F61*4)+(F68*8)+($L$8*2))/12</f>
        <v>108.30805968688156</v>
      </c>
      <c r="G54" s="53">
        <f t="shared" ref="G54:H56" si="11">$F54/D54-1</f>
        <v>-7.8075133446338096E-3</v>
      </c>
      <c r="H54" s="71">
        <f t="shared" si="11"/>
        <v>0</v>
      </c>
      <c r="J54" s="431" t="s">
        <v>225</v>
      </c>
      <c r="K54" s="432"/>
      <c r="L54" s="52">
        <f>((L61*4)+(L68*8)+($L$8*2))/12</f>
        <v>143.76137604836663</v>
      </c>
      <c r="M54" s="52">
        <f>((M61*4)+(M68*8)+($L$8*2))/12</f>
        <v>142.6610128029732</v>
      </c>
      <c r="N54" s="52">
        <f>((N61*4)+(N68*8)+($L$8*2))/12</f>
        <v>142.6610128029732</v>
      </c>
      <c r="O54" s="53">
        <f t="shared" ref="O54:P56" si="12">$N54/L54-1</f>
        <v>-7.6540951098243992E-3</v>
      </c>
      <c r="P54" s="71">
        <f t="shared" si="12"/>
        <v>0</v>
      </c>
    </row>
    <row r="55" spans="2:16">
      <c r="B55" s="431" t="s">
        <v>226</v>
      </c>
      <c r="C55" s="432"/>
      <c r="D55" s="52">
        <f t="shared" ref="D55:F56" si="13">((D62*4)+(D69*8)+($L$8*2))/12</f>
        <v>62.994394340033288</v>
      </c>
      <c r="E55" s="52">
        <f t="shared" si="13"/>
        <v>62.738273966582916</v>
      </c>
      <c r="F55" s="52">
        <f t="shared" si="13"/>
        <v>62.738273966582916</v>
      </c>
      <c r="G55" s="53">
        <f t="shared" si="11"/>
        <v>-4.0657645197424985E-3</v>
      </c>
      <c r="H55" s="72">
        <f t="shared" si="11"/>
        <v>0</v>
      </c>
      <c r="J55" s="431" t="s">
        <v>226</v>
      </c>
      <c r="K55" s="432"/>
      <c r="L55" s="52">
        <f t="shared" ref="L55:N56" si="14">((L62*4)+(L69*8)+($L$8*2))/12</f>
        <v>84.156725694199949</v>
      </c>
      <c r="M55" s="52">
        <f t="shared" si="14"/>
        <v>83.826049732587663</v>
      </c>
      <c r="N55" s="52">
        <f t="shared" si="14"/>
        <v>83.826049732587663</v>
      </c>
      <c r="O55" s="53">
        <f t="shared" si="12"/>
        <v>-3.9292873966350061E-3</v>
      </c>
      <c r="P55" s="72">
        <f t="shared" si="12"/>
        <v>0</v>
      </c>
    </row>
    <row r="56" spans="2:16" ht="15" thickBot="1">
      <c r="B56" s="433" t="s">
        <v>136</v>
      </c>
      <c r="C56" s="434"/>
      <c r="D56" s="55">
        <f t="shared" si="13"/>
        <v>97.331213366713044</v>
      </c>
      <c r="E56" s="55">
        <f t="shared" si="13"/>
        <v>96.631694486379558</v>
      </c>
      <c r="F56" s="55">
        <f t="shared" si="13"/>
        <v>96.631694486379558</v>
      </c>
      <c r="G56" s="56">
        <f t="shared" si="11"/>
        <v>-7.1869943478246601E-3</v>
      </c>
      <c r="H56" s="73">
        <f t="shared" si="11"/>
        <v>0</v>
      </c>
      <c r="J56" s="433" t="s">
        <v>136</v>
      </c>
      <c r="K56" s="434"/>
      <c r="L56" s="55">
        <f t="shared" si="14"/>
        <v>128.48885162933104</v>
      </c>
      <c r="M56" s="55">
        <f t="shared" si="14"/>
        <v>127.58570567766758</v>
      </c>
      <c r="N56" s="55">
        <f t="shared" si="14"/>
        <v>127.58570567766758</v>
      </c>
      <c r="O56" s="56">
        <f t="shared" si="12"/>
        <v>-7.0289829834333517E-3</v>
      </c>
      <c r="P56" s="73">
        <f t="shared" si="12"/>
        <v>0</v>
      </c>
    </row>
    <row r="57" spans="2:16" ht="15" thickBot="1">
      <c r="B57" s="58"/>
      <c r="C57" s="58"/>
      <c r="D57" s="117"/>
      <c r="E57" s="117"/>
      <c r="F57" s="117"/>
      <c r="G57" s="118"/>
      <c r="H57" s="118"/>
      <c r="J57" s="58"/>
      <c r="K57" s="58"/>
      <c r="L57" s="117"/>
      <c r="M57" s="117"/>
      <c r="N57" s="117"/>
      <c r="O57" s="118"/>
      <c r="P57" s="118"/>
    </row>
    <row r="58" spans="2:16" ht="15" hidden="1" thickBot="1">
      <c r="D58" s="39">
        <v>2</v>
      </c>
      <c r="E58" s="39">
        <v>4</v>
      </c>
      <c r="F58" s="39">
        <v>6</v>
      </c>
      <c r="L58" s="39">
        <v>2</v>
      </c>
      <c r="M58" s="39">
        <v>4</v>
      </c>
      <c r="N58" s="39">
        <v>6</v>
      </c>
    </row>
    <row r="59" spans="2:16">
      <c r="B59" s="428" t="s">
        <v>260</v>
      </c>
      <c r="C59" s="429"/>
      <c r="D59" s="429"/>
      <c r="E59" s="429"/>
      <c r="F59" s="429"/>
      <c r="G59" s="429"/>
      <c r="H59" s="430"/>
      <c r="J59" s="428" t="s">
        <v>269</v>
      </c>
      <c r="K59" s="429"/>
      <c r="L59" s="429"/>
      <c r="M59" s="429"/>
      <c r="N59" s="429"/>
      <c r="O59" s="429"/>
      <c r="P59" s="430"/>
    </row>
    <row r="60" spans="2:16" ht="29">
      <c r="B60" s="50"/>
      <c r="C60" s="51"/>
      <c r="D60" s="33">
        <f>$D$25</f>
        <v>45658</v>
      </c>
      <c r="E60" s="33">
        <f>$E$25</f>
        <v>45901</v>
      </c>
      <c r="F60" s="36" t="s">
        <v>21</v>
      </c>
      <c r="G60" s="36" t="str">
        <f>$G$25</f>
        <v>% Change over 01/1/2025</v>
      </c>
      <c r="H60" s="4" t="str">
        <f>$H$25</f>
        <v>% Change over 09/1/2025</v>
      </c>
      <c r="J60" s="50"/>
      <c r="K60" s="51"/>
      <c r="L60" s="33">
        <f>$D$25</f>
        <v>45658</v>
      </c>
      <c r="M60" s="33">
        <f>$E$25</f>
        <v>45901</v>
      </c>
      <c r="N60" s="36" t="s">
        <v>21</v>
      </c>
      <c r="O60" s="36" t="str">
        <f>$G$25</f>
        <v>% Change over 01/1/2025</v>
      </c>
      <c r="P60" s="4" t="str">
        <f>$H$25</f>
        <v>% Change over 09/1/2025</v>
      </c>
    </row>
    <row r="61" spans="2:16">
      <c r="B61" s="431" t="s">
        <v>225</v>
      </c>
      <c r="C61" s="432"/>
      <c r="D61" s="52">
        <f>VLOOKUP($D$4,'Hypothetical Res Bill Impact'!$B$69:$H$79,D58,FALSE)</f>
        <v>119.67891075000001</v>
      </c>
      <c r="E61" s="52">
        <f>VLOOKUP($D$4,'Hypothetical Res Bill Impact'!$B$69:$H$79,E58,FALSE)</f>
        <v>118.8208025427171</v>
      </c>
      <c r="F61" s="52">
        <f>VLOOKUP($D$4,'Hypothetical Res Bill Impact'!$B$69:$H$79,F58,FALSE)</f>
        <v>118.8208025427171</v>
      </c>
      <c r="G61" s="53">
        <f t="shared" ref="G61:H63" si="15">$F61/D61-1</f>
        <v>-7.1700870429497465E-3</v>
      </c>
      <c r="H61" s="72">
        <f t="shared" si="15"/>
        <v>0</v>
      </c>
      <c r="J61" s="431" t="s">
        <v>225</v>
      </c>
      <c r="K61" s="432"/>
      <c r="L61" s="52">
        <f>VLOOKUP($D$4,'Hypothetical Res Bill Impact'!$J$69:$P$79,L58,FALSE)</f>
        <v>103.80313687500001</v>
      </c>
      <c r="M61" s="52">
        <f>VLOOKUP($D$4,'Hypothetical Res Bill Impact'!$J$69:$P$79,M58,FALSE)</f>
        <v>103.05885934827504</v>
      </c>
      <c r="N61" s="52">
        <f>VLOOKUP($D$4,'Hypothetical Res Bill Impact'!$J$69:$P$79,N58,FALSE)</f>
        <v>103.05885934827504</v>
      </c>
      <c r="O61" s="53">
        <f t="shared" ref="O61:P63" si="16">$N61/L61-1</f>
        <v>-7.1700870429497465E-3</v>
      </c>
      <c r="P61" s="71">
        <f t="shared" si="16"/>
        <v>0</v>
      </c>
    </row>
    <row r="62" spans="2:16">
      <c r="B62" s="431" t="s">
        <v>226</v>
      </c>
      <c r="C62" s="432"/>
      <c r="D62" s="52">
        <f>VLOOKUP($D$4,'Hypothetical Res Bill Impact'!$B$85:$H$95,D58,FALSE)</f>
        <v>73.196769625000002</v>
      </c>
      <c r="E62" s="52">
        <f>VLOOKUP($D$4,'Hypothetical Res Bill Impact'!$B$85:$H$95,E58,FALSE)</f>
        <v>72.938895002416416</v>
      </c>
      <c r="F62" s="52">
        <f>VLOOKUP($D$4,'Hypothetical Res Bill Impact'!$B$85:$H$95,F58,FALSE)</f>
        <v>72.938895002416416</v>
      </c>
      <c r="G62" s="53">
        <f t="shared" si="15"/>
        <v>-3.523032831977746E-3</v>
      </c>
      <c r="H62" s="72">
        <f t="shared" si="15"/>
        <v>0</v>
      </c>
      <c r="J62" s="431" t="s">
        <v>226</v>
      </c>
      <c r="K62" s="432"/>
      <c r="L62" s="52">
        <f>VLOOKUP($D$4,'Hypothetical Res Bill Impact'!$J$85:$P$95,L58,FALSE)</f>
        <v>63.486994062500003</v>
      </c>
      <c r="M62" s="52">
        <f>VLOOKUP($D$4,'Hypothetical Res Bill Impact'!$J$85:$P$95,M58,FALSE)</f>
        <v>63.263327298014239</v>
      </c>
      <c r="N62" s="52">
        <f>VLOOKUP($D$4,'Hypothetical Res Bill Impact'!$J$85:$P$95,N58,FALSE)</f>
        <v>63.263327298014239</v>
      </c>
      <c r="O62" s="53">
        <f t="shared" si="16"/>
        <v>-3.523032831977746E-3</v>
      </c>
      <c r="P62" s="72">
        <f t="shared" si="16"/>
        <v>0</v>
      </c>
    </row>
    <row r="63" spans="2:16" ht="15" thickBot="1">
      <c r="B63" s="433" t="s">
        <v>136</v>
      </c>
      <c r="C63" s="434"/>
      <c r="D63" s="55">
        <f>D61*(1-'Hypothetical SAR and RAR'!$Y$16)+D62*'Hypothetical SAR and RAR'!$Y$16</f>
        <v>107.76877234364333</v>
      </c>
      <c r="E63" s="55">
        <f>E61*(1-'Hypothetical SAR and RAR'!$Y$16)+E62*'Hypothetical SAR and RAR'!$Y$16</f>
        <v>107.06446223810207</v>
      </c>
      <c r="F63" s="55">
        <f>F61*(1-'Hypothetical SAR and RAR'!$Y$16)+F62*'Hypothetical SAR and RAR'!$Y$16</f>
        <v>107.06446223810207</v>
      </c>
      <c r="G63" s="56">
        <f t="shared" si="15"/>
        <v>-6.535382098400655E-3</v>
      </c>
      <c r="H63" s="73">
        <f t="shared" si="15"/>
        <v>0</v>
      </c>
      <c r="J63" s="433" t="s">
        <v>136</v>
      </c>
      <c r="K63" s="434"/>
      <c r="L63" s="55">
        <f>L61*(1-'Hypothetical SAR and RAR'!$Y$16)+L62*'Hypothetical SAR and RAR'!$Y$16</f>
        <v>93.47291478785391</v>
      </c>
      <c r="M63" s="55">
        <f>M61*(1-'Hypothetical SAR and RAR'!$Y$16)+M62*'Hypothetical SAR and RAR'!$Y$16</f>
        <v>92.862033573864039</v>
      </c>
      <c r="N63" s="55">
        <f>N61*(1-'Hypothetical SAR and RAR'!$Y$16)+N62*'Hypothetical SAR and RAR'!$Y$16</f>
        <v>92.862033573864039</v>
      </c>
      <c r="O63" s="56">
        <f t="shared" si="16"/>
        <v>-6.535382098400655E-3</v>
      </c>
      <c r="P63" s="73">
        <f t="shared" si="16"/>
        <v>0</v>
      </c>
    </row>
    <row r="64" spans="2:16" ht="15" thickBot="1">
      <c r="B64" s="58"/>
      <c r="C64" s="58"/>
      <c r="D64" s="117"/>
      <c r="E64" s="117"/>
      <c r="F64" s="117"/>
      <c r="G64" s="118"/>
      <c r="H64" s="118"/>
      <c r="J64" s="58"/>
      <c r="K64" s="58"/>
      <c r="L64" s="117"/>
      <c r="M64" s="117"/>
      <c r="N64" s="117"/>
      <c r="O64" s="118"/>
      <c r="P64" s="118"/>
    </row>
    <row r="65" spans="2:16" ht="15" hidden="1" thickBot="1">
      <c r="D65" s="39">
        <v>3</v>
      </c>
      <c r="E65" s="39">
        <v>5</v>
      </c>
      <c r="F65" s="39">
        <v>7</v>
      </c>
      <c r="L65" s="39">
        <v>3</v>
      </c>
      <c r="M65" s="39">
        <v>5</v>
      </c>
      <c r="N65" s="39">
        <v>7</v>
      </c>
    </row>
    <row r="66" spans="2:16">
      <c r="B66" s="428" t="s">
        <v>261</v>
      </c>
      <c r="C66" s="429"/>
      <c r="D66" s="429"/>
      <c r="E66" s="429"/>
      <c r="F66" s="429"/>
      <c r="G66" s="429"/>
      <c r="H66" s="430"/>
      <c r="J66" s="428" t="s">
        <v>270</v>
      </c>
      <c r="K66" s="429"/>
      <c r="L66" s="429"/>
      <c r="M66" s="429"/>
      <c r="N66" s="429"/>
      <c r="O66" s="429"/>
      <c r="P66" s="430"/>
    </row>
    <row r="67" spans="2:16" ht="29">
      <c r="B67" s="50"/>
      <c r="C67" s="51"/>
      <c r="D67" s="33">
        <f>$D$25</f>
        <v>45658</v>
      </c>
      <c r="E67" s="33">
        <f>$E$25</f>
        <v>45901</v>
      </c>
      <c r="F67" s="36" t="s">
        <v>21</v>
      </c>
      <c r="G67" s="36" t="str">
        <f>$G$25</f>
        <v>% Change over 01/1/2025</v>
      </c>
      <c r="H67" s="4" t="str">
        <f>$H$25</f>
        <v>% Change over 09/1/2025</v>
      </c>
      <c r="J67" s="50"/>
      <c r="K67" s="51"/>
      <c r="L67" s="33">
        <f>$D$25</f>
        <v>45658</v>
      </c>
      <c r="M67" s="33">
        <f>$E$25</f>
        <v>45901</v>
      </c>
      <c r="N67" s="36" t="s">
        <v>21</v>
      </c>
      <c r="O67" s="36" t="str">
        <f>$G$25</f>
        <v>% Change over 01/1/2025</v>
      </c>
      <c r="P67" s="4" t="str">
        <f>$H$25</f>
        <v>% Change over 09/1/2025</v>
      </c>
    </row>
    <row r="68" spans="2:16">
      <c r="B68" s="431" t="s">
        <v>225</v>
      </c>
      <c r="C68" s="432"/>
      <c r="D68" s="52">
        <f>VLOOKUP($D$4,'Hypothetical Res Bill Impact'!$B$69:$H$79,D65,FALSE)</f>
        <v>118.457697375</v>
      </c>
      <c r="E68" s="52">
        <f>VLOOKUP($D$4,'Hypothetical Res Bill Impact'!$B$69:$H$79,E65,FALSE)</f>
        <v>117.60834537391385</v>
      </c>
      <c r="F68" s="52">
        <f>VLOOKUP($D$4,'Hypothetical Res Bill Impact'!$B$69:$H$79,F65,FALSE)</f>
        <v>117.60834537391385</v>
      </c>
      <c r="G68" s="53">
        <f t="shared" ref="G68:H70" si="17">$F68/D68-1</f>
        <v>-7.1700870429497465E-3</v>
      </c>
      <c r="H68" s="72">
        <f t="shared" si="17"/>
        <v>0</v>
      </c>
      <c r="J68" s="431" t="s">
        <v>225</v>
      </c>
      <c r="K68" s="432"/>
      <c r="L68" s="52">
        <f>VLOOKUP($D$4,'Hypothetical Res Bill Impact'!$J$69:$P$79,L65,FALSE)</f>
        <v>178.29715275000001</v>
      </c>
      <c r="M68" s="52">
        <f>VLOOKUP($D$4,'Hypothetical Res Bill Impact'!$J$69:$P$79,M65,FALSE)</f>
        <v>177.01874664527239</v>
      </c>
      <c r="N68" s="52">
        <f>VLOOKUP($D$4,'Hypothetical Res Bill Impact'!$J$69:$P$79,N65,FALSE)</f>
        <v>177.01874664527239</v>
      </c>
      <c r="O68" s="53">
        <f t="shared" ref="O68:P70" si="18">$N68/L68-1</f>
        <v>-7.1700870429498575E-3</v>
      </c>
      <c r="P68" s="71">
        <f t="shared" si="18"/>
        <v>0</v>
      </c>
    </row>
    <row r="69" spans="2:16">
      <c r="B69" s="431" t="s">
        <v>226</v>
      </c>
      <c r="C69" s="432"/>
      <c r="D69" s="52">
        <f>VLOOKUP($D$4,'Hypothetical Res Bill Impact'!$B$85:$H$95,D65,FALSE)</f>
        <v>72.449863812499999</v>
      </c>
      <c r="E69" s="52">
        <f>VLOOKUP($D$4,'Hypothetical Res Bill Impact'!$B$85:$H$95,E65,FALSE)</f>
        <v>72.19462056361624</v>
      </c>
      <c r="F69" s="52">
        <f>VLOOKUP($D$4,'Hypothetical Res Bill Impact'!$B$85:$H$95,F65,FALSE)</f>
        <v>72.19462056361624</v>
      </c>
      <c r="G69" s="53">
        <f t="shared" si="17"/>
        <v>-3.523032831977857E-3</v>
      </c>
      <c r="H69" s="72">
        <f t="shared" si="17"/>
        <v>0</v>
      </c>
      <c r="J69" s="431" t="s">
        <v>226</v>
      </c>
      <c r="K69" s="432"/>
      <c r="L69" s="52">
        <f>VLOOKUP($D$4,'Hypothetical Res Bill Impact'!$J$85:$P$95,L65,FALSE)</f>
        <v>109.048248625</v>
      </c>
      <c r="M69" s="52">
        <f>VLOOKUP($D$4,'Hypothetical Res Bill Impact'!$J$85:$P$95,M65,FALSE)</f>
        <v>108.66406806482445</v>
      </c>
      <c r="N69" s="52">
        <f>VLOOKUP($D$4,'Hypothetical Res Bill Impact'!$J$85:$P$95,N65,FALSE)</f>
        <v>108.66406806482445</v>
      </c>
      <c r="O69" s="53">
        <f t="shared" si="18"/>
        <v>-3.523032831977746E-3</v>
      </c>
      <c r="P69" s="72">
        <f t="shared" si="18"/>
        <v>0</v>
      </c>
    </row>
    <row r="70" spans="2:16" ht="15" thickBot="1">
      <c r="B70" s="433" t="s">
        <v>136</v>
      </c>
      <c r="C70" s="434"/>
      <c r="D70" s="55">
        <f>D68*(1-'Hypothetical SAR and RAR'!$Y$16)+D69*'Hypothetical SAR and RAR'!$Y$16</f>
        <v>106.66909099319798</v>
      </c>
      <c r="E70" s="55">
        <f>E68*(1-'Hypothetical SAR and RAR'!$Y$16)+E69*'Hypothetical SAR and RAR'!$Y$16</f>
        <v>105.97196772546836</v>
      </c>
      <c r="F70" s="55">
        <f>F68*(1-'Hypothetical SAR and RAR'!$Y$16)+F69*'Hypothetical SAR and RAR'!$Y$16</f>
        <v>105.97196772546836</v>
      </c>
      <c r="G70" s="56">
        <f t="shared" si="17"/>
        <v>-6.535382098400766E-3</v>
      </c>
      <c r="H70" s="73">
        <f t="shared" si="17"/>
        <v>0</v>
      </c>
      <c r="J70" s="433" t="s">
        <v>136</v>
      </c>
      <c r="K70" s="434"/>
      <c r="L70" s="55">
        <f>L68*(1-'Hypothetical SAR and RAR'!$Y$16)+L69*'Hypothetical SAR and RAR'!$Y$16</f>
        <v>160.55347716501967</v>
      </c>
      <c r="M70" s="55">
        <f>M68*(1-'Hypothetical SAR and RAR'!$Y$16)+M69*'Hypothetical SAR and RAR'!$Y$16</f>
        <v>159.50419884451941</v>
      </c>
      <c r="N70" s="55">
        <f>N68*(1-'Hypothetical SAR and RAR'!$Y$16)+N69*'Hypothetical SAR and RAR'!$Y$16</f>
        <v>159.50419884451941</v>
      </c>
      <c r="O70" s="56">
        <f t="shared" si="18"/>
        <v>-6.535382098400766E-3</v>
      </c>
      <c r="P70" s="73">
        <f t="shared" si="18"/>
        <v>0</v>
      </c>
    </row>
    <row r="72" spans="2:16" ht="15" thickBot="1"/>
    <row r="73" spans="2:16">
      <c r="B73" s="428" t="s">
        <v>262</v>
      </c>
      <c r="C73" s="429"/>
      <c r="D73" s="429"/>
      <c r="E73" s="429"/>
      <c r="F73" s="429"/>
      <c r="G73" s="429"/>
      <c r="H73" s="430"/>
      <c r="J73" s="428" t="s">
        <v>271</v>
      </c>
      <c r="K73" s="429"/>
      <c r="L73" s="429"/>
      <c r="M73" s="429"/>
      <c r="N73" s="429"/>
      <c r="O73" s="429"/>
      <c r="P73" s="430"/>
    </row>
    <row r="74" spans="2:16" ht="29">
      <c r="B74" s="50"/>
      <c r="C74" s="51"/>
      <c r="D74" s="33">
        <f>$D$25</f>
        <v>45658</v>
      </c>
      <c r="E74" s="33">
        <f>$E$25</f>
        <v>45901</v>
      </c>
      <c r="F74" s="36" t="s">
        <v>21</v>
      </c>
      <c r="G74" s="36" t="str">
        <f>$G$25</f>
        <v>% Change over 01/1/2025</v>
      </c>
      <c r="H74" s="4" t="str">
        <f>$H$25</f>
        <v>% Change over 09/1/2025</v>
      </c>
      <c r="J74" s="50"/>
      <c r="K74" s="51"/>
      <c r="L74" s="33">
        <f>$D$25</f>
        <v>45658</v>
      </c>
      <c r="M74" s="33">
        <f>$E$25</f>
        <v>45901</v>
      </c>
      <c r="N74" s="36" t="s">
        <v>21</v>
      </c>
      <c r="O74" s="36" t="str">
        <f>$G$25</f>
        <v>% Change over 01/1/2025</v>
      </c>
      <c r="P74" s="4" t="str">
        <f>$H$25</f>
        <v>% Change over 09/1/2025</v>
      </c>
    </row>
    <row r="75" spans="2:16">
      <c r="B75" s="431" t="str">
        <f>$D$3&amp;"kWh Monthly Usage - Non-CARE"</f>
        <v>500kWh Monthly Usage - Non-CARE</v>
      </c>
      <c r="C75" s="432"/>
      <c r="D75" s="52">
        <f>((D82*4)+(D89*8)+($L$8*2))/12</f>
        <v>211.55477984003332</v>
      </c>
      <c r="E75" s="52">
        <f>((E82*4)+(E89*8)+($L$8*2))/12</f>
        <v>210.01267121239243</v>
      </c>
      <c r="F75" s="52">
        <f>((F82*4)+(F89*8)+($L$8*2))/12</f>
        <v>210.01267121239243</v>
      </c>
      <c r="G75" s="53">
        <f t="shared" ref="G75:H77" si="19">$F75/D75-1</f>
        <v>-7.2894057454383487E-3</v>
      </c>
      <c r="H75" s="71">
        <f t="shared" si="19"/>
        <v>0</v>
      </c>
      <c r="I75" s="127"/>
      <c r="J75" s="431" t="str">
        <f>$D$3&amp;"kWh Monthly Usage - Non-CARE"</f>
        <v>500kWh Monthly Usage - Non-CARE</v>
      </c>
      <c r="K75" s="432"/>
      <c r="L75" s="52">
        <f>((L82*4)+(L89*8)+($L$8*2))/12</f>
        <v>202.8143980692</v>
      </c>
      <c r="M75" s="52">
        <f>((M82*4)+(M89*8)+($L$8*2))/12</f>
        <v>201.3161908741657</v>
      </c>
      <c r="N75" s="52">
        <f>((N82*4)+(N89*8)+($L$8*2))/12</f>
        <v>201.3161908741657</v>
      </c>
      <c r="O75" s="53">
        <f t="shared" ref="O75:P77" si="20">$N75/L75-1</f>
        <v>-7.3870849865556032E-3</v>
      </c>
      <c r="P75" s="71">
        <f t="shared" si="20"/>
        <v>0</v>
      </c>
    </row>
    <row r="76" spans="2:16">
      <c r="B76" s="431" t="str">
        <f>$D$3&amp;"kWh Monthly Usage - CARE"</f>
        <v>500kWh Monthly Usage - CARE</v>
      </c>
      <c r="C76" s="432"/>
      <c r="D76" s="52">
        <f t="shared" ref="D76:F77" si="21">((D83*4)+(D90*8)+($L$8*2))/12</f>
        <v>126.41306292336661</v>
      </c>
      <c r="E76" s="52">
        <f t="shared" si="21"/>
        <v>125.91287870301009</v>
      </c>
      <c r="F76" s="52">
        <f t="shared" si="21"/>
        <v>125.91287870301009</v>
      </c>
      <c r="G76" s="53">
        <f t="shared" si="19"/>
        <v>-3.9567447286656954E-3</v>
      </c>
      <c r="H76" s="72">
        <f t="shared" si="19"/>
        <v>0</v>
      </c>
      <c r="J76" s="431" t="str">
        <f>$D$3&amp;"kWh Monthly Usage - CARE"</f>
        <v>500kWh Monthly Usage - CARE</v>
      </c>
      <c r="K76" s="432"/>
      <c r="L76" s="52">
        <f t="shared" ref="L76:N77" si="22">((L83*4)+(L90*8)+($L$8*2))/12</f>
        <v>120.73159917336663</v>
      </c>
      <c r="M76" s="52">
        <f t="shared" si="22"/>
        <v>120.26016648316262</v>
      </c>
      <c r="N76" s="52">
        <f t="shared" si="22"/>
        <v>120.26016648316262</v>
      </c>
      <c r="O76" s="53">
        <f t="shared" si="20"/>
        <v>-3.9047995175401917E-3</v>
      </c>
      <c r="P76" s="72">
        <f t="shared" si="20"/>
        <v>0</v>
      </c>
    </row>
    <row r="77" spans="2:16" ht="15" thickBot="1">
      <c r="B77" s="433" t="s">
        <v>136</v>
      </c>
      <c r="C77" s="434"/>
      <c r="D77" s="55">
        <f t="shared" si="21"/>
        <v>189.73888220516849</v>
      </c>
      <c r="E77" s="55">
        <f t="shared" si="21"/>
        <v>188.46374630295233</v>
      </c>
      <c r="F77" s="55">
        <f t="shared" si="21"/>
        <v>188.46374630295233</v>
      </c>
      <c r="G77" s="56">
        <f t="shared" si="19"/>
        <v>-6.7204775710512088E-3</v>
      </c>
      <c r="H77" s="73">
        <f t="shared" si="19"/>
        <v>0</v>
      </c>
      <c r="J77" s="433" t="s">
        <v>136</v>
      </c>
      <c r="K77" s="434"/>
      <c r="L77" s="55">
        <f t="shared" si="22"/>
        <v>181.78228827456931</v>
      </c>
      <c r="M77" s="55">
        <f t="shared" si="22"/>
        <v>180.54717193913555</v>
      </c>
      <c r="N77" s="55">
        <f t="shared" si="22"/>
        <v>180.54717193913555</v>
      </c>
      <c r="O77" s="56">
        <f t="shared" si="20"/>
        <v>-6.7944811739205635E-3</v>
      </c>
      <c r="P77" s="73">
        <f t="shared" si="20"/>
        <v>0</v>
      </c>
    </row>
    <row r="78" spans="2:16" ht="15" thickBot="1">
      <c r="B78" s="58"/>
      <c r="C78" s="58"/>
      <c r="D78" s="117"/>
      <c r="E78" s="117"/>
      <c r="F78" s="117"/>
      <c r="G78" s="118"/>
      <c r="H78" s="118"/>
      <c r="J78" s="58"/>
      <c r="K78" s="58"/>
      <c r="L78" s="117"/>
      <c r="M78" s="117"/>
      <c r="N78" s="117"/>
      <c r="O78" s="118"/>
      <c r="P78" s="118"/>
    </row>
    <row r="79" spans="2:16" ht="15" hidden="1" thickBot="1">
      <c r="D79" s="39">
        <v>2</v>
      </c>
      <c r="E79" s="39">
        <v>4</v>
      </c>
      <c r="F79" s="39">
        <v>6</v>
      </c>
      <c r="L79" s="39">
        <v>2</v>
      </c>
      <c r="M79" s="39">
        <v>4</v>
      </c>
      <c r="N79" s="39">
        <v>6</v>
      </c>
    </row>
    <row r="80" spans="2:16">
      <c r="B80" s="428" t="s">
        <v>263</v>
      </c>
      <c r="C80" s="429"/>
      <c r="D80" s="429"/>
      <c r="E80" s="429"/>
      <c r="F80" s="429"/>
      <c r="G80" s="429"/>
      <c r="H80" s="430"/>
      <c r="J80" s="428" t="s">
        <v>272</v>
      </c>
      <c r="K80" s="429"/>
      <c r="L80" s="429"/>
      <c r="M80" s="429"/>
      <c r="N80" s="429"/>
      <c r="O80" s="429"/>
      <c r="P80" s="430"/>
    </row>
    <row r="81" spans="1:16" ht="29">
      <c r="B81" s="50"/>
      <c r="C81" s="51"/>
      <c r="D81" s="33">
        <f>$D$25</f>
        <v>45658</v>
      </c>
      <c r="E81" s="33">
        <f>$E$25</f>
        <v>45901</v>
      </c>
      <c r="F81" s="36" t="s">
        <v>21</v>
      </c>
      <c r="G81" s="36" t="str">
        <f>$G$25</f>
        <v>% Change over 01/1/2025</v>
      </c>
      <c r="H81" s="4" t="str">
        <f>$H$25</f>
        <v>% Change over 09/1/2025</v>
      </c>
      <c r="J81" s="50"/>
      <c r="K81" s="51"/>
      <c r="L81" s="33">
        <f>$D$25</f>
        <v>45658</v>
      </c>
      <c r="M81" s="33">
        <f>$E$25</f>
        <v>45901</v>
      </c>
      <c r="N81" s="36" t="s">
        <v>21</v>
      </c>
      <c r="O81" s="36" t="str">
        <f>$G$25</f>
        <v>% Change over 01/1/2025</v>
      </c>
      <c r="P81" s="4" t="str">
        <f>$H$25</f>
        <v>% Change over 09/1/2025</v>
      </c>
    </row>
    <row r="82" spans="1:16">
      <c r="B82" s="431" t="str">
        <f>$D$3&amp;"kWh Monthly Usage - Non-CARE"</f>
        <v>500kWh Monthly Usage - Non-CARE</v>
      </c>
      <c r="C82" s="432"/>
      <c r="D82" s="52">
        <f>VLOOKUP($D$4,'Hypothetical Res Bill Impact'!$B$101:$H$111,D79,FALSE)</f>
        <v>221.05356187500001</v>
      </c>
      <c r="E82" s="52">
        <f>VLOOKUP($D$4,'Hypothetical Res Bill Impact'!$B$101:$H$111,E79,FALSE)</f>
        <v>219.51248622224398</v>
      </c>
      <c r="F82" s="52">
        <f>VLOOKUP($D$4,'Hypothetical Res Bill Impact'!$B$101:$H$111,F79,FALSE)</f>
        <v>219.51248622224398</v>
      </c>
      <c r="G82" s="53">
        <f t="shared" ref="G82:H84" si="23">$F82/D82-1</f>
        <v>-6.9715033754013112E-3</v>
      </c>
      <c r="H82" s="72">
        <f t="shared" si="23"/>
        <v>0</v>
      </c>
      <c r="J82" s="431" t="str">
        <f>$D$3&amp;"kWh Monthly Usage - Non-CARE"</f>
        <v>500kWh Monthly Usage - Non-CARE</v>
      </c>
      <c r="K82" s="432"/>
      <c r="L82" s="52">
        <f>VLOOKUP($D$4,'Hypothetical Res Bill Impact'!$J$101:$P$111,L79,FALSE)</f>
        <v>225.0638546875</v>
      </c>
      <c r="M82" s="52">
        <f>VLOOKUP($D$4,'Hypothetical Res Bill Impact'!$J$101:$P$111,M79,FALSE)</f>
        <v>223.50263602448919</v>
      </c>
      <c r="N82" s="52">
        <f>VLOOKUP($D$4,'Hypothetical Res Bill Impact'!$J$101:$P$111,N79,FALSE)</f>
        <v>223.50263602448919</v>
      </c>
      <c r="O82" s="53">
        <f t="shared" ref="O82:P84" si="24">$N82/L82-1</f>
        <v>-6.9367809645780598E-3</v>
      </c>
      <c r="P82" s="71">
        <f t="shared" si="24"/>
        <v>0</v>
      </c>
    </row>
    <row r="83" spans="1:16">
      <c r="B83" s="431" t="str">
        <f>$D$3&amp;"kWh Monthly Usage - CARE"</f>
        <v>500kWh Monthly Usage - CARE</v>
      </c>
      <c r="C83" s="432"/>
      <c r="D83" s="52">
        <f>VLOOKUP($D$4,'Hypothetical Res Bill Impact'!$B$116:$H$126,D79,FALSE)</f>
        <v>135.98381949999998</v>
      </c>
      <c r="E83" s="52">
        <f>VLOOKUP($D$4,'Hypothetical Res Bill Impact'!$B$116:$H$126,E79,FALSE)</f>
        <v>135.48431178623531</v>
      </c>
      <c r="F83" s="52">
        <f>VLOOKUP($D$4,'Hypothetical Res Bill Impact'!$B$116:$H$126,F79,FALSE)</f>
        <v>135.48431178623531</v>
      </c>
      <c r="G83" s="53">
        <f t="shared" si="23"/>
        <v>-3.6732878632275145E-3</v>
      </c>
      <c r="H83" s="72">
        <f t="shared" si="23"/>
        <v>0</v>
      </c>
      <c r="J83" s="431" t="str">
        <f>$D$3&amp;"kWh Monthly Usage - CARE"</f>
        <v>500kWh Monthly Usage - CARE</v>
      </c>
      <c r="K83" s="432"/>
      <c r="L83" s="52">
        <f>VLOOKUP($D$4,'Hypothetical Res Bill Impact'!$J$116:$P$126,L79,FALSE)</f>
        <v>138.59060875</v>
      </c>
      <c r="M83" s="52">
        <f>VLOOKUP($D$4,'Hypothetical Res Bill Impact'!$J$116:$P$126,M79,FALSE)</f>
        <v>138.07790915769473</v>
      </c>
      <c r="N83" s="52">
        <f>VLOOKUP($D$4,'Hypothetical Res Bill Impact'!$J$116:$P$126,N79,FALSE)</f>
        <v>138.07790915769473</v>
      </c>
      <c r="O83" s="53">
        <f t="shared" si="24"/>
        <v>-3.6993819200989986E-3</v>
      </c>
      <c r="P83" s="72">
        <f t="shared" si="24"/>
        <v>0</v>
      </c>
    </row>
    <row r="84" spans="1:16" ht="15" thickBot="1">
      <c r="B84" s="433" t="s">
        <v>136</v>
      </c>
      <c r="C84" s="434"/>
      <c r="D84" s="55">
        <f>D82*(1-'Hypothetical SAR and RAR'!$Y$16)+D83*'Hypothetical SAR and RAR'!$Y$16</f>
        <v>199.25610630696423</v>
      </c>
      <c r="E84" s="55">
        <f>E82*(1-'Hypothetical SAR and RAR'!$Y$16)+E83*'Hypothetical SAR and RAR'!$Y$16</f>
        <v>197.98191204161355</v>
      </c>
      <c r="F84" s="55">
        <f>F82*(1-'Hypothetical SAR and RAR'!$Y$16)+F83*'Hypothetical SAR and RAR'!$Y$16</f>
        <v>197.98191204161355</v>
      </c>
      <c r="G84" s="56">
        <f t="shared" si="23"/>
        <v>-6.3947564216060293E-3</v>
      </c>
      <c r="H84" s="73">
        <f t="shared" si="23"/>
        <v>0</v>
      </c>
      <c r="J84" s="433" t="s">
        <v>136</v>
      </c>
      <c r="K84" s="434"/>
      <c r="L84" s="55">
        <f>L82*(1-'Hypothetical SAR and RAR'!$Y$16)+L83*'Hypothetical SAR and RAR'!$Y$16</f>
        <v>202.90677881629796</v>
      </c>
      <c r="M84" s="55">
        <f>M82*(1-'Hypothetical SAR and RAR'!$Y$16)+M83*'Hypothetical SAR and RAR'!$Y$16</f>
        <v>201.61422263207066</v>
      </c>
      <c r="N84" s="55">
        <f>N82*(1-'Hypothetical SAR and RAR'!$Y$16)+N83*'Hypothetical SAR and RAR'!$Y$16</f>
        <v>201.61422263207066</v>
      </c>
      <c r="O84" s="56">
        <f t="shared" si="24"/>
        <v>-6.3701971504732668E-3</v>
      </c>
      <c r="P84" s="73">
        <f t="shared" si="24"/>
        <v>0</v>
      </c>
    </row>
    <row r="85" spans="1:16" ht="15" thickBot="1">
      <c r="B85" s="58"/>
      <c r="C85" s="58"/>
      <c r="D85" s="117"/>
      <c r="E85" s="117"/>
      <c r="F85" s="117"/>
      <c r="G85" s="118"/>
      <c r="H85" s="118"/>
      <c r="J85" s="58"/>
      <c r="K85" s="58"/>
      <c r="L85" s="117"/>
      <c r="M85" s="117"/>
      <c r="N85" s="117"/>
      <c r="O85" s="118"/>
      <c r="P85" s="118"/>
    </row>
    <row r="86" spans="1:16" ht="15" hidden="1" thickBot="1">
      <c r="D86" s="39">
        <v>3</v>
      </c>
      <c r="E86" s="39">
        <v>5</v>
      </c>
      <c r="F86" s="39">
        <v>7</v>
      </c>
      <c r="L86" s="39">
        <v>3</v>
      </c>
      <c r="M86" s="39">
        <v>5</v>
      </c>
      <c r="N86" s="39">
        <v>7</v>
      </c>
    </row>
    <row r="87" spans="1:16">
      <c r="B87" s="428" t="s">
        <v>264</v>
      </c>
      <c r="C87" s="429"/>
      <c r="D87" s="429"/>
      <c r="E87" s="429"/>
      <c r="F87" s="429"/>
      <c r="G87" s="429"/>
      <c r="H87" s="430"/>
      <c r="J87" s="428" t="s">
        <v>273</v>
      </c>
      <c r="K87" s="429"/>
      <c r="L87" s="429"/>
      <c r="M87" s="429"/>
      <c r="N87" s="429"/>
      <c r="O87" s="429"/>
      <c r="P87" s="430"/>
    </row>
    <row r="88" spans="1:16" ht="29">
      <c r="B88" s="50"/>
      <c r="C88" s="51"/>
      <c r="D88" s="33">
        <f>$D$25</f>
        <v>45658</v>
      </c>
      <c r="E88" s="33">
        <f>$E$25</f>
        <v>45901</v>
      </c>
      <c r="F88" s="36" t="s">
        <v>21</v>
      </c>
      <c r="G88" s="36" t="str">
        <f>$G$25</f>
        <v>% Change over 01/1/2025</v>
      </c>
      <c r="H88" s="4" t="str">
        <f>$H$25</f>
        <v>% Change over 09/1/2025</v>
      </c>
      <c r="J88" s="50"/>
      <c r="K88" s="51"/>
      <c r="L88" s="33">
        <f>$D$25</f>
        <v>45658</v>
      </c>
      <c r="M88" s="33">
        <f>$E$25</f>
        <v>45901</v>
      </c>
      <c r="N88" s="36" t="s">
        <v>21</v>
      </c>
      <c r="O88" s="36" t="str">
        <f>$G$25</f>
        <v>% Change over 01/1/2025</v>
      </c>
      <c r="P88" s="4" t="str">
        <f>$H$25</f>
        <v>% Change over 09/1/2025</v>
      </c>
    </row>
    <row r="89" spans="1:16">
      <c r="B89" s="431" t="str">
        <f>$D$3&amp;"kWh Monthly Usage - Non-CARE"</f>
        <v>500kWh Monthly Usage - Non-CARE</v>
      </c>
      <c r="C89" s="432"/>
      <c r="D89" s="52">
        <f>VLOOKUP($D$4,'Hypothetical Res Bill Impact'!$B$101:$H$111,D86,FALSE)</f>
        <v>221.3620459375</v>
      </c>
      <c r="E89" s="52">
        <f>VLOOKUP($D$4,'Hypothetical Res Bill Impact'!$B$101:$H$111,E86,FALSE)</f>
        <v>219.8194208224167</v>
      </c>
      <c r="F89" s="52">
        <f>VLOOKUP($D$4,'Hypothetical Res Bill Impact'!$B$101:$H$111,F86,FALSE)</f>
        <v>219.8194208224167</v>
      </c>
      <c r="G89" s="53">
        <f t="shared" ref="G89:H91" si="25">$F89/D89-1</f>
        <v>-6.9687877546941168E-3</v>
      </c>
      <c r="H89" s="72">
        <f t="shared" si="25"/>
        <v>0</v>
      </c>
      <c r="J89" s="431" t="str">
        <f>$D$3&amp;"kWh Monthly Usage - Non-CARE"</f>
        <v>500kWh Monthly Usage - Non-CARE</v>
      </c>
      <c r="K89" s="432"/>
      <c r="L89" s="52">
        <f>VLOOKUP($D$4,'Hypothetical Res Bill Impact'!$J$101:$P$111,L86,FALSE)</f>
        <v>206.24632687500002</v>
      </c>
      <c r="M89" s="52">
        <f>VLOOKUP($D$4,'Hypothetical Res Bill Impact'!$J$101:$P$111,M86,FALSE)</f>
        <v>204.77962541395399</v>
      </c>
      <c r="N89" s="52">
        <f>VLOOKUP($D$4,'Hypothetical Res Bill Impact'!$J$101:$P$111,N86,FALSE)</f>
        <v>204.77962541395399</v>
      </c>
      <c r="O89" s="53">
        <f t="shared" ref="O89:P91" si="26">$N89/L89-1</f>
        <v>-7.1114064588163606E-3</v>
      </c>
      <c r="P89" s="71">
        <f t="shared" si="26"/>
        <v>0</v>
      </c>
    </row>
    <row r="90" spans="1:16">
      <c r="B90" s="431" t="str">
        <f>$D$3&amp;"kWh Monthly Usage - CARE"</f>
        <v>500kWh Monthly Usage - CARE</v>
      </c>
      <c r="C90" s="432"/>
      <c r="D90" s="52">
        <f>VLOOKUP($D$4,'Hypothetical Res Bill Impact'!$B$116:$H$126,D86,FALSE)</f>
        <v>136.18434174999999</v>
      </c>
      <c r="E90" s="52">
        <f>VLOOKUP($D$4,'Hypothetical Res Bill Impact'!$B$116:$H$126,E86,FALSE)</f>
        <v>135.68381927634755</v>
      </c>
      <c r="F90" s="52">
        <f>VLOOKUP($D$4,'Hypothetical Res Bill Impact'!$B$116:$H$126,F86,FALSE)</f>
        <v>135.68381927634755</v>
      </c>
      <c r="G90" s="53">
        <f t="shared" si="25"/>
        <v>-3.6753305645906842E-3</v>
      </c>
      <c r="H90" s="72">
        <f t="shared" si="25"/>
        <v>0</v>
      </c>
      <c r="J90" s="431" t="str">
        <f>$D$3&amp;"kWh Monthly Usage - CARE"</f>
        <v>500kWh Monthly Usage - CARE</v>
      </c>
      <c r="K90" s="432"/>
      <c r="L90" s="52">
        <f>VLOOKUP($D$4,'Hypothetical Res Bill Impact'!$J$116:$P$126,L86,FALSE)</f>
        <v>126.35875150000001</v>
      </c>
      <c r="M90" s="52">
        <f>VLOOKUP($D$4,'Hypothetical Res Bill Impact'!$J$116:$P$126,M86,FALSE)</f>
        <v>125.90795226084666</v>
      </c>
      <c r="N90" s="52">
        <f>VLOOKUP($D$4,'Hypothetical Res Bill Impact'!$J$116:$P$126,N86,FALSE)</f>
        <v>125.90795226084666</v>
      </c>
      <c r="O90" s="53">
        <f t="shared" si="26"/>
        <v>-3.5676139072436941E-3</v>
      </c>
      <c r="P90" s="72">
        <f t="shared" si="26"/>
        <v>0</v>
      </c>
    </row>
    <row r="91" spans="1:16" ht="15" thickBot="1">
      <c r="B91" s="433" t="s">
        <v>136</v>
      </c>
      <c r="C91" s="434"/>
      <c r="D91" s="55">
        <f>D89*(1-'Hypothetical SAR and RAR'!$Y$16)+D90*'Hypothetical SAR and RAR'!$Y$16</f>
        <v>199.53692726922068</v>
      </c>
      <c r="E91" s="55">
        <f>E89*(1-'Hypothetical SAR and RAR'!$Y$16)+E90*'Hypothetical SAR and RAR'!$Y$16</f>
        <v>198.26132054857177</v>
      </c>
      <c r="F91" s="55">
        <f>F89*(1-'Hypothetical SAR and RAR'!$Y$16)+F90*'Hypothetical SAR and RAR'!$Y$16</f>
        <v>198.26132054857177</v>
      </c>
      <c r="G91" s="56">
        <f t="shared" si="25"/>
        <v>-6.3928353418404305E-3</v>
      </c>
      <c r="H91" s="73">
        <f t="shared" si="25"/>
        <v>0</v>
      </c>
      <c r="J91" s="433" t="s">
        <v>136</v>
      </c>
      <c r="K91" s="434"/>
      <c r="L91" s="55">
        <f>L89*(1-'Hypothetical SAR and RAR'!$Y$16)+L90*'Hypothetical SAR and RAR'!$Y$16</f>
        <v>185.77670011865507</v>
      </c>
      <c r="M91" s="55">
        <f>M89*(1-'Hypothetical SAR and RAR'!$Y$16)+M90*'Hypothetical SAR and RAR'!$Y$16</f>
        <v>184.57030370761802</v>
      </c>
      <c r="N91" s="55">
        <f>N89*(1-'Hypothetical SAR and RAR'!$Y$16)+N90*'Hypothetical SAR and RAR'!$Y$16</f>
        <v>184.57030370761802</v>
      </c>
      <c r="O91" s="56">
        <f t="shared" si="26"/>
        <v>-6.4937982549293505E-3</v>
      </c>
      <c r="P91" s="73">
        <f t="shared" si="26"/>
        <v>0</v>
      </c>
    </row>
    <row r="92" spans="1:16" ht="15" thickBot="1"/>
    <row r="93" spans="1:16">
      <c r="B93" s="425" t="s">
        <v>413</v>
      </c>
      <c r="C93" s="426"/>
      <c r="D93" s="426"/>
      <c r="E93" s="426"/>
      <c r="F93" s="426"/>
      <c r="G93" s="426"/>
      <c r="H93" s="427"/>
      <c r="I93"/>
      <c r="J93"/>
    </row>
    <row r="94" spans="1:16" ht="29">
      <c r="B94" s="50"/>
      <c r="C94" s="51"/>
      <c r="D94" s="33">
        <v>44927</v>
      </c>
      <c r="E94" s="33">
        <v>45170</v>
      </c>
      <c r="F94" s="36" t="s">
        <v>21</v>
      </c>
      <c r="G94" s="36" t="str">
        <f>$G$25</f>
        <v>% Change over 01/1/2025</v>
      </c>
      <c r="H94" s="4" t="str">
        <f>$H$25</f>
        <v>% Change over 09/1/2025</v>
      </c>
      <c r="I94"/>
      <c r="J94"/>
    </row>
    <row r="95" spans="1:16">
      <c r="A95" s="135"/>
      <c r="B95" s="171"/>
      <c r="C95" s="174" t="s">
        <v>377</v>
      </c>
      <c r="D95" s="154">
        <f>('Hypo. Bill Impact (B-1)'!C33*4+'Hypo. Bill Impact (B-1)'!D33*8)/12</f>
        <v>431.86579874391145</v>
      </c>
      <c r="E95" s="154">
        <f>('Hypo. Bill Impact (B-1)'!E33*4+'Hypo. Bill Impact (B-1)'!F33*8)/12</f>
        <v>428.72808702766923</v>
      </c>
      <c r="F95" s="154">
        <f>('Hypo. Bill Impact (B-1)'!G33*4+'Hypo. Bill Impact (B-1)'!H33*8)/12</f>
        <v>428.72808702766923</v>
      </c>
      <c r="G95" s="53">
        <f t="shared" ref="G95:H97" si="27">$F95/D95-1</f>
        <v>-7.2654785939713085E-3</v>
      </c>
      <c r="H95" s="72">
        <f t="shared" si="27"/>
        <v>0</v>
      </c>
      <c r="I95"/>
      <c r="J95"/>
    </row>
    <row r="96" spans="1:16">
      <c r="A96" s="135"/>
      <c r="B96" s="41"/>
      <c r="C96" s="175" t="s">
        <v>376</v>
      </c>
      <c r="D96" s="52">
        <f>('Hypo. Bill Impact (B-1)'!C34*4+'Hypo. Bill Impact (B-1)'!D34*8)/12</f>
        <v>530.46552518272949</v>
      </c>
      <c r="E96" s="52">
        <f>('Hypo. Bill Impact (B-1)'!E34*4+'Hypo. Bill Impact (B-1)'!F34*8)/12</f>
        <v>526.59971497154629</v>
      </c>
      <c r="F96" s="52">
        <f>('Hypo. Bill Impact (B-1)'!G34*4+'Hypo. Bill Impact (B-1)'!H34*8)/12</f>
        <v>526.59971497154629</v>
      </c>
      <c r="G96" s="53">
        <f t="shared" si="27"/>
        <v>-7.2875804885746964E-3</v>
      </c>
      <c r="H96" s="72">
        <f t="shared" si="27"/>
        <v>0</v>
      </c>
      <c r="I96"/>
      <c r="J96"/>
    </row>
    <row r="97" spans="1:10" ht="15" thickBot="1">
      <c r="A97" s="135"/>
      <c r="B97" s="172"/>
      <c r="C97" s="176" t="s">
        <v>490</v>
      </c>
      <c r="D97" s="55">
        <f>('Hypo. Bill Impact (B-1)'!C35*4+'Hypo. Bill Impact (B-1)'!D35*8)/12</f>
        <v>1332.7379042614491</v>
      </c>
      <c r="E97" s="55">
        <f>('Hypo. Bill Impact (B-1)'!E35*4+'Hypo. Bill Impact (B-1)'!F35*8)/12</f>
        <v>1322.9618450079415</v>
      </c>
      <c r="F97" s="55">
        <f>('Hypo. Bill Impact (B-1)'!G35*4+'Hypo. Bill Impact (B-1)'!H35*8)/12</f>
        <v>1322.9618450079415</v>
      </c>
      <c r="G97" s="56">
        <f t="shared" si="27"/>
        <v>-7.3353201872989882E-3</v>
      </c>
      <c r="H97" s="73">
        <f t="shared" si="27"/>
        <v>0</v>
      </c>
      <c r="I97"/>
      <c r="J97"/>
    </row>
    <row r="98" spans="1:10" ht="15" thickBot="1">
      <c r="I98"/>
      <c r="J98"/>
    </row>
    <row r="99" spans="1:10">
      <c r="B99" s="425" t="s">
        <v>415</v>
      </c>
      <c r="C99" s="426"/>
      <c r="D99" s="426"/>
      <c r="E99" s="426"/>
      <c r="F99" s="426"/>
      <c r="G99" s="426"/>
      <c r="H99" s="427"/>
      <c r="I99"/>
      <c r="J99"/>
    </row>
    <row r="100" spans="1:10" ht="29">
      <c r="B100" s="50"/>
      <c r="C100" s="51"/>
      <c r="D100" s="33">
        <v>44927</v>
      </c>
      <c r="E100" s="33">
        <v>45170</v>
      </c>
      <c r="F100" s="36" t="s">
        <v>21</v>
      </c>
      <c r="G100" s="36" t="str">
        <f>$G$25</f>
        <v>% Change over 01/1/2025</v>
      </c>
      <c r="H100" s="4" t="str">
        <f>$H$25</f>
        <v>% Change over 09/1/2025</v>
      </c>
      <c r="I100"/>
      <c r="J100"/>
    </row>
    <row r="101" spans="1:10">
      <c r="A101" s="135"/>
      <c r="B101" s="41"/>
      <c r="C101" s="174" t="s">
        <v>377</v>
      </c>
      <c r="D101" s="52">
        <f>'Hypo. Bill Impact (B-1)'!C33</f>
        <v>497.10771644804004</v>
      </c>
      <c r="E101" s="52">
        <f>'Hypo. Bill Impact (B-1)'!E33</f>
        <v>493.68607154181814</v>
      </c>
      <c r="F101" s="52">
        <f>'Hypo. Bill Impact (B-1)'!G33</f>
        <v>493.68607154181814</v>
      </c>
      <c r="G101" s="53">
        <f t="shared" ref="G101:H103" si="28">$F101/D101-1</f>
        <v>-6.8831055986626755E-3</v>
      </c>
      <c r="H101" s="72">
        <f t="shared" si="28"/>
        <v>0</v>
      </c>
      <c r="I101"/>
      <c r="J101"/>
    </row>
    <row r="102" spans="1:10">
      <c r="A102" s="135"/>
      <c r="B102" s="41"/>
      <c r="C102" s="175" t="s">
        <v>376</v>
      </c>
      <c r="D102" s="52">
        <f>'Hypo. Bill Impact (B-1)'!C34</f>
        <v>663.69055424707153</v>
      </c>
      <c r="E102" s="52">
        <f>'Hypo. Bill Impact (B-1)'!E34</f>
        <v>659.09536751398241</v>
      </c>
      <c r="F102" s="52">
        <f>'Hypo. Bill Impact (B-1)'!G34</f>
        <v>659.09536751398241</v>
      </c>
      <c r="G102" s="53">
        <f t="shared" si="28"/>
        <v>-6.9236886131401887E-3</v>
      </c>
      <c r="H102" s="72">
        <f t="shared" si="28"/>
        <v>0</v>
      </c>
      <c r="I102"/>
      <c r="J102"/>
    </row>
    <row r="103" spans="1:10" ht="15" thickBot="1">
      <c r="A103" s="135"/>
      <c r="B103" s="172"/>
      <c r="C103" s="176" t="s">
        <v>490</v>
      </c>
      <c r="D103" s="55">
        <f>'Hypo. Bill Impact (B-1)'!C35</f>
        <v>1657.2990571751591</v>
      </c>
      <c r="E103" s="55">
        <f>'Hypo. Bill Impact (B-1)'!E35</f>
        <v>1645.8144417645992</v>
      </c>
      <c r="F103" s="55">
        <f>'Hypo. Bill Impact (B-1)'!G35</f>
        <v>1645.8144417645992</v>
      </c>
      <c r="G103" s="56">
        <f t="shared" si="28"/>
        <v>-6.9297181826285525E-3</v>
      </c>
      <c r="H103" s="73">
        <f t="shared" si="28"/>
        <v>0</v>
      </c>
      <c r="I103"/>
      <c r="J103"/>
    </row>
    <row r="104" spans="1:10" ht="15" thickBot="1">
      <c r="I104"/>
      <c r="J104"/>
    </row>
    <row r="105" spans="1:10">
      <c r="B105" s="425" t="s">
        <v>416</v>
      </c>
      <c r="C105" s="426"/>
      <c r="D105" s="426"/>
      <c r="E105" s="426"/>
      <c r="F105" s="426"/>
      <c r="G105" s="426"/>
      <c r="H105" s="427"/>
      <c r="I105"/>
      <c r="J105"/>
    </row>
    <row r="106" spans="1:10" ht="29">
      <c r="B106" s="50"/>
      <c r="C106" s="51"/>
      <c r="D106" s="33">
        <v>44927</v>
      </c>
      <c r="E106" s="33">
        <v>45170</v>
      </c>
      <c r="F106" s="36" t="s">
        <v>21</v>
      </c>
      <c r="G106" s="36" t="str">
        <f>$G$25</f>
        <v>% Change over 01/1/2025</v>
      </c>
      <c r="H106" s="4" t="str">
        <f>$H$25</f>
        <v>% Change over 09/1/2025</v>
      </c>
      <c r="I106"/>
      <c r="J106"/>
    </row>
    <row r="107" spans="1:10">
      <c r="A107" s="135"/>
      <c r="B107" s="41"/>
      <c r="C107" s="174" t="s">
        <v>377</v>
      </c>
      <c r="D107" s="154">
        <f>'Hypo. Bill Impact (B-1)'!D33</f>
        <v>399.24483989184711</v>
      </c>
      <c r="E107" s="154">
        <f>'Hypo. Bill Impact (B-1)'!F33</f>
        <v>396.24909477059481</v>
      </c>
      <c r="F107" s="154">
        <f>'Hypo. Bill Impact (B-1)'!H33</f>
        <v>396.24909477059481</v>
      </c>
      <c r="G107" s="53">
        <f t="shared" ref="G107:H109" si="29">$F107/D107-1</f>
        <v>-7.5035287170244214E-3</v>
      </c>
      <c r="H107" s="72">
        <f t="shared" si="29"/>
        <v>0</v>
      </c>
      <c r="I107"/>
      <c r="J107"/>
    </row>
    <row r="108" spans="1:10">
      <c r="A108" s="135"/>
      <c r="B108" s="41"/>
      <c r="C108" s="175" t="s">
        <v>376</v>
      </c>
      <c r="D108" s="52">
        <f>'Hypo. Bill Impact (B-1)'!D34</f>
        <v>463.85301065055842</v>
      </c>
      <c r="E108" s="52">
        <f>'Hypo. Bill Impact (B-1)'!F34</f>
        <v>460.35188870032817</v>
      </c>
      <c r="F108" s="52">
        <f>'Hypo. Bill Impact (B-1)'!H34</f>
        <v>460.35188870032817</v>
      </c>
      <c r="G108" s="53">
        <f t="shared" si="29"/>
        <v>-7.5479125279792614E-3</v>
      </c>
      <c r="H108" s="72">
        <f t="shared" si="29"/>
        <v>0</v>
      </c>
      <c r="I108"/>
      <c r="J108"/>
    </row>
    <row r="109" spans="1:10" ht="15" thickBot="1">
      <c r="A109" s="135"/>
      <c r="B109" s="173"/>
      <c r="C109" s="176" t="s">
        <v>490</v>
      </c>
      <c r="D109" s="55">
        <f>'Hypo. Bill Impact (B-1)'!D35</f>
        <v>1170.4573278045939</v>
      </c>
      <c r="E109" s="55">
        <f>'Hypo. Bill Impact (B-1)'!F35</f>
        <v>1161.5355466296126</v>
      </c>
      <c r="F109" s="55">
        <f>'Hypo. Bill Impact (B-1)'!H35</f>
        <v>1161.5355466296126</v>
      </c>
      <c r="G109" s="56">
        <f t="shared" si="29"/>
        <v>-7.6224745345614409E-3</v>
      </c>
      <c r="H109" s="73">
        <f t="shared" si="29"/>
        <v>0</v>
      </c>
      <c r="I109"/>
      <c r="J109"/>
    </row>
  </sheetData>
  <mergeCells count="85">
    <mergeCell ref="B93:H93"/>
    <mergeCell ref="B99:H99"/>
    <mergeCell ref="B105:H105"/>
    <mergeCell ref="P9:P10"/>
    <mergeCell ref="Q9:Q10"/>
    <mergeCell ref="B48:C48"/>
    <mergeCell ref="B49:C49"/>
    <mergeCell ref="B38:H38"/>
    <mergeCell ref="B40:C40"/>
    <mergeCell ref="B41:C41"/>
    <mergeCell ref="B42:C42"/>
    <mergeCell ref="B45:H45"/>
    <mergeCell ref="B47:C47"/>
    <mergeCell ref="B35:C35"/>
    <mergeCell ref="B24:H24"/>
    <mergeCell ref="J24:P24"/>
    <mergeCell ref="B25:C25"/>
    <mergeCell ref="J25:K25"/>
    <mergeCell ref="B26:C26"/>
    <mergeCell ref="J49:K49"/>
    <mergeCell ref="B62:C62"/>
    <mergeCell ref="J35:K35"/>
    <mergeCell ref="J38:P38"/>
    <mergeCell ref="J40:K40"/>
    <mergeCell ref="B52:H52"/>
    <mergeCell ref="J52:P52"/>
    <mergeCell ref="B54:C54"/>
    <mergeCell ref="J54:K54"/>
    <mergeCell ref="B55:C55"/>
    <mergeCell ref="J55:K55"/>
    <mergeCell ref="B56:C56"/>
    <mergeCell ref="J56:K56"/>
    <mergeCell ref="J62:K62"/>
    <mergeCell ref="J26:K26"/>
    <mergeCell ref="B28:C28"/>
    <mergeCell ref="J28:K28"/>
    <mergeCell ref="B31:H31"/>
    <mergeCell ref="B33:C33"/>
    <mergeCell ref="J31:P31"/>
    <mergeCell ref="J33:K33"/>
    <mergeCell ref="J41:K41"/>
    <mergeCell ref="J42:K42"/>
    <mergeCell ref="J45:P45"/>
    <mergeCell ref="J47:K47"/>
    <mergeCell ref="J48:K48"/>
    <mergeCell ref="B34:C34"/>
    <mergeCell ref="J34:K34"/>
    <mergeCell ref="B59:H59"/>
    <mergeCell ref="B84:C84"/>
    <mergeCell ref="J84:K84"/>
    <mergeCell ref="B69:C69"/>
    <mergeCell ref="J69:K69"/>
    <mergeCell ref="B73:H73"/>
    <mergeCell ref="J73:P73"/>
    <mergeCell ref="J82:K82"/>
    <mergeCell ref="B83:C83"/>
    <mergeCell ref="J83:K83"/>
    <mergeCell ref="J70:K70"/>
    <mergeCell ref="B66:H66"/>
    <mergeCell ref="J66:P66"/>
    <mergeCell ref="B68:C68"/>
    <mergeCell ref="J68:K68"/>
    <mergeCell ref="B63:C63"/>
    <mergeCell ref="B90:C90"/>
    <mergeCell ref="J90:K90"/>
    <mergeCell ref="B91:C91"/>
    <mergeCell ref="J91:K91"/>
    <mergeCell ref="B87:H87"/>
    <mergeCell ref="J87:P87"/>
    <mergeCell ref="J59:P59"/>
    <mergeCell ref="B61:C61"/>
    <mergeCell ref="J61:K61"/>
    <mergeCell ref="B89:C89"/>
    <mergeCell ref="J89:K89"/>
    <mergeCell ref="B70:C70"/>
    <mergeCell ref="B77:C77"/>
    <mergeCell ref="B75:C75"/>
    <mergeCell ref="J75:K75"/>
    <mergeCell ref="B76:C76"/>
    <mergeCell ref="J76:K76"/>
    <mergeCell ref="J77:K77"/>
    <mergeCell ref="B80:H80"/>
    <mergeCell ref="J80:P80"/>
    <mergeCell ref="B82:C82"/>
    <mergeCell ref="J63:K63"/>
  </mergeCells>
  <dataValidations disablePrompts="1" count="1">
    <dataValidation type="list" allowBlank="1" showInputMessage="1" showErrorMessage="1" sqref="D5" xr:uid="{85554D0C-E8E7-49D6-B531-468D179257D3}">
      <formula1>"Y, N"</formula1>
    </dataValidation>
  </dataValidations>
  <pageMargins left="0.7" right="0.7" top="0.75" bottom="0.75" header="0.3" footer="0.3"/>
  <pageSetup orientation="portrait" r:id="rId1"/>
  <headerFooter>
    <oddFooter xml:space="preserve">&amp;C
</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67E9E33-7033-4350-B138-757404B7D695}">
          <x14:formula1>
            <xm:f>'Hypothetical Res Bill Impact'!$B$37:$B$47</xm:f>
          </x14:formula1>
          <xm:sqref>D4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77218-C889-4585-8412-A28641D7EF4B}">
  <sheetPr codeName="Sheet7">
    <tabColor rgb="FF92D050"/>
    <pageSetUpPr autoPageBreaks="0"/>
  </sheetPr>
  <dimension ref="B1:AF83"/>
  <sheetViews>
    <sheetView workbookViewId="0">
      <selection activeCell="H23" sqref="H23"/>
    </sheetView>
  </sheetViews>
  <sheetFormatPr defaultColWidth="8.81640625" defaultRowHeight="14.5"/>
  <cols>
    <col min="1" max="1" width="3.54296875" style="39" customWidth="1"/>
    <col min="2" max="3" width="19.453125" style="39" customWidth="1"/>
    <col min="4" max="4" width="10.54296875" style="39" customWidth="1"/>
    <col min="5" max="5" width="30.453125" style="39" customWidth="1"/>
    <col min="6" max="6" width="13.54296875" style="39" customWidth="1"/>
    <col min="7" max="7" width="18.81640625" style="39" bestFit="1" customWidth="1"/>
    <col min="8" max="8" width="16" style="39" customWidth="1"/>
    <col min="9" max="9" width="15.1796875" style="39" customWidth="1"/>
    <col min="10" max="10" width="15.453125" style="39" bestFit="1" customWidth="1"/>
    <col min="11" max="13" width="15.453125" style="39" customWidth="1"/>
    <col min="14" max="14" width="13" style="39" customWidth="1"/>
    <col min="15" max="15" width="15.54296875" style="39" customWidth="1"/>
    <col min="16" max="16" width="13" style="39" customWidth="1"/>
    <col min="17" max="18" width="14" style="39" customWidth="1"/>
    <col min="19" max="19" width="21.54296875" style="39" customWidth="1"/>
    <col min="20" max="20" width="15" style="39" customWidth="1"/>
    <col min="21" max="21" width="18" style="39" customWidth="1"/>
    <col min="22" max="22" width="15.81640625" style="39" bestFit="1" customWidth="1"/>
    <col min="23" max="24" width="20.1796875" style="39" customWidth="1"/>
    <col min="25" max="25" width="12.7265625" style="39" bestFit="1" customWidth="1"/>
    <col min="26" max="26" width="20.1796875" style="39" bestFit="1" customWidth="1"/>
    <col min="27" max="27" width="13.7265625" style="39" bestFit="1" customWidth="1"/>
    <col min="28" max="28" width="10.81640625" style="39" bestFit="1" customWidth="1"/>
    <col min="29" max="29" width="14.453125" style="39" bestFit="1" customWidth="1"/>
    <col min="30" max="30" width="15" style="39" customWidth="1"/>
    <col min="31" max="31" width="10.81640625" style="39" bestFit="1" customWidth="1"/>
    <col min="32" max="32" width="14.453125" style="39" bestFit="1" customWidth="1"/>
    <col min="33" max="16384" width="8.81640625" style="39"/>
  </cols>
  <sheetData>
    <row r="1" spans="2:25" ht="53.9" customHeight="1">
      <c r="B1" s="480"/>
      <c r="C1" s="480"/>
      <c r="D1" s="480"/>
      <c r="E1" s="480"/>
      <c r="F1" s="480"/>
      <c r="G1" s="480"/>
      <c r="H1" s="480"/>
      <c r="I1" s="480"/>
      <c r="J1" s="480"/>
      <c r="K1" s="480"/>
      <c r="L1" s="480"/>
      <c r="M1" s="480"/>
      <c r="N1" s="480"/>
      <c r="O1" s="480"/>
      <c r="P1" s="480"/>
      <c r="Q1" s="480"/>
      <c r="R1" s="480"/>
      <c r="S1" s="480"/>
      <c r="T1" s="480"/>
      <c r="U1" s="480"/>
      <c r="V1" s="480"/>
      <c r="W1" s="480"/>
    </row>
    <row r="2" spans="2:25" ht="15.5">
      <c r="B2" s="323"/>
      <c r="C2" s="324"/>
      <c r="D2" s="323"/>
      <c r="E2" s="323"/>
      <c r="F2" s="323"/>
      <c r="G2" s="323"/>
      <c r="H2" s="323"/>
      <c r="I2" s="323"/>
      <c r="J2" s="323"/>
      <c r="K2" s="323"/>
      <c r="L2" s="323"/>
      <c r="M2" s="323"/>
      <c r="N2" s="323"/>
      <c r="O2" s="323"/>
      <c r="P2" s="323"/>
      <c r="Q2" s="323"/>
      <c r="R2" s="323"/>
      <c r="S2" s="323"/>
      <c r="T2" s="323"/>
      <c r="U2" s="323"/>
      <c r="V2" s="323"/>
      <c r="W2" s="323"/>
    </row>
    <row r="3" spans="2:25">
      <c r="B3" s="1"/>
      <c r="C3" s="64" t="s">
        <v>195</v>
      </c>
      <c r="P3" s="326"/>
      <c r="Q3" s="326"/>
      <c r="R3" s="326"/>
      <c r="S3" s="326"/>
      <c r="T3" s="326"/>
      <c r="U3" s="326"/>
      <c r="V3" s="326"/>
      <c r="W3" s="326"/>
    </row>
    <row r="4" spans="2:25" ht="15.5">
      <c r="B4" s="58" t="s">
        <v>3</v>
      </c>
      <c r="C4" s="2">
        <f>'Hypothetical Summary'!D7</f>
        <v>0</v>
      </c>
      <c r="F4" s="461" t="s">
        <v>176</v>
      </c>
      <c r="G4" s="461"/>
      <c r="H4" s="461"/>
      <c r="I4" s="461"/>
      <c r="J4" s="461"/>
      <c r="K4" s="461"/>
      <c r="L4" s="461"/>
      <c r="M4" s="461"/>
      <c r="N4" s="461"/>
      <c r="O4" s="461"/>
      <c r="Q4" s="410"/>
      <c r="R4" s="35"/>
      <c r="S4" s="35"/>
      <c r="T4" s="35"/>
      <c r="U4" s="35"/>
      <c r="V4" s="35"/>
      <c r="W4" s="35"/>
      <c r="X4" s="35"/>
      <c r="Y4" s="35"/>
    </row>
    <row r="5" spans="2:25" ht="15.5">
      <c r="B5" s="58" t="s">
        <v>14</v>
      </c>
      <c r="C5" s="2">
        <f>'Hypothetical Summary'!D8</f>
        <v>0</v>
      </c>
      <c r="E5" s="5"/>
      <c r="F5" s="6" t="s">
        <v>3</v>
      </c>
      <c r="G5" s="6" t="s">
        <v>5</v>
      </c>
      <c r="H5" s="6" t="s">
        <v>16</v>
      </c>
      <c r="I5" s="6" t="s">
        <v>177</v>
      </c>
      <c r="J5" s="6" t="s">
        <v>14</v>
      </c>
      <c r="K5" s="6" t="s">
        <v>10</v>
      </c>
      <c r="L5" s="6" t="s">
        <v>68</v>
      </c>
      <c r="M5" s="6" t="s">
        <v>131</v>
      </c>
      <c r="N5" s="6" t="s">
        <v>138</v>
      </c>
      <c r="O5" s="6" t="s">
        <v>178</v>
      </c>
      <c r="P5" s="327" t="s">
        <v>24</v>
      </c>
      <c r="Q5" s="6" t="s">
        <v>284</v>
      </c>
      <c r="R5" s="327" t="s">
        <v>211</v>
      </c>
      <c r="S5" s="411" t="s">
        <v>309</v>
      </c>
    </row>
    <row r="6" spans="2:25" ht="15.5">
      <c r="B6" s="58" t="s">
        <v>5</v>
      </c>
      <c r="C6" s="2">
        <f>'Hypothetical Summary'!D9</f>
        <v>0</v>
      </c>
      <c r="E6" s="5" t="s">
        <v>19</v>
      </c>
      <c r="F6" s="95">
        <f>'SAR and RAR'!G35</f>
        <v>0.40900666226609728</v>
      </c>
      <c r="G6" s="95">
        <f>'SAR and RAR'!H35</f>
        <v>0.4070070773511657</v>
      </c>
      <c r="H6" s="95">
        <f>'SAR and RAR'!I35</f>
        <v>0.33769837111013679</v>
      </c>
      <c r="I6" s="95">
        <f>'SAR and RAR'!J35</f>
        <v>0.34713198965052205</v>
      </c>
      <c r="J6" s="95">
        <f>'SAR and RAR'!K35</f>
        <v>0.46656069312382042</v>
      </c>
      <c r="K6" s="95">
        <f>'SAR and RAR'!L35</f>
        <v>0.46692690842834589</v>
      </c>
      <c r="L6" s="95">
        <f>'SAR and RAR'!M35</f>
        <v>0.3666164112170443</v>
      </c>
      <c r="M6" s="95">
        <f>'SAR and RAR'!N35</f>
        <v>0.34510802921225209</v>
      </c>
      <c r="N6" s="95">
        <f>'SAR and RAR'!O35</f>
        <v>0.46728018137359867</v>
      </c>
      <c r="O6" s="95">
        <f>'SAR and RAR'!P35</f>
        <v>0.87676434588726226</v>
      </c>
      <c r="P6" s="95">
        <f>'SAR and RAR'!Q35</f>
        <v>0.27114780615983058</v>
      </c>
      <c r="Q6" s="95">
        <f>'SAR and RAR'!R35</f>
        <v>0.3316051653534885</v>
      </c>
      <c r="R6" s="95">
        <f>'SAR and RAR'!S35</f>
        <v>0.46725844988440807</v>
      </c>
      <c r="S6" s="95">
        <f>'SAR and RAR'!T35</f>
        <v>0.39898296095140573</v>
      </c>
    </row>
    <row r="7" spans="2:25" ht="15.5">
      <c r="B7" s="58" t="s">
        <v>133</v>
      </c>
      <c r="C7" s="2">
        <f>'Hypothetical Summary'!D10</f>
        <v>0</v>
      </c>
      <c r="E7" s="5"/>
      <c r="F7" s="109"/>
      <c r="G7" s="109"/>
      <c r="H7" s="109"/>
      <c r="I7" s="109"/>
      <c r="J7" s="109"/>
      <c r="K7" s="109"/>
      <c r="L7" s="109"/>
      <c r="M7" s="109"/>
      <c r="N7" s="109"/>
      <c r="O7" s="109"/>
      <c r="P7" s="109"/>
    </row>
    <row r="8" spans="2:25" ht="15.5">
      <c r="B8" s="58" t="s">
        <v>68</v>
      </c>
      <c r="C8" s="2">
        <f>'Hypothetical Summary'!D11</f>
        <v>0</v>
      </c>
      <c r="E8" s="17"/>
      <c r="F8" s="461" t="s">
        <v>179</v>
      </c>
      <c r="G8" s="461"/>
      <c r="H8" s="461"/>
      <c r="I8" s="461"/>
      <c r="J8" s="461"/>
      <c r="K8" s="461"/>
      <c r="L8" s="461"/>
      <c r="M8" s="461"/>
      <c r="N8" s="461"/>
      <c r="O8" s="461"/>
      <c r="P8" s="461"/>
      <c r="Q8" s="461"/>
    </row>
    <row r="9" spans="2:25" ht="15.65" customHeight="1">
      <c r="B9" s="58" t="s">
        <v>16</v>
      </c>
      <c r="C9" s="2">
        <f>'Hypothetical Summary'!D12</f>
        <v>0</v>
      </c>
      <c r="E9" s="330"/>
      <c r="F9" s="6" t="s">
        <v>3</v>
      </c>
      <c r="G9" s="6" t="s">
        <v>5</v>
      </c>
      <c r="H9" s="6" t="s">
        <v>16</v>
      </c>
      <c r="I9" s="6" t="s">
        <v>15</v>
      </c>
      <c r="J9" s="6" t="s">
        <v>14</v>
      </c>
      <c r="K9" s="6" t="s">
        <v>10</v>
      </c>
      <c r="L9" s="6" t="s">
        <v>68</v>
      </c>
      <c r="M9" s="6" t="s">
        <v>131</v>
      </c>
      <c r="N9" s="6" t="s">
        <v>138</v>
      </c>
      <c r="O9" s="6" t="s">
        <v>133</v>
      </c>
      <c r="P9" s="6" t="s">
        <v>17</v>
      </c>
      <c r="Q9" s="6" t="s">
        <v>284</v>
      </c>
      <c r="R9" s="327" t="s">
        <v>211</v>
      </c>
      <c r="S9" s="411" t="s">
        <v>309</v>
      </c>
      <c r="T9" s="6" t="s">
        <v>136</v>
      </c>
    </row>
    <row r="10" spans="2:25" ht="15.5">
      <c r="B10" s="58" t="s">
        <v>15</v>
      </c>
      <c r="C10" s="2">
        <f>'Hypothetical Summary'!D13</f>
        <v>0</v>
      </c>
      <c r="E10" s="5" t="s">
        <v>19</v>
      </c>
      <c r="F10" s="331">
        <f>F6*F11</f>
        <v>0</v>
      </c>
      <c r="G10" s="331">
        <f>G6*G11</f>
        <v>0</v>
      </c>
      <c r="H10" s="331">
        <f t="shared" ref="H10:P10" si="0">H6*H11</f>
        <v>0</v>
      </c>
      <c r="I10" s="331">
        <f t="shared" si="0"/>
        <v>0</v>
      </c>
      <c r="J10" s="331">
        <f t="shared" si="0"/>
        <v>0</v>
      </c>
      <c r="K10" s="331">
        <f t="shared" si="0"/>
        <v>0</v>
      </c>
      <c r="L10" s="331">
        <f t="shared" si="0"/>
        <v>0</v>
      </c>
      <c r="M10" s="331">
        <f t="shared" si="0"/>
        <v>0</v>
      </c>
      <c r="N10" s="331">
        <f t="shared" si="0"/>
        <v>0</v>
      </c>
      <c r="O10" s="331">
        <f t="shared" si="0"/>
        <v>0</v>
      </c>
      <c r="P10" s="331">
        <f t="shared" si="0"/>
        <v>0</v>
      </c>
      <c r="Q10" s="331">
        <f>Q6*Q11</f>
        <v>0</v>
      </c>
      <c r="R10" s="331">
        <f>R6*R11</f>
        <v>0</v>
      </c>
      <c r="S10" s="331">
        <f>S6*S11</f>
        <v>0</v>
      </c>
      <c r="T10" s="331">
        <f>SUM(F10:S10)</f>
        <v>0</v>
      </c>
    </row>
    <row r="11" spans="2:25" ht="15.5">
      <c r="B11" s="58" t="s">
        <v>17</v>
      </c>
      <c r="C11" s="2">
        <f>'Hypothetical Summary'!D14</f>
        <v>0</v>
      </c>
      <c r="E11" s="5" t="s">
        <v>23</v>
      </c>
      <c r="F11" s="85">
        <f>VLOOKUP(F9,$B$4:$C$17,2,FALSE)</f>
        <v>0</v>
      </c>
      <c r="G11" s="85">
        <f t="shared" ref="G11:S11" si="1">VLOOKUP(G9,$B$4:$C$17,2,FALSE)</f>
        <v>0</v>
      </c>
      <c r="H11" s="85">
        <f t="shared" si="1"/>
        <v>0</v>
      </c>
      <c r="I11" s="85">
        <f t="shared" si="1"/>
        <v>0</v>
      </c>
      <c r="J11" s="85">
        <f t="shared" si="1"/>
        <v>0</v>
      </c>
      <c r="K11" s="85">
        <f t="shared" si="1"/>
        <v>0</v>
      </c>
      <c r="L11" s="85">
        <f t="shared" si="1"/>
        <v>0</v>
      </c>
      <c r="M11" s="85">
        <f t="shared" si="1"/>
        <v>0</v>
      </c>
      <c r="N11" s="85">
        <f t="shared" si="1"/>
        <v>0</v>
      </c>
      <c r="O11" s="85">
        <f t="shared" si="1"/>
        <v>0</v>
      </c>
      <c r="P11" s="85">
        <f t="shared" si="1"/>
        <v>0</v>
      </c>
      <c r="Q11" s="85">
        <f t="shared" si="1"/>
        <v>0</v>
      </c>
      <c r="R11" s="85">
        <f t="shared" si="1"/>
        <v>0</v>
      </c>
      <c r="S11" s="85">
        <f t="shared" si="1"/>
        <v>0</v>
      </c>
      <c r="T11" s="85">
        <f>SUM(F11:S11)</f>
        <v>0</v>
      </c>
    </row>
    <row r="12" spans="2:25" ht="15.5">
      <c r="B12" s="58" t="s">
        <v>131</v>
      </c>
      <c r="C12" s="2">
        <f>'Hypothetical Summary'!D15</f>
        <v>0</v>
      </c>
      <c r="E12" s="330"/>
    </row>
    <row r="13" spans="2:25" ht="15.65" customHeight="1">
      <c r="B13" s="58" t="s">
        <v>10</v>
      </c>
      <c r="C13" s="2">
        <f>'Hypothetical Summary'!D16</f>
        <v>0</v>
      </c>
      <c r="E13" s="5"/>
      <c r="F13" s="331"/>
      <c r="G13" s="331"/>
      <c r="H13" s="331"/>
      <c r="I13" s="331"/>
      <c r="J13" s="331"/>
      <c r="K13" s="331"/>
      <c r="L13" s="331"/>
      <c r="M13" s="331"/>
      <c r="N13" s="331"/>
      <c r="O13" s="331"/>
      <c r="P13" s="331"/>
      <c r="Q13" s="331"/>
      <c r="R13" s="331"/>
      <c r="S13" s="331"/>
      <c r="T13" s="333"/>
    </row>
    <row r="14" spans="2:25" ht="15.65" customHeight="1">
      <c r="B14" s="58" t="s">
        <v>138</v>
      </c>
      <c r="C14" s="2">
        <f>'Hypothetical Summary'!D17</f>
        <v>0</v>
      </c>
      <c r="E14" s="5"/>
      <c r="F14" s="85"/>
      <c r="G14" s="85"/>
      <c r="H14" s="85"/>
      <c r="I14" s="85"/>
      <c r="J14" s="85"/>
      <c r="K14" s="85"/>
      <c r="L14" s="85"/>
      <c r="M14" s="85"/>
      <c r="N14" s="85"/>
      <c r="O14" s="85"/>
      <c r="P14" s="85"/>
      <c r="Q14" s="85"/>
      <c r="R14" s="85"/>
      <c r="S14" s="85"/>
    </row>
    <row r="15" spans="2:25" ht="15.5">
      <c r="B15" s="58" t="s">
        <v>211</v>
      </c>
      <c r="C15" s="2">
        <f>'Hypothetical Summary'!D18</f>
        <v>0</v>
      </c>
      <c r="E15" s="170"/>
      <c r="F15" s="3"/>
      <c r="G15" s="3"/>
      <c r="H15" s="3"/>
      <c r="I15" s="17"/>
      <c r="V15" s="5"/>
      <c r="W15" s="334"/>
      <c r="X15" s="334"/>
    </row>
    <row r="16" spans="2:25" ht="15.5">
      <c r="B16" s="58" t="s">
        <v>284</v>
      </c>
      <c r="C16" s="2">
        <f>'Hypothetical Summary'!D19</f>
        <v>0</v>
      </c>
      <c r="T16" s="481"/>
      <c r="U16" s="465"/>
      <c r="V16" s="412"/>
      <c r="X16" s="111" t="s">
        <v>233</v>
      </c>
      <c r="Y16" s="112">
        <v>0.25623041706120797</v>
      </c>
    </row>
    <row r="17" spans="2:32" ht="15.5">
      <c r="B17" s="39" t="s">
        <v>309</v>
      </c>
      <c r="C17" s="86">
        <f>'Hypothetical Summary'!D20</f>
        <v>0</v>
      </c>
      <c r="T17" s="336"/>
      <c r="U17" s="335"/>
      <c r="V17" s="412"/>
      <c r="X17" s="111"/>
      <c r="Y17" s="112"/>
    </row>
    <row r="18" spans="2:32" ht="15.5">
      <c r="B18" s="58" t="s">
        <v>136</v>
      </c>
      <c r="C18" s="92">
        <f>SUM(C4:C17)</f>
        <v>0</v>
      </c>
      <c r="E18" s="17"/>
      <c r="F18" s="455" t="s">
        <v>180</v>
      </c>
      <c r="G18" s="455"/>
      <c r="H18" s="455"/>
      <c r="I18" s="455"/>
      <c r="J18" s="455"/>
      <c r="K18" s="455"/>
      <c r="L18" s="455"/>
      <c r="M18" s="455"/>
      <c r="N18" s="455"/>
      <c r="O18" s="455"/>
      <c r="P18" s="455"/>
      <c r="Q18" s="24"/>
      <c r="T18" s="462" t="s">
        <v>181</v>
      </c>
      <c r="U18" s="463"/>
      <c r="V18" s="412"/>
      <c r="X18" s="111" t="s">
        <v>234</v>
      </c>
      <c r="Y18" s="112">
        <v>0.35</v>
      </c>
    </row>
    <row r="19" spans="2:32" ht="15.5">
      <c r="B19" s="342"/>
      <c r="C19" s="2"/>
      <c r="D19" s="17"/>
      <c r="F19" s="327" t="s">
        <v>3</v>
      </c>
      <c r="G19" s="6" t="s">
        <v>5</v>
      </c>
      <c r="H19" s="6" t="s">
        <v>16</v>
      </c>
      <c r="I19" s="6" t="s">
        <v>177</v>
      </c>
      <c r="J19" s="6" t="s">
        <v>14</v>
      </c>
      <c r="K19" s="6" t="s">
        <v>10</v>
      </c>
      <c r="L19" s="6" t="s">
        <v>68</v>
      </c>
      <c r="M19" s="6" t="s">
        <v>131</v>
      </c>
      <c r="N19" s="6" t="s">
        <v>138</v>
      </c>
      <c r="O19" s="6" t="s">
        <v>178</v>
      </c>
      <c r="P19" s="6" t="s">
        <v>24</v>
      </c>
      <c r="Q19" s="6" t="s">
        <v>284</v>
      </c>
      <c r="R19" s="327" t="s">
        <v>211</v>
      </c>
      <c r="S19" s="411" t="s">
        <v>309</v>
      </c>
      <c r="T19" s="413" t="s">
        <v>136</v>
      </c>
      <c r="U19" s="63" t="s">
        <v>182</v>
      </c>
      <c r="V19" s="412"/>
      <c r="X19" s="111" t="s">
        <v>196</v>
      </c>
      <c r="Y19" s="85">
        <f>SUM(G10:N10,R10:S10,F10/G20)*Y16*Y18</f>
        <v>0</v>
      </c>
    </row>
    <row r="20" spans="2:32" ht="15.5">
      <c r="B20" s="342"/>
      <c r="C20" s="2"/>
      <c r="E20" s="5" t="s">
        <v>19</v>
      </c>
      <c r="F20" s="95">
        <v>1</v>
      </c>
      <c r="G20" s="95">
        <f>$E29/$O29</f>
        <v>0.3814211339982938</v>
      </c>
      <c r="H20" s="95">
        <f t="shared" ref="H20:P20" si="2">$E29/$O29</f>
        <v>0.3814211339982938</v>
      </c>
      <c r="I20" s="95">
        <f t="shared" si="2"/>
        <v>0.3814211339982938</v>
      </c>
      <c r="J20" s="95">
        <f t="shared" si="2"/>
        <v>0.3814211339982938</v>
      </c>
      <c r="K20" s="95">
        <f t="shared" si="2"/>
        <v>0.3814211339982938</v>
      </c>
      <c r="L20" s="95">
        <f t="shared" si="2"/>
        <v>0.3814211339982938</v>
      </c>
      <c r="M20" s="95">
        <f t="shared" si="2"/>
        <v>0.3814211339982938</v>
      </c>
      <c r="N20" s="95">
        <f t="shared" si="2"/>
        <v>0.3814211339982938</v>
      </c>
      <c r="O20" s="95">
        <f t="shared" si="2"/>
        <v>0.3814211339982938</v>
      </c>
      <c r="P20" s="95">
        <f t="shared" si="2"/>
        <v>0.3814211339982938</v>
      </c>
      <c r="Q20" s="95">
        <f t="shared" ref="Q20:S21" si="3">$E29/$O29</f>
        <v>0.3814211339982938</v>
      </c>
      <c r="R20" s="95">
        <f t="shared" si="3"/>
        <v>0.3814211339982938</v>
      </c>
      <c r="S20" s="95">
        <f t="shared" si="3"/>
        <v>0.3814211339982938</v>
      </c>
      <c r="T20" s="113">
        <f>SUMPRODUCT(F10:S10,F20:S20)</f>
        <v>0</v>
      </c>
      <c r="U20" s="87">
        <f>T20-((Y19+Y22)*G20)</f>
        <v>0</v>
      </c>
      <c r="V20" s="113"/>
      <c r="X20" s="111" t="s">
        <v>231</v>
      </c>
      <c r="Y20" s="331">
        <v>19682427.314727828</v>
      </c>
    </row>
    <row r="21" spans="2:32" ht="15.5">
      <c r="B21" s="342"/>
      <c r="C21" s="342"/>
      <c r="E21" s="5" t="s">
        <v>23</v>
      </c>
      <c r="F21" s="95">
        <v>1</v>
      </c>
      <c r="G21" s="95">
        <f>$E30/$O30</f>
        <v>0.34324990068571132</v>
      </c>
      <c r="H21" s="95">
        <f t="shared" ref="H21:P21" si="4">$E30/$O30</f>
        <v>0.34324990068571132</v>
      </c>
      <c r="I21" s="95">
        <f t="shared" si="4"/>
        <v>0.34324990068571132</v>
      </c>
      <c r="J21" s="95">
        <f t="shared" si="4"/>
        <v>0.34324990068571132</v>
      </c>
      <c r="K21" s="95">
        <f t="shared" si="4"/>
        <v>0.34324990068571132</v>
      </c>
      <c r="L21" s="95">
        <f t="shared" si="4"/>
        <v>0.34324990068571132</v>
      </c>
      <c r="M21" s="95">
        <f t="shared" si="4"/>
        <v>0.34324990068571132</v>
      </c>
      <c r="N21" s="95">
        <f t="shared" si="4"/>
        <v>0.34324990068571132</v>
      </c>
      <c r="O21" s="95">
        <f t="shared" si="4"/>
        <v>0.34324990068571132</v>
      </c>
      <c r="P21" s="95">
        <f t="shared" si="4"/>
        <v>0.34324990068571132</v>
      </c>
      <c r="Q21" s="95">
        <f t="shared" si="3"/>
        <v>0.34324990068571132</v>
      </c>
      <c r="R21" s="95">
        <f t="shared" si="3"/>
        <v>0.34324990068571132</v>
      </c>
      <c r="S21" s="95">
        <f t="shared" si="3"/>
        <v>0.34324990068571132</v>
      </c>
      <c r="T21" s="113">
        <f>SUMPRODUCT(F11:S11,F21:S21)</f>
        <v>0</v>
      </c>
      <c r="U21" s="87">
        <f>T21</f>
        <v>0</v>
      </c>
      <c r="V21" s="113"/>
      <c r="X21" s="111" t="s">
        <v>232</v>
      </c>
      <c r="Y21" s="331">
        <v>69174483.386814445</v>
      </c>
      <c r="AA21" s="5"/>
    </row>
    <row r="22" spans="2:32" ht="15.5">
      <c r="B22" s="342"/>
      <c r="C22" s="342"/>
      <c r="F22" s="325"/>
      <c r="G22" s="325"/>
      <c r="H22" s="325"/>
      <c r="I22" s="325"/>
      <c r="J22" s="325"/>
      <c r="K22" s="325"/>
      <c r="L22" s="325"/>
      <c r="M22" s="325"/>
      <c r="N22" s="325"/>
      <c r="O22" s="325"/>
      <c r="P22" s="325"/>
      <c r="U22" s="5"/>
      <c r="V22" s="5"/>
      <c r="X22" s="111" t="s">
        <v>183</v>
      </c>
      <c r="Y22" s="85">
        <f>Y19*Y20/Y21</f>
        <v>0</v>
      </c>
      <c r="AA22" s="5"/>
    </row>
    <row r="23" spans="2:32" ht="15.5">
      <c r="B23" s="342"/>
      <c r="C23" s="342"/>
      <c r="E23" s="35" t="str">
        <f>"Notes: Allocation and bundled/unbundled split based on "&amp;'Hypothetical Summary'!L4&amp;" sales forecast"</f>
        <v>Notes: Allocation and bundled/unbundled split based on 2025 sales forecast</v>
      </c>
      <c r="R23" s="6"/>
      <c r="S23" s="6"/>
      <c r="T23" s="5"/>
      <c r="Y23" s="343"/>
    </row>
    <row r="24" spans="2:32" ht="15.5">
      <c r="B24" s="342"/>
      <c r="C24" s="342"/>
      <c r="D24" s="5"/>
      <c r="E24" s="5"/>
      <c r="F24" s="342"/>
      <c r="G24" s="342"/>
      <c r="H24" s="342"/>
      <c r="I24" s="342"/>
      <c r="J24" s="342"/>
      <c r="K24" s="342"/>
      <c r="L24" s="342"/>
      <c r="M24" s="342"/>
      <c r="N24" s="342"/>
      <c r="O24" s="342"/>
      <c r="P24" s="342"/>
      <c r="Q24" s="5"/>
      <c r="R24" s="16"/>
      <c r="S24" s="39" t="s">
        <v>488</v>
      </c>
      <c r="T24" s="333">
        <f>O10*O20</f>
        <v>0</v>
      </c>
      <c r="U24" s="333"/>
      <c r="X24" s="5"/>
      <c r="Y24" s="5"/>
    </row>
    <row r="25" spans="2:32" ht="15.5">
      <c r="B25" s="342"/>
      <c r="C25" s="342"/>
      <c r="D25" s="63"/>
      <c r="E25" s="63"/>
      <c r="F25" s="345"/>
      <c r="G25" s="63"/>
      <c r="H25" s="63"/>
      <c r="I25" s="63"/>
      <c r="J25" s="63"/>
      <c r="K25" s="63"/>
      <c r="L25" s="63"/>
      <c r="M25" s="63"/>
      <c r="N25" s="63"/>
      <c r="O25" s="63"/>
      <c r="P25" s="63"/>
      <c r="Q25" s="63"/>
      <c r="R25" s="16"/>
      <c r="S25" s="39" t="s">
        <v>489</v>
      </c>
      <c r="T25" s="333">
        <f>O11*O21</f>
        <v>0</v>
      </c>
      <c r="U25" s="344"/>
      <c r="V25" s="346"/>
      <c r="X25" s="5"/>
      <c r="Y25" s="5"/>
    </row>
    <row r="26" spans="2:32" ht="15.5">
      <c r="B26" s="342"/>
      <c r="C26" s="342"/>
      <c r="D26" s="63"/>
      <c r="E26" s="63"/>
      <c r="F26" s="63"/>
      <c r="G26" s="63"/>
      <c r="H26" s="63"/>
      <c r="I26" s="63"/>
      <c r="J26" s="63"/>
      <c r="K26" s="63"/>
      <c r="L26" s="63"/>
      <c r="M26" s="63"/>
      <c r="N26" s="63"/>
      <c r="O26" s="63"/>
      <c r="P26" s="63"/>
      <c r="Q26" s="63"/>
      <c r="R26" s="347"/>
      <c r="S26" s="347"/>
      <c r="T26" s="16"/>
      <c r="U26" s="346"/>
      <c r="V26" s="348"/>
      <c r="X26" s="5"/>
      <c r="Y26" s="5"/>
      <c r="AA26" s="414"/>
      <c r="AB26" s="415"/>
      <c r="AC26" s="415"/>
      <c r="AD26" s="414"/>
      <c r="AE26" s="415"/>
      <c r="AF26" s="415"/>
    </row>
    <row r="27" spans="2:32" ht="15.5">
      <c r="B27" s="342"/>
      <c r="C27" s="342"/>
      <c r="D27" s="5"/>
      <c r="E27" s="457" t="s">
        <v>25</v>
      </c>
      <c r="F27" s="458"/>
      <c r="G27" s="458"/>
      <c r="H27" s="459"/>
      <c r="I27" s="63"/>
      <c r="J27" s="63"/>
      <c r="N27" s="5"/>
      <c r="O27" s="457" t="s">
        <v>27</v>
      </c>
      <c r="P27" s="458"/>
      <c r="Q27" s="458"/>
      <c r="R27" s="459"/>
      <c r="S27" s="63"/>
      <c r="T27" s="16"/>
      <c r="U27" s="346"/>
      <c r="V27" s="350"/>
      <c r="Z27" s="5"/>
      <c r="AA27" s="416"/>
      <c r="AB27" s="417"/>
      <c r="AC27" s="417"/>
      <c r="AD27" s="418"/>
      <c r="AE27" s="417"/>
      <c r="AF27" s="417"/>
    </row>
    <row r="28" spans="2:32" ht="31">
      <c r="B28" s="342"/>
      <c r="C28" s="342"/>
      <c r="D28" s="5"/>
      <c r="E28" s="6" t="str">
        <f>'Hypothetical Summary'!L4&amp;" Sales"</f>
        <v>2025 Sales</v>
      </c>
      <c r="F28" s="6" t="str">
        <f>TEXT(Summary!L3,"mm/dd/yyyy")&amp;" Avg Rates"</f>
        <v>09/01/2025 Avg Rates</v>
      </c>
      <c r="G28" s="6" t="s">
        <v>193</v>
      </c>
      <c r="H28" s="6" t="s">
        <v>194</v>
      </c>
      <c r="J28" s="6"/>
      <c r="N28" s="5"/>
      <c r="O28" s="6" t="str">
        <f>'Hypothetical Summary'!L4&amp;" Sales"</f>
        <v>2025 Sales</v>
      </c>
      <c r="P28" s="6" t="str">
        <f>F28</f>
        <v>09/01/2025 Avg Rates</v>
      </c>
      <c r="Q28" s="6" t="s">
        <v>193</v>
      </c>
      <c r="R28" s="6" t="s">
        <v>194</v>
      </c>
      <c r="S28" s="6"/>
      <c r="T28" s="16"/>
      <c r="U28" s="346"/>
      <c r="W28" s="333"/>
      <c r="X28" s="333"/>
      <c r="Z28" s="5"/>
      <c r="AA28" s="416"/>
      <c r="AB28" s="419"/>
      <c r="AC28" s="419"/>
      <c r="AD28" s="418"/>
      <c r="AE28" s="419"/>
      <c r="AF28" s="419"/>
    </row>
    <row r="29" spans="2:32" ht="15.5">
      <c r="B29" s="342"/>
      <c r="C29" s="342"/>
      <c r="D29" s="355" t="s">
        <v>19</v>
      </c>
      <c r="E29" s="144">
        <v>10093574.567219546</v>
      </c>
      <c r="F29" s="183">
        <f>IF('Hypothetical Summary'!D5="Y",AB50,AC50)</f>
        <v>35.656709684711373</v>
      </c>
      <c r="G29" s="420">
        <f>IF('Hypothetical Summary'!D5="Y",U20/E29*100+F29,SUM(U20-T24)/E29*100+F29)</f>
        <v>35.656709684711373</v>
      </c>
      <c r="H29" s="164">
        <f>G29/F29-1</f>
        <v>0</v>
      </c>
      <c r="J29" s="164"/>
      <c r="N29" s="355" t="s">
        <v>19</v>
      </c>
      <c r="O29" s="331">
        <v>26463071.04541485</v>
      </c>
      <c r="P29" s="183">
        <f>IF('Hypothetical Summary'!D5="Y",AE50,AF50)</f>
        <v>27.886265438798862</v>
      </c>
      <c r="Q29" s="16">
        <f>IF('Hypothetical Summary'!D5="Y",T10/O29*100+P29,SUM(T10-O10)/O29*100+P29)</f>
        <v>27.886265438798862</v>
      </c>
      <c r="R29" s="164">
        <f>Q29/P29-1</f>
        <v>0</v>
      </c>
      <c r="S29" s="164"/>
      <c r="T29" s="164"/>
      <c r="U29" s="164"/>
      <c r="W29" s="333"/>
      <c r="X29" s="344"/>
      <c r="AA29" s="416"/>
      <c r="AB29" s="419"/>
      <c r="AC29" s="419"/>
      <c r="AD29" s="418"/>
      <c r="AE29" s="419"/>
      <c r="AF29" s="419"/>
    </row>
    <row r="30" spans="2:32" ht="15.5">
      <c r="D30" s="355" t="s">
        <v>23</v>
      </c>
      <c r="E30" s="144">
        <v>26204056.23133941</v>
      </c>
      <c r="F30" s="183">
        <f>IF('Hypothetical Summary'!D5="Y",AB51,AC51)</f>
        <v>34.778170423848316</v>
      </c>
      <c r="G30" s="420">
        <f>IF('Hypothetical Summary'!D5="Y",U21/E30*100+F30,SUM(U21-T25)/E30*100+F30)</f>
        <v>34.778170423848316</v>
      </c>
      <c r="H30" s="164">
        <f>G30/F30-1</f>
        <v>0</v>
      </c>
      <c r="J30" s="164"/>
      <c r="N30" s="355" t="s">
        <v>23</v>
      </c>
      <c r="O30" s="331">
        <v>76341045.340410858</v>
      </c>
      <c r="P30" s="183">
        <f>IF('Hypothetical Summary'!D5="Y",AE51,AF51)</f>
        <v>24.987041940003813</v>
      </c>
      <c r="Q30" s="16">
        <f>IF('Hypothetical Summary'!D5="Y",T11/O30*100+P30,SUM(T11-O11)/O30*100+P30)</f>
        <v>24.987041940003813</v>
      </c>
      <c r="R30" s="164">
        <f>Q30/P30-1</f>
        <v>0</v>
      </c>
      <c r="S30" s="164"/>
      <c r="T30" s="164"/>
      <c r="U30" s="164"/>
      <c r="V30" s="359"/>
      <c r="AA30" s="414"/>
      <c r="AB30" s="417"/>
      <c r="AC30" s="417"/>
      <c r="AD30" s="417"/>
      <c r="AE30" s="417"/>
      <c r="AF30" s="417"/>
    </row>
    <row r="31" spans="2:32" ht="15.5">
      <c r="P31" s="5"/>
      <c r="Q31" s="5"/>
      <c r="R31" s="347"/>
      <c r="S31" s="347"/>
      <c r="T31" s="348"/>
      <c r="U31" s="347"/>
      <c r="V31" s="350"/>
      <c r="AA31" s="414"/>
      <c r="AB31" s="421"/>
      <c r="AC31" s="421"/>
      <c r="AD31" s="417"/>
      <c r="AE31" s="421"/>
      <c r="AF31" s="421"/>
    </row>
    <row r="32" spans="2:32" ht="15.5">
      <c r="P32" s="5"/>
      <c r="Q32" s="5"/>
      <c r="R32" s="347"/>
      <c r="S32" s="347"/>
      <c r="T32" s="348"/>
      <c r="U32" s="347"/>
      <c r="V32" s="359"/>
      <c r="AA32" s="416"/>
      <c r="AB32" s="417"/>
      <c r="AC32" s="417"/>
      <c r="AD32" s="418"/>
      <c r="AE32" s="417"/>
      <c r="AF32" s="417"/>
    </row>
    <row r="33" spans="2:32" ht="15.5">
      <c r="B33" s="342"/>
      <c r="C33" s="342"/>
      <c r="D33" s="5"/>
      <c r="E33" s="482"/>
      <c r="F33" s="482"/>
      <c r="G33" s="482"/>
      <c r="H33" s="63"/>
      <c r="I33" s="63"/>
      <c r="J33" s="63"/>
      <c r="K33" s="5"/>
      <c r="L33" s="5"/>
      <c r="M33" s="5"/>
      <c r="N33" s="5"/>
      <c r="O33" s="5"/>
      <c r="P33" s="5"/>
      <c r="Q33" s="5"/>
      <c r="R33" s="347"/>
      <c r="S33" s="347"/>
      <c r="T33" s="348"/>
      <c r="U33" s="347"/>
      <c r="V33" s="359"/>
      <c r="W33" s="359"/>
      <c r="X33" s="350"/>
      <c r="AA33" s="416"/>
      <c r="AB33" s="419"/>
      <c r="AC33" s="419"/>
      <c r="AD33" s="418"/>
      <c r="AE33" s="419"/>
      <c r="AF33" s="419"/>
    </row>
    <row r="34" spans="2:32" ht="15.5">
      <c r="B34" s="342"/>
      <c r="C34" s="342"/>
      <c r="D34" s="63"/>
      <c r="E34" s="6"/>
      <c r="F34" s="6"/>
      <c r="G34" s="6"/>
      <c r="H34" s="63"/>
      <c r="I34" s="63"/>
      <c r="J34" s="63"/>
      <c r="K34" s="5"/>
      <c r="L34" s="5"/>
      <c r="M34" s="5"/>
      <c r="N34" s="5"/>
      <c r="O34" s="5"/>
      <c r="P34" s="5"/>
      <c r="Q34" s="5"/>
      <c r="R34" s="347"/>
      <c r="S34" s="347"/>
      <c r="T34" s="348"/>
      <c r="U34" s="347"/>
      <c r="V34" s="350"/>
      <c r="W34" s="359"/>
      <c r="X34" s="350"/>
      <c r="AA34" s="416"/>
      <c r="AB34" s="419"/>
      <c r="AC34" s="419"/>
      <c r="AD34" s="418"/>
      <c r="AE34" s="422"/>
      <c r="AF34" s="422"/>
    </row>
    <row r="35" spans="2:32" ht="15.5">
      <c r="B35" s="342"/>
      <c r="C35" s="342"/>
      <c r="D35" s="5"/>
      <c r="E35" s="366"/>
      <c r="F35" s="367"/>
      <c r="G35" s="165"/>
      <c r="H35" s="63"/>
      <c r="I35" s="63"/>
      <c r="J35" s="63"/>
      <c r="K35" s="5"/>
      <c r="L35" s="5"/>
      <c r="M35" s="5"/>
      <c r="N35" s="5"/>
      <c r="O35" s="5"/>
      <c r="P35" s="5"/>
      <c r="Q35" s="5"/>
      <c r="R35" s="347"/>
      <c r="S35" s="347"/>
      <c r="T35" s="348"/>
      <c r="U35" s="348"/>
      <c r="V35" s="346"/>
      <c r="W35" s="359"/>
      <c r="X35" s="350"/>
    </row>
    <row r="36" spans="2:32" ht="15.5">
      <c r="D36" s="5"/>
      <c r="E36" s="366"/>
      <c r="F36" s="367"/>
      <c r="G36" s="165"/>
      <c r="H36" s="63"/>
      <c r="I36" s="63"/>
      <c r="J36" s="63"/>
      <c r="K36" s="5"/>
      <c r="L36" s="5"/>
      <c r="M36" s="5"/>
      <c r="N36" s="5"/>
      <c r="O36" s="5"/>
      <c r="P36" s="5"/>
      <c r="Q36" s="5"/>
      <c r="R36" s="347"/>
      <c r="S36" s="347"/>
      <c r="T36" s="348"/>
      <c r="U36" s="347"/>
      <c r="V36" s="350"/>
      <c r="W36" s="359"/>
      <c r="X36" s="359"/>
    </row>
    <row r="37" spans="2:32" ht="15.5">
      <c r="D37" s="5"/>
      <c r="E37" s="366"/>
      <c r="F37" s="367"/>
      <c r="G37" s="165"/>
      <c r="H37" s="63"/>
      <c r="I37" s="63"/>
      <c r="J37" s="63"/>
      <c r="K37" s="5"/>
      <c r="L37" s="5"/>
      <c r="M37" s="5"/>
      <c r="N37" s="5"/>
      <c r="O37" s="5"/>
      <c r="P37" s="5"/>
      <c r="Q37" s="5"/>
      <c r="R37" s="347"/>
      <c r="S37" s="347"/>
      <c r="T37" s="348"/>
      <c r="U37" s="348"/>
      <c r="V37" s="348"/>
      <c r="W37" s="359"/>
      <c r="X37" s="350"/>
    </row>
    <row r="38" spans="2:32" ht="15.5">
      <c r="D38" s="5"/>
      <c r="E38" s="366"/>
      <c r="F38" s="367"/>
      <c r="G38" s="165"/>
      <c r="H38" s="63"/>
      <c r="I38" s="63"/>
      <c r="J38" s="63"/>
      <c r="K38" s="5"/>
      <c r="L38" s="5"/>
      <c r="M38" s="5"/>
      <c r="N38" s="5"/>
      <c r="O38" s="5"/>
      <c r="P38" s="5"/>
      <c r="Q38" s="5"/>
      <c r="R38" s="347"/>
      <c r="S38" s="347"/>
      <c r="T38" s="454"/>
      <c r="U38" s="454"/>
      <c r="V38" s="348"/>
      <c r="W38" s="348"/>
      <c r="X38" s="348"/>
    </row>
    <row r="39" spans="2:32" ht="15.5">
      <c r="B39" s="342"/>
      <c r="C39" s="342"/>
      <c r="D39" s="5"/>
      <c r="E39" s="366"/>
      <c r="F39" s="367"/>
      <c r="G39" s="165"/>
      <c r="H39" s="63"/>
      <c r="I39" s="63"/>
      <c r="J39" s="63"/>
      <c r="K39" s="5"/>
      <c r="L39" s="5"/>
      <c r="M39" s="5"/>
      <c r="N39" s="5"/>
      <c r="O39" s="5"/>
      <c r="P39" s="5"/>
      <c r="Q39" s="5"/>
      <c r="R39" s="347"/>
      <c r="S39" s="347"/>
      <c r="T39" s="348"/>
      <c r="U39" s="347"/>
      <c r="V39" s="359"/>
      <c r="W39" s="359"/>
      <c r="X39" s="350"/>
    </row>
    <row r="40" spans="2:32" ht="15.5">
      <c r="B40" s="342"/>
      <c r="C40" s="342"/>
      <c r="D40" s="5"/>
      <c r="E40" s="366"/>
      <c r="F40" s="367"/>
      <c r="G40" s="165"/>
      <c r="H40" s="63"/>
      <c r="I40" s="63"/>
      <c r="J40" s="63"/>
      <c r="K40" s="5"/>
      <c r="L40" s="5"/>
      <c r="M40" s="5"/>
      <c r="N40" s="5"/>
      <c r="O40" s="5"/>
      <c r="P40" s="5"/>
      <c r="Q40" s="5"/>
      <c r="R40" s="347"/>
      <c r="S40" s="347"/>
      <c r="T40" s="348"/>
      <c r="U40" s="347"/>
      <c r="V40" s="359"/>
      <c r="W40" s="350"/>
      <c r="X40" s="350"/>
    </row>
    <row r="41" spans="2:32" ht="15.5">
      <c r="B41" s="342"/>
      <c r="C41" s="342"/>
      <c r="D41" s="5"/>
      <c r="E41" s="366"/>
      <c r="F41" s="367"/>
      <c r="G41" s="165"/>
      <c r="H41" s="63"/>
      <c r="I41" s="63"/>
      <c r="J41" s="63"/>
      <c r="K41" s="5"/>
      <c r="L41" s="5"/>
      <c r="M41" s="5"/>
      <c r="N41" s="5"/>
      <c r="O41" s="5"/>
      <c r="P41" s="5"/>
      <c r="Q41" s="5"/>
      <c r="R41" s="347"/>
      <c r="S41" s="347"/>
      <c r="T41" s="348"/>
      <c r="U41" s="347"/>
      <c r="V41" s="359"/>
      <c r="W41" s="359"/>
      <c r="X41" s="359"/>
    </row>
    <row r="42" spans="2:32" ht="15.5">
      <c r="B42" s="342"/>
      <c r="C42" s="342"/>
      <c r="D42" s="5"/>
      <c r="E42" s="63"/>
      <c r="F42" s="63"/>
      <c r="G42" s="63"/>
      <c r="H42" s="63"/>
      <c r="I42" s="63"/>
      <c r="J42" s="63"/>
      <c r="K42" s="5"/>
      <c r="L42" s="5"/>
      <c r="M42" s="5"/>
      <c r="N42" s="5"/>
      <c r="O42" s="5"/>
      <c r="P42" s="5"/>
      <c r="Q42" s="5"/>
      <c r="R42" s="347"/>
      <c r="S42" s="347"/>
      <c r="T42" s="348"/>
      <c r="U42" s="347"/>
      <c r="V42" s="359"/>
      <c r="W42" s="359"/>
      <c r="X42" s="350"/>
    </row>
    <row r="43" spans="2:32" ht="46.5">
      <c r="B43" s="342"/>
      <c r="C43" s="342"/>
      <c r="D43" s="5"/>
      <c r="E43" s="63"/>
      <c r="F43" s="63"/>
      <c r="G43" s="63"/>
      <c r="H43" s="63"/>
      <c r="I43" s="63"/>
      <c r="J43" s="63"/>
      <c r="K43" s="5"/>
      <c r="L43" s="5"/>
      <c r="M43" s="5"/>
      <c r="N43" s="5"/>
      <c r="O43" s="5"/>
      <c r="P43" s="5"/>
      <c r="Q43" s="5"/>
      <c r="R43" s="347"/>
      <c r="S43" s="347"/>
      <c r="T43" s="348"/>
      <c r="U43" s="347"/>
      <c r="V43" s="359"/>
      <c r="W43" s="350"/>
      <c r="X43" s="350"/>
      <c r="AA43" s="370"/>
      <c r="AB43" s="371" t="s">
        <v>539</v>
      </c>
      <c r="AC43" s="371" t="s">
        <v>540</v>
      </c>
      <c r="AD43" s="370"/>
      <c r="AE43" s="371" t="s">
        <v>541</v>
      </c>
      <c r="AF43" s="371" t="s">
        <v>542</v>
      </c>
    </row>
    <row r="44" spans="2:32" ht="15.5">
      <c r="B44" s="342"/>
      <c r="C44" s="342"/>
      <c r="D44" s="5"/>
      <c r="E44" s="63"/>
      <c r="F44" s="63"/>
      <c r="G44" s="63"/>
      <c r="H44" s="63"/>
      <c r="I44" s="63"/>
      <c r="J44" s="63"/>
      <c r="K44" s="5"/>
      <c r="L44" s="5"/>
      <c r="M44" s="5"/>
      <c r="N44" s="5"/>
      <c r="O44" s="5"/>
      <c r="P44" s="5"/>
      <c r="Q44" s="5"/>
      <c r="R44" s="347"/>
      <c r="S44" s="347"/>
      <c r="T44" s="348"/>
      <c r="U44" s="347"/>
      <c r="V44" s="359"/>
      <c r="W44" s="346"/>
      <c r="X44" s="346"/>
      <c r="AA44" s="372"/>
      <c r="AB44" s="373"/>
      <c r="AC44" s="373"/>
      <c r="AD44" s="374"/>
      <c r="AE44" s="373"/>
      <c r="AF44" s="373"/>
    </row>
    <row r="45" spans="2:32" ht="15.5">
      <c r="B45" s="342"/>
      <c r="C45" s="342"/>
      <c r="D45" s="5"/>
      <c r="E45" s="63"/>
      <c r="F45" s="63"/>
      <c r="G45" s="63"/>
      <c r="H45" s="63"/>
      <c r="I45" s="63"/>
      <c r="J45" s="63"/>
      <c r="K45" s="5"/>
      <c r="L45" s="5"/>
      <c r="M45" s="5"/>
      <c r="N45" s="5"/>
      <c r="O45" s="5"/>
      <c r="P45" s="5"/>
      <c r="Q45" s="5"/>
      <c r="R45" s="347"/>
      <c r="S45" s="347"/>
      <c r="T45" s="348"/>
      <c r="U45" s="348"/>
      <c r="V45" s="346"/>
      <c r="W45" s="350"/>
      <c r="X45" s="350"/>
      <c r="AA45" s="372" t="s">
        <v>19</v>
      </c>
      <c r="AB45" s="375">
        <v>35.876526998426449</v>
      </c>
      <c r="AC45" s="375">
        <v>38.03212457679512</v>
      </c>
      <c r="AD45" s="374" t="s">
        <v>19</v>
      </c>
      <c r="AE45" s="375">
        <v>28.129082432984287</v>
      </c>
      <c r="AF45" s="375">
        <v>30.517731644259605</v>
      </c>
    </row>
    <row r="46" spans="2:32" ht="15.5">
      <c r="B46" s="342"/>
      <c r="C46" s="342"/>
      <c r="D46" s="5"/>
      <c r="E46" s="63"/>
      <c r="F46" s="63"/>
      <c r="G46" s="63"/>
      <c r="H46" s="63"/>
      <c r="I46" s="63"/>
      <c r="J46" s="63"/>
      <c r="K46" s="5"/>
      <c r="L46" s="5"/>
      <c r="M46" s="5"/>
      <c r="N46" s="5"/>
      <c r="O46" s="5"/>
      <c r="P46" s="5"/>
      <c r="Q46" s="5"/>
      <c r="R46" s="347"/>
      <c r="S46" s="347"/>
      <c r="T46" s="348"/>
      <c r="U46" s="347"/>
      <c r="V46" s="359"/>
      <c r="W46" s="348"/>
      <c r="X46" s="348"/>
      <c r="AA46" s="372" t="s">
        <v>30</v>
      </c>
      <c r="AB46" s="375">
        <v>35.04098349229276</v>
      </c>
      <c r="AC46" s="375">
        <v>35.950335548978678</v>
      </c>
      <c r="AD46" s="374" t="s">
        <v>23</v>
      </c>
      <c r="AE46" s="375">
        <v>25.258006838675957</v>
      </c>
      <c r="AF46" s="375">
        <v>26.142767729506289</v>
      </c>
    </row>
    <row r="47" spans="2:32" ht="15.5">
      <c r="B47" s="342"/>
      <c r="C47" s="342"/>
      <c r="D47" s="5"/>
      <c r="E47" s="63"/>
      <c r="F47" s="63"/>
      <c r="G47" s="63"/>
      <c r="H47" s="63"/>
      <c r="I47" s="63"/>
      <c r="J47" s="63"/>
      <c r="K47" s="5"/>
      <c r="L47" s="5"/>
      <c r="M47" s="5"/>
      <c r="N47" s="5"/>
      <c r="O47" s="5"/>
      <c r="P47" s="5"/>
      <c r="Q47" s="5"/>
      <c r="R47" s="347"/>
      <c r="S47" s="347"/>
      <c r="T47" s="348"/>
      <c r="U47" s="348"/>
      <c r="V47" s="348"/>
      <c r="W47" s="348"/>
      <c r="X47" s="348"/>
      <c r="AA47" s="376"/>
      <c r="AB47" s="377"/>
      <c r="AC47" s="377"/>
      <c r="AD47" s="377"/>
      <c r="AE47" s="377"/>
      <c r="AF47" s="378"/>
    </row>
    <row r="48" spans="2:32" ht="46.5">
      <c r="B48" s="342"/>
      <c r="C48" s="342"/>
      <c r="D48" s="5"/>
      <c r="E48" s="63"/>
      <c r="F48" s="63"/>
      <c r="G48" s="63"/>
      <c r="H48" s="63"/>
      <c r="I48" s="63"/>
      <c r="J48" s="63"/>
      <c r="K48" s="5"/>
      <c r="L48" s="5"/>
      <c r="M48" s="5"/>
      <c r="N48" s="5"/>
      <c r="O48" s="5"/>
      <c r="P48" s="5"/>
      <c r="Q48" s="5"/>
      <c r="R48" s="347"/>
      <c r="S48" s="347"/>
      <c r="T48" s="454"/>
      <c r="U48" s="454"/>
      <c r="V48" s="348"/>
      <c r="W48" s="350"/>
      <c r="X48" s="350"/>
      <c r="AA48" s="370"/>
      <c r="AB48" s="379" t="str">
        <f>'SAR and RAR'!AB48</f>
        <v>9/1/25 Bundled
w/Credit</v>
      </c>
      <c r="AC48" s="379" t="str">
        <f>'SAR and RAR'!AC48</f>
        <v>9/1/25 Bundled
w/out Credit</v>
      </c>
      <c r="AD48" s="379"/>
      <c r="AE48" s="379" t="str">
        <f>'SAR and RAR'!AE48</f>
        <v>9/1/25 System
w/Credit</v>
      </c>
      <c r="AF48" s="379" t="str">
        <f>'SAR and RAR'!AF48</f>
        <v>9/1/25 System
w/out Credit</v>
      </c>
    </row>
    <row r="49" spans="2:32" ht="15.5">
      <c r="B49" s="342"/>
      <c r="C49" s="342"/>
      <c r="D49" s="5"/>
      <c r="E49" s="63"/>
      <c r="F49" s="63"/>
      <c r="G49" s="63"/>
      <c r="H49" s="63"/>
      <c r="I49" s="63"/>
      <c r="J49" s="63"/>
      <c r="K49" s="5"/>
      <c r="L49" s="5"/>
      <c r="M49" s="5"/>
      <c r="N49" s="5"/>
      <c r="O49" s="5"/>
      <c r="P49" s="5"/>
      <c r="Q49" s="5"/>
      <c r="R49" s="347"/>
      <c r="S49" s="347"/>
      <c r="T49" s="348"/>
      <c r="U49" s="347"/>
      <c r="V49" s="359"/>
      <c r="W49" s="350"/>
      <c r="X49" s="350"/>
      <c r="AA49" s="372"/>
      <c r="AB49" s="373"/>
      <c r="AC49" s="373"/>
      <c r="AD49" s="374"/>
      <c r="AE49" s="373"/>
      <c r="AF49" s="373"/>
    </row>
    <row r="50" spans="2:32" ht="15.5">
      <c r="B50" s="342"/>
      <c r="C50" s="342"/>
      <c r="D50" s="5"/>
      <c r="E50" s="63"/>
      <c r="F50" s="63"/>
      <c r="G50" s="63"/>
      <c r="H50" s="63"/>
      <c r="I50" s="63"/>
      <c r="J50" s="63"/>
      <c r="K50" s="5"/>
      <c r="L50" s="5"/>
      <c r="M50" s="5"/>
      <c r="N50" s="5"/>
      <c r="O50" s="5"/>
      <c r="P50" s="5"/>
      <c r="Q50" s="5"/>
      <c r="R50" s="347"/>
      <c r="S50" s="347"/>
      <c r="T50" s="348"/>
      <c r="U50" s="347"/>
      <c r="V50" s="359"/>
      <c r="W50" s="350"/>
      <c r="X50" s="350"/>
      <c r="AA50" s="372" t="s">
        <v>19</v>
      </c>
      <c r="AB50" s="375">
        <f>'SAR and RAR'!AB50</f>
        <v>35.656709684711373</v>
      </c>
      <c r="AC50" s="375">
        <f>'SAR and RAR'!AC50</f>
        <v>37.812307263080044</v>
      </c>
      <c r="AD50" s="374" t="s">
        <v>19</v>
      </c>
      <c r="AE50" s="375">
        <f>'SAR and RAR'!AE50</f>
        <v>27.886265438798862</v>
      </c>
      <c r="AF50" s="375">
        <f>'SAR and RAR'!AF50</f>
        <v>30.27491465007418</v>
      </c>
    </row>
    <row r="51" spans="2:32" ht="15.5">
      <c r="B51" s="342"/>
      <c r="C51" s="342"/>
      <c r="D51" s="5"/>
      <c r="E51" s="63"/>
      <c r="F51" s="63"/>
      <c r="G51" s="63"/>
      <c r="H51" s="63"/>
      <c r="I51" s="63"/>
      <c r="J51" s="63"/>
      <c r="K51" s="5"/>
      <c r="L51" s="5"/>
      <c r="M51" s="5"/>
      <c r="N51" s="5"/>
      <c r="O51" s="5"/>
      <c r="P51" s="5"/>
      <c r="Q51" s="5"/>
      <c r="R51" s="347"/>
      <c r="S51" s="347"/>
      <c r="T51" s="348"/>
      <c r="U51" s="348"/>
      <c r="V51" s="346"/>
      <c r="W51" s="359"/>
      <c r="X51" s="350"/>
      <c r="AA51" s="372" t="s">
        <v>30</v>
      </c>
      <c r="AB51" s="375">
        <f>'SAR and RAR'!AB51</f>
        <v>34.778170423848316</v>
      </c>
      <c r="AC51" s="375">
        <f>'SAR and RAR'!AC51</f>
        <v>35.687522480534234</v>
      </c>
      <c r="AD51" s="374" t="s">
        <v>23</v>
      </c>
      <c r="AE51" s="382">
        <f>'SAR and RAR'!AE51</f>
        <v>24.987041940003813</v>
      </c>
      <c r="AF51" s="382">
        <f>'SAR and RAR'!AF51</f>
        <v>25.871802830834145</v>
      </c>
    </row>
    <row r="52" spans="2:32" ht="15.5">
      <c r="B52" s="342"/>
      <c r="C52" s="342"/>
      <c r="D52" s="5"/>
      <c r="E52" s="63"/>
      <c r="F52" s="63"/>
      <c r="G52" s="63"/>
      <c r="H52" s="63"/>
      <c r="I52" s="63"/>
      <c r="J52" s="63"/>
      <c r="K52" s="5"/>
      <c r="L52" s="5"/>
      <c r="M52" s="5"/>
      <c r="N52" s="5"/>
      <c r="O52" s="5"/>
      <c r="P52" s="5"/>
      <c r="Q52" s="5"/>
      <c r="R52" s="347"/>
      <c r="S52" s="347"/>
      <c r="T52" s="348"/>
      <c r="U52" s="347"/>
      <c r="V52" s="359"/>
      <c r="W52" s="359"/>
      <c r="X52" s="350"/>
    </row>
    <row r="53" spans="2:32" ht="15.5">
      <c r="B53" s="342"/>
      <c r="C53" s="342"/>
      <c r="D53" s="5"/>
      <c r="E53" s="63"/>
      <c r="F53" s="63"/>
      <c r="G53" s="63"/>
      <c r="H53" s="63"/>
      <c r="I53" s="63"/>
      <c r="J53" s="63"/>
      <c r="K53" s="5"/>
      <c r="L53" s="5"/>
      <c r="M53" s="5"/>
      <c r="N53" s="5"/>
      <c r="O53" s="5"/>
      <c r="P53" s="5"/>
      <c r="Q53" s="5"/>
      <c r="R53" s="347"/>
      <c r="S53" s="347"/>
      <c r="T53" s="348"/>
      <c r="U53" s="348"/>
      <c r="V53" s="348"/>
      <c r="W53" s="350"/>
      <c r="X53" s="350"/>
    </row>
    <row r="54" spans="2:32" ht="15.5">
      <c r="B54" s="342"/>
      <c r="C54" s="342"/>
      <c r="D54" s="5"/>
      <c r="E54" s="63"/>
      <c r="F54" s="63"/>
      <c r="G54" s="63"/>
      <c r="H54" s="63"/>
      <c r="I54" s="63"/>
      <c r="J54" s="63"/>
      <c r="K54" s="5"/>
      <c r="L54" s="5"/>
      <c r="M54" s="5"/>
      <c r="N54" s="5"/>
      <c r="O54" s="5"/>
      <c r="P54" s="5"/>
      <c r="Q54" s="5"/>
      <c r="R54" s="347"/>
      <c r="S54" s="347"/>
      <c r="T54" s="454"/>
      <c r="U54" s="454"/>
      <c r="V54" s="348"/>
      <c r="W54" s="346"/>
      <c r="X54" s="346"/>
    </row>
    <row r="55" spans="2:32" ht="15.5">
      <c r="B55" s="5"/>
      <c r="C55" s="5"/>
      <c r="D55" s="5"/>
      <c r="E55" s="63"/>
      <c r="F55" s="63"/>
      <c r="G55" s="63"/>
      <c r="H55" s="63"/>
      <c r="I55" s="63"/>
      <c r="J55" s="63"/>
      <c r="K55" s="5"/>
      <c r="L55" s="5"/>
      <c r="M55" s="5"/>
      <c r="N55" s="5"/>
      <c r="O55" s="5"/>
      <c r="P55" s="5"/>
      <c r="Q55" s="5"/>
      <c r="R55" s="347"/>
      <c r="S55" s="347"/>
      <c r="T55" s="348"/>
      <c r="U55" s="347"/>
      <c r="V55" s="359"/>
      <c r="W55" s="350"/>
      <c r="X55" s="350"/>
    </row>
    <row r="56" spans="2:32" ht="15.5">
      <c r="B56" s="5"/>
      <c r="C56" s="5"/>
      <c r="D56" s="5"/>
      <c r="E56" s="63"/>
      <c r="F56" s="63"/>
      <c r="G56" s="63"/>
      <c r="H56" s="63"/>
      <c r="I56" s="63"/>
      <c r="J56" s="63"/>
      <c r="K56" s="5"/>
      <c r="L56" s="5"/>
      <c r="M56" s="5"/>
      <c r="N56" s="5"/>
      <c r="O56" s="5"/>
      <c r="P56" s="5"/>
      <c r="Q56" s="5"/>
      <c r="R56" s="347"/>
      <c r="S56" s="347"/>
      <c r="T56" s="348"/>
      <c r="U56" s="347"/>
      <c r="V56" s="359"/>
      <c r="W56" s="348"/>
      <c r="X56" s="348"/>
    </row>
    <row r="57" spans="2:32" ht="15.5">
      <c r="B57" s="5"/>
      <c r="C57" s="5"/>
      <c r="D57" s="5"/>
      <c r="E57" s="63"/>
      <c r="F57" s="63"/>
      <c r="G57" s="63"/>
      <c r="H57" s="63"/>
      <c r="I57" s="63"/>
      <c r="J57" s="63"/>
      <c r="K57" s="5"/>
      <c r="L57" s="5"/>
      <c r="M57" s="5"/>
      <c r="N57" s="5"/>
      <c r="O57" s="5"/>
      <c r="P57" s="5"/>
      <c r="Q57" s="5"/>
      <c r="R57" s="347"/>
      <c r="S57" s="347"/>
      <c r="T57" s="348"/>
      <c r="U57" s="347"/>
      <c r="V57" s="350"/>
      <c r="W57" s="348"/>
      <c r="X57" s="348"/>
    </row>
    <row r="58" spans="2:32" ht="15.5">
      <c r="B58" s="5"/>
      <c r="C58" s="5"/>
      <c r="D58" s="5"/>
      <c r="E58" s="63"/>
      <c r="F58" s="63"/>
      <c r="G58" s="63"/>
      <c r="H58" s="63"/>
      <c r="I58" s="63"/>
      <c r="J58" s="63"/>
      <c r="K58" s="5"/>
      <c r="L58" s="5"/>
      <c r="M58" s="5"/>
      <c r="N58" s="5"/>
      <c r="O58" s="5"/>
      <c r="P58" s="5"/>
      <c r="Q58" s="5"/>
      <c r="R58" s="347"/>
      <c r="S58" s="347"/>
      <c r="T58" s="348"/>
      <c r="U58" s="347"/>
      <c r="V58" s="359"/>
      <c r="W58" s="359"/>
      <c r="X58" s="350"/>
    </row>
    <row r="59" spans="2:32" ht="15.5">
      <c r="B59" s="5"/>
      <c r="C59" s="5"/>
      <c r="D59" s="5"/>
      <c r="E59" s="63"/>
      <c r="F59" s="63"/>
      <c r="G59" s="63"/>
      <c r="H59" s="63"/>
      <c r="I59" s="63"/>
      <c r="J59" s="63"/>
      <c r="K59" s="5"/>
      <c r="L59" s="5"/>
      <c r="M59" s="5"/>
      <c r="N59" s="5"/>
      <c r="O59" s="5"/>
      <c r="P59" s="5"/>
      <c r="Q59" s="5"/>
      <c r="R59" s="347"/>
      <c r="S59" s="347"/>
      <c r="T59" s="348"/>
      <c r="U59" s="347"/>
      <c r="V59" s="359"/>
      <c r="W59" s="359"/>
      <c r="X59" s="350"/>
    </row>
    <row r="60" spans="2:32" ht="15.5">
      <c r="B60" s="5"/>
      <c r="C60" s="5"/>
      <c r="D60" s="5"/>
      <c r="E60" s="63"/>
      <c r="F60" s="63"/>
      <c r="G60" s="63"/>
      <c r="H60" s="63"/>
      <c r="I60" s="63"/>
      <c r="J60" s="63"/>
      <c r="K60" s="5"/>
      <c r="L60" s="5"/>
      <c r="M60" s="5"/>
      <c r="N60" s="5"/>
      <c r="O60" s="5"/>
      <c r="P60" s="5"/>
      <c r="Q60" s="5"/>
      <c r="R60" s="347"/>
      <c r="S60" s="347"/>
      <c r="T60" s="348"/>
      <c r="U60" s="348"/>
      <c r="V60" s="346"/>
      <c r="W60" s="346"/>
      <c r="X60" s="346"/>
    </row>
    <row r="61" spans="2:32" ht="15.5">
      <c r="B61" s="5"/>
      <c r="C61" s="5"/>
      <c r="D61" s="5"/>
      <c r="E61" s="63"/>
      <c r="F61" s="63"/>
      <c r="G61" s="63"/>
      <c r="H61" s="63"/>
      <c r="I61" s="63"/>
      <c r="J61" s="63"/>
      <c r="K61" s="5"/>
      <c r="L61" s="5"/>
      <c r="M61" s="5"/>
      <c r="N61" s="5"/>
      <c r="O61" s="5"/>
      <c r="P61" s="5"/>
      <c r="Q61" s="5"/>
      <c r="R61" s="347"/>
      <c r="S61" s="347"/>
      <c r="T61" s="348"/>
      <c r="U61" s="347"/>
      <c r="V61" s="350"/>
      <c r="W61" s="359"/>
      <c r="X61" s="350"/>
    </row>
    <row r="62" spans="2:32" ht="15.5">
      <c r="B62" s="5"/>
      <c r="C62" s="5"/>
      <c r="D62" s="5"/>
      <c r="E62" s="63"/>
      <c r="F62" s="63"/>
      <c r="G62" s="63"/>
      <c r="H62" s="63"/>
      <c r="I62" s="63"/>
      <c r="J62" s="63"/>
      <c r="K62" s="5"/>
      <c r="L62" s="5"/>
      <c r="M62" s="5"/>
      <c r="N62" s="5"/>
      <c r="O62" s="5"/>
      <c r="P62" s="5"/>
      <c r="Q62" s="5"/>
      <c r="R62" s="347"/>
      <c r="S62" s="347"/>
      <c r="T62" s="348"/>
      <c r="U62" s="348"/>
      <c r="V62" s="348"/>
      <c r="W62" s="348"/>
      <c r="X62" s="348"/>
    </row>
    <row r="63" spans="2:32" ht="15.5">
      <c r="B63" s="5"/>
      <c r="C63" s="5"/>
      <c r="D63" s="5"/>
      <c r="E63" s="63"/>
      <c r="F63" s="63"/>
      <c r="G63" s="63"/>
      <c r="H63" s="63"/>
      <c r="I63" s="63"/>
      <c r="J63" s="63"/>
      <c r="K63" s="5"/>
      <c r="L63" s="5"/>
      <c r="M63" s="5"/>
      <c r="N63" s="5"/>
      <c r="O63" s="5"/>
      <c r="P63" s="5"/>
      <c r="Q63" s="5"/>
      <c r="R63" s="347"/>
      <c r="S63" s="347"/>
      <c r="T63" s="348"/>
      <c r="U63" s="348"/>
      <c r="V63" s="348"/>
      <c r="W63" s="348"/>
      <c r="X63" s="348"/>
    </row>
    <row r="64" spans="2:32" ht="15.5">
      <c r="B64" s="5"/>
      <c r="C64" s="5"/>
      <c r="D64" s="5"/>
      <c r="E64" s="63"/>
      <c r="F64" s="63"/>
      <c r="G64" s="63"/>
      <c r="H64" s="63"/>
      <c r="I64" s="63"/>
      <c r="J64" s="63"/>
      <c r="K64" s="5"/>
      <c r="L64" s="5"/>
      <c r="M64" s="5"/>
      <c r="N64" s="5"/>
      <c r="O64" s="5"/>
      <c r="P64" s="5"/>
      <c r="Q64" s="5"/>
      <c r="R64" s="347"/>
      <c r="S64" s="347"/>
      <c r="T64" s="348"/>
      <c r="U64" s="347"/>
      <c r="V64" s="350"/>
      <c r="W64" s="359"/>
      <c r="X64" s="350"/>
    </row>
    <row r="65" spans="2:24" ht="15.5">
      <c r="B65" s="5"/>
      <c r="C65" s="5"/>
      <c r="D65" s="5"/>
      <c r="E65" s="63"/>
      <c r="F65" s="63"/>
      <c r="G65" s="63"/>
      <c r="H65" s="63"/>
      <c r="I65" s="63"/>
      <c r="J65" s="63"/>
      <c r="K65" s="5"/>
      <c r="L65" s="5"/>
      <c r="M65" s="5"/>
      <c r="N65" s="5"/>
      <c r="O65" s="5"/>
      <c r="P65" s="5"/>
      <c r="Q65" s="5"/>
      <c r="R65" s="347"/>
      <c r="S65" s="347"/>
      <c r="T65" s="348"/>
      <c r="U65" s="348"/>
      <c r="V65" s="346"/>
      <c r="W65" s="359"/>
      <c r="X65" s="350"/>
    </row>
    <row r="66" spans="2:24" ht="15.5">
      <c r="B66" s="5"/>
      <c r="C66" s="5"/>
      <c r="D66" s="5"/>
      <c r="E66" s="63"/>
      <c r="F66" s="63"/>
      <c r="G66" s="63"/>
      <c r="H66" s="63"/>
      <c r="I66" s="63"/>
      <c r="J66" s="63"/>
      <c r="K66" s="5"/>
      <c r="L66" s="5"/>
      <c r="M66" s="5"/>
      <c r="N66" s="5"/>
      <c r="O66" s="5"/>
      <c r="P66" s="5"/>
      <c r="Q66" s="5"/>
      <c r="R66" s="347"/>
      <c r="S66" s="347"/>
      <c r="T66" s="454"/>
      <c r="U66" s="454"/>
      <c r="V66" s="348"/>
      <c r="W66" s="359"/>
      <c r="X66" s="350"/>
    </row>
    <row r="67" spans="2:24" ht="15.5">
      <c r="B67" s="5"/>
      <c r="C67" s="5"/>
      <c r="D67" s="5"/>
      <c r="E67" s="63"/>
      <c r="F67" s="63"/>
      <c r="G67" s="63"/>
      <c r="H67" s="63"/>
      <c r="I67" s="63"/>
      <c r="J67" s="63"/>
      <c r="K67" s="5"/>
      <c r="L67" s="5"/>
      <c r="M67" s="5"/>
      <c r="N67" s="5"/>
      <c r="O67" s="5"/>
      <c r="P67" s="5"/>
      <c r="Q67" s="5"/>
      <c r="R67" s="347"/>
      <c r="S67" s="347"/>
      <c r="T67" s="348"/>
      <c r="U67" s="348"/>
      <c r="V67" s="348"/>
      <c r="W67" s="359"/>
      <c r="X67" s="359"/>
    </row>
    <row r="68" spans="2:24" ht="15.5">
      <c r="B68" s="5"/>
      <c r="C68" s="5"/>
      <c r="D68" s="5"/>
      <c r="E68" s="63"/>
      <c r="F68" s="63"/>
      <c r="G68" s="63"/>
      <c r="H68" s="63"/>
      <c r="I68" s="63"/>
      <c r="J68" s="63"/>
      <c r="K68" s="5"/>
      <c r="L68" s="5"/>
      <c r="M68" s="5"/>
      <c r="N68" s="5"/>
      <c r="O68" s="5"/>
      <c r="P68" s="5"/>
      <c r="Q68" s="5"/>
      <c r="R68" s="347"/>
      <c r="S68" s="347"/>
      <c r="T68" s="348"/>
      <c r="U68" s="347"/>
      <c r="V68" s="348"/>
      <c r="W68" s="359"/>
      <c r="X68" s="359"/>
    </row>
    <row r="69" spans="2:24" ht="15.5">
      <c r="B69" s="5"/>
      <c r="C69" s="5"/>
      <c r="D69" s="5"/>
      <c r="E69" s="63"/>
      <c r="F69" s="63"/>
      <c r="G69" s="63"/>
      <c r="H69" s="63"/>
      <c r="I69" s="63"/>
      <c r="J69" s="63"/>
      <c r="K69" s="5"/>
      <c r="L69" s="5"/>
      <c r="M69" s="5"/>
      <c r="N69" s="5"/>
      <c r="O69" s="5"/>
      <c r="P69" s="5"/>
      <c r="Q69" s="5"/>
      <c r="R69" s="347"/>
      <c r="S69" s="347"/>
      <c r="T69" s="348"/>
      <c r="U69" s="348"/>
      <c r="V69" s="346"/>
      <c r="W69" s="346"/>
      <c r="X69" s="346"/>
    </row>
    <row r="70" spans="2:24" ht="15.5">
      <c r="B70" s="5"/>
      <c r="C70" s="5"/>
      <c r="D70" s="5"/>
      <c r="E70" s="63"/>
      <c r="F70" s="63"/>
      <c r="G70" s="63"/>
      <c r="H70" s="63"/>
      <c r="I70" s="63"/>
      <c r="J70" s="63"/>
      <c r="K70" s="5"/>
      <c r="L70" s="5"/>
      <c r="M70" s="5"/>
      <c r="N70" s="5"/>
      <c r="O70" s="5"/>
      <c r="P70" s="5"/>
      <c r="Q70" s="5"/>
      <c r="R70" s="347"/>
      <c r="S70" s="347"/>
      <c r="T70" s="348"/>
      <c r="U70" s="347"/>
      <c r="V70" s="348"/>
      <c r="W70" s="359"/>
      <c r="X70" s="350"/>
    </row>
    <row r="71" spans="2:24" ht="15.5">
      <c r="B71" s="5"/>
      <c r="C71" s="5"/>
      <c r="D71" s="5"/>
      <c r="E71" s="63"/>
      <c r="F71" s="63"/>
      <c r="G71" s="63"/>
      <c r="H71" s="63"/>
      <c r="I71" s="63"/>
      <c r="J71" s="63"/>
      <c r="K71" s="5"/>
      <c r="L71" s="5"/>
      <c r="M71" s="5"/>
      <c r="N71" s="5"/>
      <c r="O71" s="5"/>
      <c r="P71" s="5"/>
      <c r="Q71" s="5"/>
      <c r="R71" s="347"/>
      <c r="S71" s="347"/>
      <c r="T71" s="348"/>
      <c r="U71" s="348"/>
      <c r="V71" s="348"/>
      <c r="W71" s="348"/>
      <c r="X71" s="348"/>
    </row>
    <row r="72" spans="2:24" ht="15.5">
      <c r="B72" s="5"/>
      <c r="C72" s="5"/>
      <c r="D72" s="5"/>
      <c r="E72" s="63"/>
      <c r="F72" s="63"/>
      <c r="G72" s="63"/>
      <c r="H72" s="63"/>
      <c r="I72" s="63"/>
      <c r="J72" s="63"/>
      <c r="K72" s="5"/>
      <c r="L72" s="5"/>
      <c r="M72" s="5"/>
      <c r="N72" s="5"/>
      <c r="O72" s="5"/>
      <c r="P72" s="5"/>
      <c r="Q72" s="5"/>
      <c r="R72" s="347"/>
      <c r="S72" s="347"/>
      <c r="T72" s="348"/>
      <c r="U72" s="348"/>
      <c r="V72" s="346"/>
      <c r="W72" s="348"/>
      <c r="X72" s="348"/>
    </row>
    <row r="73" spans="2:24" ht="15.5">
      <c r="B73" s="5"/>
      <c r="C73" s="5"/>
      <c r="D73" s="5"/>
      <c r="E73" s="63"/>
      <c r="F73" s="63"/>
      <c r="G73" s="63"/>
      <c r="H73" s="63"/>
      <c r="I73" s="63"/>
      <c r="J73" s="63"/>
      <c r="K73" s="5"/>
      <c r="L73" s="5"/>
      <c r="M73" s="5"/>
      <c r="N73" s="5"/>
      <c r="O73" s="5"/>
      <c r="P73" s="5"/>
      <c r="Q73" s="5"/>
      <c r="R73" s="347"/>
      <c r="S73" s="347"/>
      <c r="T73" s="454"/>
      <c r="U73" s="454"/>
      <c r="V73" s="350"/>
      <c r="W73" s="350"/>
      <c r="X73" s="350"/>
    </row>
    <row r="74" spans="2:24" ht="15.5">
      <c r="B74" s="5"/>
      <c r="C74" s="5"/>
      <c r="D74" s="5"/>
      <c r="E74" s="63"/>
      <c r="F74" s="63"/>
      <c r="G74" s="63"/>
      <c r="H74" s="63"/>
      <c r="I74" s="63"/>
      <c r="J74" s="63"/>
      <c r="K74" s="5"/>
      <c r="L74" s="5"/>
      <c r="M74" s="5"/>
      <c r="N74" s="5"/>
      <c r="O74" s="5"/>
      <c r="P74" s="5"/>
      <c r="Q74" s="5"/>
      <c r="R74" s="5"/>
      <c r="S74" s="5"/>
      <c r="T74" s="5"/>
      <c r="U74" s="5"/>
      <c r="V74" s="5"/>
      <c r="W74" s="346"/>
      <c r="X74" s="346"/>
    </row>
    <row r="75" spans="2:24" ht="15.5">
      <c r="B75" s="5"/>
      <c r="C75" s="5"/>
      <c r="W75" s="348"/>
      <c r="X75" s="348"/>
    </row>
    <row r="76" spans="2:24" ht="15.5">
      <c r="B76" s="5"/>
      <c r="C76" s="5"/>
      <c r="W76" s="348"/>
      <c r="X76" s="348"/>
    </row>
    <row r="77" spans="2:24" ht="15.5">
      <c r="B77" s="5"/>
      <c r="C77" s="5"/>
      <c r="W77" s="348"/>
      <c r="X77" s="348"/>
    </row>
    <row r="78" spans="2:24" ht="15.5">
      <c r="B78" s="5"/>
      <c r="C78" s="5"/>
      <c r="W78" s="346"/>
      <c r="X78" s="346"/>
    </row>
    <row r="79" spans="2:24" ht="15.5">
      <c r="B79" s="5"/>
      <c r="C79" s="5"/>
      <c r="W79" s="348"/>
      <c r="X79" s="348"/>
    </row>
    <row r="80" spans="2:24" ht="15.5">
      <c r="B80" s="5"/>
      <c r="C80" s="5"/>
      <c r="W80" s="348"/>
      <c r="X80" s="348"/>
    </row>
    <row r="81" spans="2:24" ht="15.5">
      <c r="B81" s="5"/>
      <c r="C81" s="5"/>
      <c r="W81" s="346"/>
      <c r="X81" s="346"/>
    </row>
    <row r="82" spans="2:24" ht="15.5">
      <c r="B82" s="5"/>
      <c r="C82" s="5"/>
      <c r="W82" s="350"/>
      <c r="X82" s="350"/>
    </row>
    <row r="83" spans="2:24" ht="15.5">
      <c r="B83" s="5"/>
      <c r="C83" s="5"/>
      <c r="W83" s="5"/>
      <c r="X83" s="5"/>
    </row>
  </sheetData>
  <mergeCells count="14">
    <mergeCell ref="T73:U73"/>
    <mergeCell ref="E33:G33"/>
    <mergeCell ref="T38:U38"/>
    <mergeCell ref="T48:U48"/>
    <mergeCell ref="T54:U54"/>
    <mergeCell ref="T66:U66"/>
    <mergeCell ref="B1:W1"/>
    <mergeCell ref="F4:O4"/>
    <mergeCell ref="F8:Q8"/>
    <mergeCell ref="T16:U16"/>
    <mergeCell ref="E27:H27"/>
    <mergeCell ref="O27:R27"/>
    <mergeCell ref="F18:P18"/>
    <mergeCell ref="T18:U18"/>
  </mergeCells>
  <pageMargins left="0.7" right="0.7" top="0.75" bottom="0.75" header="0.3" footer="0.3"/>
  <pageSetup orientation="portrait" r:id="rId1"/>
  <headerFooter>
    <oddFooter>&amp;C&amp;1#&amp;"Calibri"&amp;10&amp;K000000Internal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8C8AF-B96E-4B42-B266-DD578E366D3B}">
  <sheetPr codeName="Sheet8">
    <tabColor rgb="FF92D050"/>
    <pageSetUpPr autoPageBreaks="0"/>
  </sheetPr>
  <dimension ref="A1:AD126"/>
  <sheetViews>
    <sheetView topLeftCell="A66" workbookViewId="0"/>
  </sheetViews>
  <sheetFormatPr defaultColWidth="8.81640625" defaultRowHeight="14.5"/>
  <cols>
    <col min="1" max="1" width="7.453125" style="39" customWidth="1"/>
    <col min="2" max="2" width="14.453125" style="39" customWidth="1"/>
    <col min="3" max="4" width="13" style="39" customWidth="1"/>
    <col min="5" max="5" width="14.54296875" style="39" customWidth="1"/>
    <col min="6" max="6" width="13.54296875" style="39" customWidth="1"/>
    <col min="7" max="7" width="15" style="39" bestFit="1" customWidth="1"/>
    <col min="8" max="8" width="14.1796875" style="39" customWidth="1"/>
    <col min="9" max="9" width="15" style="39" customWidth="1"/>
    <col min="10" max="10" width="14" style="39" customWidth="1"/>
    <col min="11" max="11" width="15" style="39" bestFit="1" customWidth="1"/>
    <col min="12" max="12" width="13" style="39" customWidth="1"/>
    <col min="13" max="14" width="14.1796875" style="39" customWidth="1"/>
    <col min="15" max="15" width="14.54296875" style="39" customWidth="1"/>
    <col min="16" max="16" width="25.81640625" style="39" customWidth="1"/>
    <col min="17" max="17" width="13" style="39" customWidth="1"/>
    <col min="18" max="18" width="15" style="39" bestFit="1" customWidth="1"/>
    <col min="19" max="19" width="13" style="39" customWidth="1"/>
    <col min="20" max="20" width="15.54296875" style="39" customWidth="1"/>
    <col min="21" max="21" width="16.54296875" style="39" customWidth="1"/>
    <col min="22" max="23" width="14" style="39" customWidth="1"/>
    <col min="24" max="24" width="29.1796875" style="39" bestFit="1" customWidth="1"/>
    <col min="25" max="25" width="15.7265625" style="39" bestFit="1" customWidth="1"/>
    <col min="26" max="26" width="12.81640625" style="39" customWidth="1"/>
    <col min="27" max="28" width="8.81640625" style="39"/>
    <col min="29" max="29" width="12.453125" style="39" customWidth="1"/>
    <col min="30" max="16384" width="8.81640625" style="39"/>
  </cols>
  <sheetData>
    <row r="1" spans="1:25">
      <c r="A1" s="30"/>
      <c r="B1" s="30"/>
      <c r="C1" s="30"/>
      <c r="D1" s="30"/>
      <c r="E1" s="30"/>
      <c r="F1" s="30"/>
      <c r="G1" s="30"/>
      <c r="H1" s="30"/>
      <c r="I1" s="30"/>
    </row>
    <row r="2" spans="1:25">
      <c r="A2" s="17"/>
      <c r="B2" s="473"/>
      <c r="C2" s="473"/>
      <c r="D2" s="473"/>
      <c r="F2" s="17"/>
    </row>
    <row r="3" spans="1:25">
      <c r="E3" s="474" t="s">
        <v>64</v>
      </c>
      <c r="F3" s="474"/>
      <c r="G3" s="474"/>
      <c r="H3" s="474"/>
      <c r="I3" s="474"/>
      <c r="M3" s="65"/>
      <c r="N3" s="65"/>
      <c r="O3" s="65"/>
      <c r="P3" s="474" t="s">
        <v>65</v>
      </c>
      <c r="Q3" s="474"/>
      <c r="R3" s="474"/>
      <c r="S3" s="474"/>
      <c r="T3" s="474"/>
    </row>
    <row r="4" spans="1:25" ht="15.75" customHeight="1">
      <c r="D4" s="5"/>
      <c r="E4" s="97">
        <f>'Hypothetical Summary'!$L$4</f>
        <v>2025</v>
      </c>
      <c r="F4" s="94">
        <f>'Hypothetical Summary'!$L$3</f>
        <v>45901</v>
      </c>
      <c r="G4" s="94">
        <f>'Hypothetical Summary'!$L$3</f>
        <v>45901</v>
      </c>
      <c r="H4" s="14" t="s">
        <v>21</v>
      </c>
      <c r="I4" s="14" t="s">
        <v>21</v>
      </c>
      <c r="L4" s="63"/>
      <c r="O4" s="5"/>
      <c r="P4" s="97">
        <f>'Hypothetical Summary'!$L$4</f>
        <v>2025</v>
      </c>
      <c r="Q4" s="94">
        <f>'Hypothetical Summary'!$L$3</f>
        <v>45901</v>
      </c>
      <c r="R4" s="94">
        <f>'Hypothetical Summary'!$L$3</f>
        <v>45901</v>
      </c>
      <c r="S4" s="156" t="s">
        <v>21</v>
      </c>
      <c r="T4" s="14" t="s">
        <v>21</v>
      </c>
    </row>
    <row r="5" spans="1:25" ht="30.65" customHeight="1">
      <c r="D5" s="5"/>
      <c r="E5" s="14" t="s">
        <v>41</v>
      </c>
      <c r="F5" s="14" t="s">
        <v>26</v>
      </c>
      <c r="G5" s="14" t="s">
        <v>42</v>
      </c>
      <c r="H5" s="14" t="s">
        <v>192</v>
      </c>
      <c r="I5" s="14" t="s">
        <v>42</v>
      </c>
      <c r="L5" s="6"/>
      <c r="M5" s="74"/>
      <c r="N5" s="74"/>
      <c r="O5" s="6"/>
      <c r="P5" s="14" t="s">
        <v>41</v>
      </c>
      <c r="Q5" s="14" t="s">
        <v>26</v>
      </c>
      <c r="R5" s="14" t="s">
        <v>42</v>
      </c>
      <c r="S5" s="14" t="s">
        <v>192</v>
      </c>
      <c r="T5" s="14" t="s">
        <v>42</v>
      </c>
      <c r="U5" s="14"/>
      <c r="V5" s="14"/>
    </row>
    <row r="6" spans="1:25" ht="42" customHeight="1">
      <c r="B6" s="7"/>
      <c r="D6" s="7"/>
      <c r="E6" s="5"/>
      <c r="F6" s="5"/>
      <c r="G6" s="5"/>
      <c r="J6" s="63"/>
      <c r="K6" s="63"/>
      <c r="L6" s="63"/>
      <c r="O6" s="7"/>
      <c r="P6" s="5"/>
      <c r="Q6" s="5"/>
      <c r="R6" s="5"/>
      <c r="U6" s="63"/>
      <c r="V6" s="63"/>
    </row>
    <row r="7" spans="1:25" ht="15.5">
      <c r="D7" s="8" t="s">
        <v>43</v>
      </c>
      <c r="E7" s="101">
        <f>'Res Bill Impact'!Y39</f>
        <v>1539742611.5980248</v>
      </c>
      <c r="F7" s="9">
        <v>0.39834321767662773</v>
      </c>
      <c r="G7" s="168">
        <f t="shared" ref="G7:G12" si="0">F7*E7</f>
        <v>613346026.29777122</v>
      </c>
      <c r="H7" s="15">
        <f>(Y10/SUM(SUM(E7:E8),F9/F7*SUM(E9:E10),F11/F7*SUM(E11:E12),SUM(P7:P8)*(1+(Q7/F7-1)),SUM(P9:P10)*(1+(Q9/F9-1))*F9/F7,SUM(P11:P12)*(1+(Q11/F11-1))*F11/F7))</f>
        <v>0.39834321767662773</v>
      </c>
      <c r="I7" s="168">
        <f t="shared" ref="I7:I12" si="1">E7*H7</f>
        <v>613346026.29777122</v>
      </c>
      <c r="J7" s="15"/>
      <c r="K7" s="168"/>
      <c r="L7" s="11"/>
      <c r="O7" s="8" t="s">
        <v>43</v>
      </c>
      <c r="P7" s="101">
        <f>'Res Bill Impact'!Y50</f>
        <v>917088578.44337201</v>
      </c>
      <c r="Q7" s="9">
        <v>0.24452548297336099</v>
      </c>
      <c r="R7" s="168">
        <f t="shared" ref="R7:R12" si="2">Q7*P7</f>
        <v>224251527.57321858</v>
      </c>
      <c r="S7" s="15">
        <f t="shared" ref="S7:S12" si="3">H7*(1+(Q7/F7-1))</f>
        <v>0.24452548297336099</v>
      </c>
      <c r="T7" s="168">
        <f t="shared" ref="T7:T12" si="4">P7*S7</f>
        <v>224251527.57321858</v>
      </c>
      <c r="U7" s="15"/>
      <c r="V7" s="168"/>
      <c r="W7" s="11"/>
      <c r="X7" s="39" t="s">
        <v>48</v>
      </c>
    </row>
    <row r="8" spans="1:25" ht="15.5">
      <c r="D8" s="12" t="s">
        <v>44</v>
      </c>
      <c r="E8" s="101">
        <f>'Res Bill Impact'!Y40</f>
        <v>2087811424.8768358</v>
      </c>
      <c r="F8" s="9">
        <v>0.39834321767662773</v>
      </c>
      <c r="G8" s="168">
        <f t="shared" si="0"/>
        <v>831665520.88746369</v>
      </c>
      <c r="H8" s="15">
        <f>H7</f>
        <v>0.39834321767662773</v>
      </c>
      <c r="I8" s="168">
        <f t="shared" si="1"/>
        <v>831665520.88746369</v>
      </c>
      <c r="O8" s="12" t="s">
        <v>44</v>
      </c>
      <c r="P8" s="101">
        <f>'Res Bill Impact'!Y51</f>
        <v>1518299194.662082</v>
      </c>
      <c r="Q8" s="9">
        <v>0.24452548297336099</v>
      </c>
      <c r="R8" s="168">
        <f t="shared" si="2"/>
        <v>371262843.8728106</v>
      </c>
      <c r="S8" s="15">
        <f t="shared" si="3"/>
        <v>0.24452548297336099</v>
      </c>
      <c r="T8" s="168">
        <f t="shared" si="4"/>
        <v>371262843.8728106</v>
      </c>
      <c r="U8" s="15"/>
      <c r="V8" s="168"/>
      <c r="W8" s="11"/>
      <c r="X8" s="39" t="s">
        <v>20</v>
      </c>
      <c r="Y8" s="19">
        <f>SUM(G7:G12)+SUM(R7:R12)</f>
        <v>3802420458.2985191</v>
      </c>
    </row>
    <row r="9" spans="1:25" ht="15.5">
      <c r="D9" s="8" t="s">
        <v>45</v>
      </c>
      <c r="E9" s="101">
        <f>'Res Bill Impact'!Y41</f>
        <v>1193550817.6062469</v>
      </c>
      <c r="F9" s="9">
        <v>0.49918415407833872</v>
      </c>
      <c r="G9" s="168">
        <f t="shared" si="0"/>
        <v>595801655.2362839</v>
      </c>
      <c r="H9" s="15">
        <f>F9/F$7*H$7</f>
        <v>0.49918415407833872</v>
      </c>
      <c r="I9" s="168">
        <f t="shared" si="1"/>
        <v>595801655.2362839</v>
      </c>
      <c r="O9" s="8" t="s">
        <v>45</v>
      </c>
      <c r="P9" s="101">
        <f>'Res Bill Impact'!Y52</f>
        <v>561993596.33662593</v>
      </c>
      <c r="Q9" s="9">
        <v>0.31007209163447425</v>
      </c>
      <c r="R9" s="168">
        <f t="shared" si="2"/>
        <v>174258529.90127802</v>
      </c>
      <c r="S9" s="15">
        <f t="shared" si="3"/>
        <v>0.31007209163447425</v>
      </c>
      <c r="T9" s="168">
        <f t="shared" si="4"/>
        <v>174258529.90127802</v>
      </c>
      <c r="U9" s="15"/>
      <c r="V9" s="168"/>
      <c r="W9" s="11"/>
      <c r="X9" s="39" t="s">
        <v>191</v>
      </c>
      <c r="Y9" s="19">
        <f>('Hypothetical SAR and RAR'!U20-('Hypothetical SAR and RAR'!O10*'Hypothetical SAR and RAR'!O20))*1000</f>
        <v>0</v>
      </c>
    </row>
    <row r="10" spans="1:25" ht="15.5">
      <c r="D10" s="12" t="s">
        <v>44</v>
      </c>
      <c r="E10" s="101">
        <f>'Res Bill Impact'!Y42</f>
        <v>1514443134.71802</v>
      </c>
      <c r="F10" s="9">
        <v>0.49918415407833872</v>
      </c>
      <c r="G10" s="168">
        <f t="shared" si="0"/>
        <v>755986015.1039623</v>
      </c>
      <c r="H10" s="15">
        <f>H9</f>
        <v>0.49918415407833872</v>
      </c>
      <c r="I10" s="168">
        <f t="shared" si="1"/>
        <v>755986015.1039623</v>
      </c>
      <c r="O10" s="12" t="s">
        <v>44</v>
      </c>
      <c r="P10" s="101">
        <f>'Res Bill Impact'!Y53</f>
        <v>760624208.97833705</v>
      </c>
      <c r="Q10" s="9">
        <v>0.31007209163447425</v>
      </c>
      <c r="R10" s="168">
        <f t="shared" si="2"/>
        <v>235848339.42573041</v>
      </c>
      <c r="S10" s="15">
        <f t="shared" si="3"/>
        <v>0.31007209163447425</v>
      </c>
      <c r="T10" s="168">
        <f t="shared" si="4"/>
        <v>235848339.42573041</v>
      </c>
      <c r="U10" s="15"/>
      <c r="V10" s="168"/>
      <c r="W10" s="11"/>
      <c r="X10" s="39" t="s">
        <v>21</v>
      </c>
      <c r="Y10" s="19">
        <f>Y8+Y9</f>
        <v>3802420458.2985191</v>
      </c>
    </row>
    <row r="11" spans="1:25" ht="15.5">
      <c r="D11" s="8" t="s">
        <v>46</v>
      </c>
      <c r="E11" s="101">
        <v>0</v>
      </c>
      <c r="F11" s="9">
        <v>0.49918415407833872</v>
      </c>
      <c r="G11" s="168">
        <f t="shared" si="0"/>
        <v>0</v>
      </c>
      <c r="H11" s="15">
        <f>F11/F$7*H$7</f>
        <v>0.49918415407833872</v>
      </c>
      <c r="I11" s="168">
        <f t="shared" si="1"/>
        <v>0</v>
      </c>
      <c r="O11" s="8" t="s">
        <v>46</v>
      </c>
      <c r="P11" s="101">
        <f>0</f>
        <v>0</v>
      </c>
      <c r="Q11" s="9">
        <v>0.31007209163447319</v>
      </c>
      <c r="R11" s="168">
        <f t="shared" si="2"/>
        <v>0</v>
      </c>
      <c r="S11" s="15">
        <f t="shared" si="3"/>
        <v>0.31007209163447319</v>
      </c>
      <c r="T11" s="168">
        <f t="shared" si="4"/>
        <v>0</v>
      </c>
      <c r="U11" s="15"/>
      <c r="V11" s="168"/>
      <c r="W11" s="11"/>
      <c r="Y11" s="19"/>
    </row>
    <row r="12" spans="1:25" ht="15.5">
      <c r="D12" s="12" t="s">
        <v>44</v>
      </c>
      <c r="E12" s="101">
        <v>0</v>
      </c>
      <c r="F12" s="9">
        <v>0.49918415407833872</v>
      </c>
      <c r="G12" s="168">
        <f t="shared" si="0"/>
        <v>0</v>
      </c>
      <c r="H12" s="15">
        <f>H11</f>
        <v>0.49918415407833872</v>
      </c>
      <c r="I12" s="168">
        <f t="shared" si="1"/>
        <v>0</v>
      </c>
      <c r="O12" s="12" t="s">
        <v>44</v>
      </c>
      <c r="P12" s="101">
        <v>0</v>
      </c>
      <c r="Q12" s="9">
        <v>0.31007209163447319</v>
      </c>
      <c r="R12" s="168">
        <f t="shared" si="2"/>
        <v>0</v>
      </c>
      <c r="S12" s="15">
        <f t="shared" si="3"/>
        <v>0.31007209163447319</v>
      </c>
      <c r="T12" s="168">
        <f t="shared" si="4"/>
        <v>0</v>
      </c>
      <c r="U12" s="15"/>
      <c r="V12" s="168"/>
      <c r="W12" s="11"/>
      <c r="Y12" s="19"/>
    </row>
    <row r="13" spans="1:25" ht="15.5">
      <c r="D13" s="12"/>
      <c r="E13" s="75"/>
      <c r="F13" s="9"/>
      <c r="G13" s="10"/>
      <c r="H13" s="5"/>
      <c r="I13" s="13"/>
      <c r="O13" s="12"/>
      <c r="P13" s="10"/>
      <c r="Q13" s="9"/>
      <c r="R13" s="10"/>
      <c r="S13" s="5"/>
      <c r="T13" s="13"/>
      <c r="U13" s="5"/>
      <c r="V13" s="13"/>
    </row>
    <row r="14" spans="1:25" ht="15.5">
      <c r="D14" s="12"/>
      <c r="E14" s="75"/>
      <c r="F14" s="9"/>
      <c r="G14" s="10"/>
      <c r="H14" s="10"/>
      <c r="I14" s="10"/>
      <c r="O14" s="12"/>
      <c r="P14" s="10"/>
      <c r="Q14" s="9"/>
      <c r="R14" s="10"/>
      <c r="S14" s="10"/>
      <c r="T14" s="10"/>
      <c r="U14" s="10"/>
      <c r="V14" s="10"/>
    </row>
    <row r="15" spans="1:25" ht="15.5">
      <c r="D15" s="12"/>
      <c r="E15" s="75"/>
      <c r="F15" s="9"/>
      <c r="G15" s="10"/>
      <c r="H15" s="10"/>
      <c r="I15" s="10"/>
      <c r="O15" s="76"/>
      <c r="P15" s="10"/>
      <c r="Q15" s="9"/>
      <c r="R15" s="10"/>
      <c r="S15" s="10"/>
      <c r="T15" s="10"/>
      <c r="U15" s="10"/>
      <c r="V15" s="10"/>
    </row>
    <row r="16" spans="1:25" ht="15.5">
      <c r="P16" s="10"/>
      <c r="Q16" s="9"/>
    </row>
    <row r="17" spans="2:30">
      <c r="O17" s="18"/>
    </row>
    <row r="19" spans="2:30">
      <c r="B19" s="20"/>
      <c r="P19" s="39" t="str">
        <f>'Res Bill Impact'!P19</f>
        <v>2024 Recorded Average Monthly Usage (kWh) - Bundled/Basic/non-medical/non-FERA</v>
      </c>
      <c r="X19" s="39" t="s">
        <v>331</v>
      </c>
    </row>
    <row r="20" spans="2:30">
      <c r="B20" s="21" t="s">
        <v>149</v>
      </c>
      <c r="C20" s="21"/>
      <c r="E20" s="22"/>
      <c r="F20" s="22"/>
      <c r="H20" s="21" t="s">
        <v>38</v>
      </c>
      <c r="I20" s="21"/>
      <c r="J20" s="21"/>
      <c r="K20" s="21"/>
      <c r="L20" s="21" t="s">
        <v>220</v>
      </c>
      <c r="M20" s="21"/>
      <c r="N20" s="21"/>
      <c r="P20" s="29" t="s">
        <v>32</v>
      </c>
      <c r="Q20" s="77" t="s">
        <v>147</v>
      </c>
      <c r="R20" s="77" t="s">
        <v>148</v>
      </c>
      <c r="S20" s="77" t="s">
        <v>147</v>
      </c>
      <c r="T20" s="77" t="s">
        <v>148</v>
      </c>
      <c r="U20" s="483" t="s">
        <v>172</v>
      </c>
      <c r="V20" s="484"/>
      <c r="X20" s="29" t="s">
        <v>32</v>
      </c>
      <c r="Y20" s="77" t="s">
        <v>147</v>
      </c>
      <c r="Z20" s="77" t="s">
        <v>148</v>
      </c>
      <c r="AA20" s="77" t="s">
        <v>147</v>
      </c>
      <c r="AB20" s="77" t="s">
        <v>148</v>
      </c>
      <c r="AC20" s="483" t="s">
        <v>172</v>
      </c>
      <c r="AD20" s="484"/>
    </row>
    <row r="21" spans="2:30">
      <c r="B21" s="23" t="s">
        <v>26</v>
      </c>
      <c r="C21" s="78">
        <v>45658</v>
      </c>
      <c r="D21" s="78">
        <f>F4</f>
        <v>45901</v>
      </c>
      <c r="E21" s="79" t="s">
        <v>21</v>
      </c>
      <c r="F21" s="80"/>
      <c r="H21" s="24" t="s">
        <v>32</v>
      </c>
      <c r="I21" s="24" t="s">
        <v>328</v>
      </c>
      <c r="J21" s="24" t="s">
        <v>329</v>
      </c>
      <c r="L21" s="24" t="s">
        <v>32</v>
      </c>
      <c r="M21" s="24" t="s">
        <v>328</v>
      </c>
      <c r="N21" s="24" t="s">
        <v>329</v>
      </c>
      <c r="P21" s="40"/>
      <c r="Q21" s="466" t="s">
        <v>49</v>
      </c>
      <c r="R21" s="467"/>
      <c r="S21" s="466" t="s">
        <v>50</v>
      </c>
      <c r="T21" s="467"/>
      <c r="U21" s="60" t="s">
        <v>49</v>
      </c>
      <c r="V21" s="60" t="s">
        <v>50</v>
      </c>
      <c r="X21" s="40"/>
      <c r="Y21" s="466" t="s">
        <v>49</v>
      </c>
      <c r="Z21" s="467"/>
      <c r="AA21" s="466" t="s">
        <v>50</v>
      </c>
      <c r="AB21" s="467"/>
      <c r="AC21" s="60" t="s">
        <v>49</v>
      </c>
      <c r="AD21" s="60" t="s">
        <v>50</v>
      </c>
    </row>
    <row r="22" spans="2:30">
      <c r="B22" s="25" t="s">
        <v>28</v>
      </c>
      <c r="C22" s="80">
        <v>0.40122000000000002</v>
      </c>
      <c r="D22" s="80">
        <f>F7</f>
        <v>0.39834321767662773</v>
      </c>
      <c r="E22" s="80">
        <f>H7</f>
        <v>0.39834321767662773</v>
      </c>
      <c r="F22" s="80"/>
      <c r="H22" s="39" t="s">
        <v>199</v>
      </c>
      <c r="I22" s="19">
        <f>13.5*$R$33</f>
        <v>410.90625</v>
      </c>
      <c r="J22" s="19">
        <f>11*$R$33</f>
        <v>334.8125</v>
      </c>
      <c r="L22" s="39" t="s">
        <v>199</v>
      </c>
      <c r="M22" s="19">
        <f>15.2*$R$33</f>
        <v>462.65</v>
      </c>
      <c r="N22" s="19">
        <f>26*$R$33</f>
        <v>791.375</v>
      </c>
      <c r="P22" s="90" t="s">
        <v>199</v>
      </c>
      <c r="Q22" s="106">
        <f>'Res Bill Impact'!Q22</f>
        <v>570.5</v>
      </c>
      <c r="R22" s="106">
        <f>'Res Bill Impact'!R22</f>
        <v>411.375</v>
      </c>
      <c r="S22" s="106">
        <f>'Res Bill Impact'!S22</f>
        <v>645.25</v>
      </c>
      <c r="T22" s="106">
        <f>'Res Bill Impact'!T22</f>
        <v>520.5</v>
      </c>
      <c r="U22" s="91">
        <f>'Res Bill Impact'!U22</f>
        <v>4.5569400429465723E-2</v>
      </c>
      <c r="V22" s="91">
        <f>'Res Bill Impact'!V22</f>
        <v>2.3853335386819371E-2</v>
      </c>
      <c r="X22" s="90" t="s">
        <v>199</v>
      </c>
      <c r="Y22" s="106">
        <f>'Res Bill Impact'!Y22</f>
        <v>624.5</v>
      </c>
      <c r="Z22" s="106">
        <f>'Res Bill Impact'!Z22</f>
        <v>556.375</v>
      </c>
      <c r="AA22" s="106">
        <f>'Res Bill Impact'!AA22</f>
        <v>716.25</v>
      </c>
      <c r="AB22" s="106">
        <f>'Res Bill Impact'!AB22</f>
        <v>717</v>
      </c>
      <c r="AC22" s="91">
        <f>'Res Bill Impact'!AC22</f>
        <v>0.20178895994923271</v>
      </c>
      <c r="AD22" s="91">
        <f>'Res Bill Impact'!AD22</f>
        <v>0.18545607447854359</v>
      </c>
    </row>
    <row r="23" spans="2:30">
      <c r="B23" s="25" t="s">
        <v>29</v>
      </c>
      <c r="C23" s="80">
        <v>0.50256999999999996</v>
      </c>
      <c r="D23" s="80">
        <f>F9</f>
        <v>0.49918415407833872</v>
      </c>
      <c r="E23" s="80">
        <f>H9</f>
        <v>0.49918415407833872</v>
      </c>
      <c r="F23" s="80"/>
      <c r="H23" s="39" t="s">
        <v>200</v>
      </c>
      <c r="I23" s="19">
        <f>9.8*$R$33</f>
        <v>298.28750000000002</v>
      </c>
      <c r="J23" s="19">
        <f>11*$R$33</f>
        <v>334.8125</v>
      </c>
      <c r="L23" s="39" t="s">
        <v>200</v>
      </c>
      <c r="M23" s="19">
        <f>8.5*$R$33</f>
        <v>258.71875</v>
      </c>
      <c r="N23" s="19">
        <f>26*$R$33</f>
        <v>791.375</v>
      </c>
      <c r="P23" s="81" t="s">
        <v>200</v>
      </c>
      <c r="Q23" s="106">
        <f>'Res Bill Impact'!Q23</f>
        <v>379.25</v>
      </c>
      <c r="R23" s="106">
        <f>'Res Bill Impact'!R23</f>
        <v>437.5</v>
      </c>
      <c r="S23" s="106">
        <f>'Res Bill Impact'!S23</f>
        <v>352.75</v>
      </c>
      <c r="T23" s="106">
        <f>'Res Bill Impact'!T23</f>
        <v>419</v>
      </c>
      <c r="U23" s="91">
        <f>'Res Bill Impact'!U23</f>
        <v>3.2458015912467647E-4</v>
      </c>
      <c r="V23" s="91">
        <f>'Res Bill Impact'!V23</f>
        <v>1.0336687735675832E-4</v>
      </c>
      <c r="X23" s="81" t="s">
        <v>200</v>
      </c>
      <c r="Y23" s="106">
        <f>'Res Bill Impact'!Y23</f>
        <v>478</v>
      </c>
      <c r="Z23" s="106">
        <f>'Res Bill Impact'!Z23</f>
        <v>604.625</v>
      </c>
      <c r="AA23" s="106">
        <f>'Res Bill Impact'!AA23</f>
        <v>462.25</v>
      </c>
      <c r="AB23" s="106">
        <f>'Res Bill Impact'!AB23</f>
        <v>603.125</v>
      </c>
      <c r="AC23" s="91">
        <f>'Res Bill Impact'!AC23</f>
        <v>1.2866059097670171E-3</v>
      </c>
      <c r="AD23" s="91">
        <f>'Res Bill Impact'!AD23</f>
        <v>5.3596598244637383E-4</v>
      </c>
    </row>
    <row r="24" spans="2:30">
      <c r="B24" s="25" t="s">
        <v>66</v>
      </c>
      <c r="C24" s="80">
        <v>0.50256999999999996</v>
      </c>
      <c r="D24" s="80">
        <f>F11</f>
        <v>0.49918415407833872</v>
      </c>
      <c r="E24" s="80">
        <f>H11</f>
        <v>0.49918415407833872</v>
      </c>
      <c r="F24" s="80"/>
      <c r="H24" s="39" t="s">
        <v>201</v>
      </c>
      <c r="I24" s="19">
        <f>17.7*$R$33</f>
        <v>538.74374999999998</v>
      </c>
      <c r="J24" s="19">
        <f>10.4*$R$33</f>
        <v>316.55</v>
      </c>
      <c r="L24" s="39" t="s">
        <v>201</v>
      </c>
      <c r="M24" s="19">
        <f>19.9*$R$33</f>
        <v>605.70624999999995</v>
      </c>
      <c r="N24" s="19">
        <f>26.7*$R$33</f>
        <v>812.68124999999998</v>
      </c>
      <c r="P24" s="81" t="s">
        <v>201</v>
      </c>
      <c r="Q24" s="106">
        <f>'Res Bill Impact'!Q24</f>
        <v>830.75</v>
      </c>
      <c r="R24" s="106">
        <f>'Res Bill Impact'!R24</f>
        <v>409.75</v>
      </c>
      <c r="S24" s="106">
        <f>'Res Bill Impact'!S24</f>
        <v>934.25</v>
      </c>
      <c r="T24" s="106">
        <f>'Res Bill Impact'!T24</f>
        <v>448.625</v>
      </c>
      <c r="U24" s="91">
        <f>'Res Bill Impact'!U24</f>
        <v>0.28001642885561262</v>
      </c>
      <c r="V24" s="91">
        <f>'Res Bill Impact'!V24</f>
        <v>0.37810486959281503</v>
      </c>
      <c r="X24" s="81" t="s">
        <v>201</v>
      </c>
      <c r="Y24" s="106">
        <f>'Res Bill Impact'!Y24</f>
        <v>799.25</v>
      </c>
      <c r="Z24" s="106">
        <f>'Res Bill Impact'!Z24</f>
        <v>529.125</v>
      </c>
      <c r="AA24" s="106">
        <f>'Res Bill Impact'!AA24</f>
        <v>922.5</v>
      </c>
      <c r="AB24" s="106">
        <f>'Res Bill Impact'!AB24</f>
        <v>611.125</v>
      </c>
      <c r="AC24" s="91">
        <f>'Res Bill Impact'!AC24</f>
        <v>0.25274882481434541</v>
      </c>
      <c r="AD24" s="91">
        <f>'Res Bill Impact'!AD24</f>
        <v>0.33014764234190486</v>
      </c>
    </row>
    <row r="25" spans="2:30">
      <c r="H25" s="39" t="s">
        <v>202</v>
      </c>
      <c r="I25" s="19">
        <f>15*$R$33</f>
        <v>456.5625</v>
      </c>
      <c r="J25" s="19">
        <f>10.2*$R$33</f>
        <v>310.46249999999998</v>
      </c>
      <c r="L25" s="39" t="s">
        <v>202</v>
      </c>
      <c r="M25" s="19">
        <f>17.8*$R$33</f>
        <v>541.78750000000002</v>
      </c>
      <c r="N25" s="19">
        <f>23.7*$R$33</f>
        <v>721.36874999999998</v>
      </c>
      <c r="P25" s="81" t="s">
        <v>202</v>
      </c>
      <c r="Q25" s="106">
        <f>'Res Bill Impact'!Q25</f>
        <v>715</v>
      </c>
      <c r="R25" s="106">
        <f>'Res Bill Impact'!R25</f>
        <v>409</v>
      </c>
      <c r="S25" s="106">
        <f>'Res Bill Impact'!S25</f>
        <v>792.75</v>
      </c>
      <c r="T25" s="106">
        <f>'Res Bill Impact'!T25</f>
        <v>446.375</v>
      </c>
      <c r="U25" s="91">
        <f>'Res Bill Impact'!U25</f>
        <v>0.363131690876564</v>
      </c>
      <c r="V25" s="91">
        <f>'Res Bill Impact'!V25</f>
        <v>0.30773903655317691</v>
      </c>
      <c r="X25" s="81" t="s">
        <v>202</v>
      </c>
      <c r="Y25" s="106">
        <f>'Res Bill Impact'!Y25</f>
        <v>707.5</v>
      </c>
      <c r="Z25" s="106">
        <f>'Res Bill Impact'!Z25</f>
        <v>500.375</v>
      </c>
      <c r="AA25" s="106">
        <f>'Res Bill Impact'!AA25</f>
        <v>769.25</v>
      </c>
      <c r="AB25" s="106">
        <f>'Res Bill Impact'!AB25</f>
        <v>558.125</v>
      </c>
      <c r="AC25" s="91">
        <f>'Res Bill Impact'!AC25</f>
        <v>0.25412438352043987</v>
      </c>
      <c r="AD25" s="91">
        <f>'Res Bill Impact'!AD25</f>
        <v>0.25428180558352187</v>
      </c>
    </row>
    <row r="26" spans="2:30">
      <c r="B26" s="21" t="s">
        <v>190</v>
      </c>
      <c r="C26" s="21"/>
      <c r="D26" s="21"/>
      <c r="E26" s="22"/>
      <c r="F26" s="22"/>
      <c r="H26" s="39" t="s">
        <v>203</v>
      </c>
      <c r="I26" s="19">
        <f>6.5*$R$33</f>
        <v>197.84375</v>
      </c>
      <c r="J26" s="19">
        <f>7.5*$R$33</f>
        <v>228.28125</v>
      </c>
      <c r="L26" s="39" t="s">
        <v>203</v>
      </c>
      <c r="M26" s="19">
        <f>7.1*$R$33</f>
        <v>216.10624999999999</v>
      </c>
      <c r="N26" s="19">
        <f>12.9*$R$33</f>
        <v>392.64375000000001</v>
      </c>
      <c r="P26" s="81" t="s">
        <v>203</v>
      </c>
      <c r="Q26" s="106">
        <f>'Res Bill Impact'!Q26</f>
        <v>260.5</v>
      </c>
      <c r="R26" s="106">
        <f>'Res Bill Impact'!R26</f>
        <v>303</v>
      </c>
      <c r="S26" s="106">
        <f>'Res Bill Impact'!S26</f>
        <v>266.25</v>
      </c>
      <c r="T26" s="106">
        <f>'Res Bill Impact'!T26</f>
        <v>303.125</v>
      </c>
      <c r="U26" s="91">
        <f>'Res Bill Impact'!U26</f>
        <v>4.9522938376171173E-2</v>
      </c>
      <c r="V26" s="91">
        <f>'Res Bill Impact'!V26</f>
        <v>2.1410448833006135E-2</v>
      </c>
      <c r="X26" s="81" t="s">
        <v>203</v>
      </c>
      <c r="Y26" s="106">
        <f>'Res Bill Impact'!Y26</f>
        <v>292.25</v>
      </c>
      <c r="Z26" s="106">
        <f>'Res Bill Impact'!Z26</f>
        <v>369</v>
      </c>
      <c r="AA26" s="106">
        <f>'Res Bill Impact'!AA26</f>
        <v>269.25</v>
      </c>
      <c r="AB26" s="106">
        <f>'Res Bill Impact'!AB26</f>
        <v>338</v>
      </c>
      <c r="AC26" s="91">
        <f>'Res Bill Impact'!AC26</f>
        <v>3.888612758215295E-2</v>
      </c>
      <c r="AD26" s="91">
        <f>'Res Bill Impact'!AD26</f>
        <v>2.6397064919990051E-2</v>
      </c>
    </row>
    <row r="27" spans="2:30">
      <c r="B27" s="23" t="s">
        <v>26</v>
      </c>
      <c r="C27" s="78">
        <f>$C$21</f>
        <v>45658</v>
      </c>
      <c r="D27" s="78">
        <f>D21</f>
        <v>45901</v>
      </c>
      <c r="E27" s="79" t="s">
        <v>21</v>
      </c>
      <c r="F27" s="22"/>
      <c r="H27" s="39" t="s">
        <v>204</v>
      </c>
      <c r="I27" s="19">
        <f>7.1*$R$33</f>
        <v>216.10624999999999</v>
      </c>
      <c r="J27" s="19">
        <f>8.1*$R$33</f>
        <v>246.54374999999999</v>
      </c>
      <c r="L27" s="39" t="s">
        <v>204</v>
      </c>
      <c r="M27" s="19">
        <f>10.4*$R$33</f>
        <v>316.55</v>
      </c>
      <c r="N27" s="19">
        <f>19.1*$R$33</f>
        <v>581.35625000000005</v>
      </c>
      <c r="P27" s="81" t="s">
        <v>204</v>
      </c>
      <c r="Q27" s="106">
        <f>'Res Bill Impact'!Q27</f>
        <v>313.75</v>
      </c>
      <c r="R27" s="106">
        <f>'Res Bill Impact'!R27</f>
        <v>367.5</v>
      </c>
      <c r="S27" s="106">
        <f>'Res Bill Impact'!S27</f>
        <v>292</v>
      </c>
      <c r="T27" s="106">
        <f>'Res Bill Impact'!T27</f>
        <v>349</v>
      </c>
      <c r="U27" s="91">
        <f>'Res Bill Impact'!U27</f>
        <v>1.7338507013963608E-3</v>
      </c>
      <c r="V27" s="91">
        <f>'Res Bill Impact'!V27</f>
        <v>1.2401428125088465E-3</v>
      </c>
      <c r="X27" s="81" t="s">
        <v>204</v>
      </c>
      <c r="Y27" s="106">
        <f>'Res Bill Impact'!Y27</f>
        <v>418.25</v>
      </c>
      <c r="Z27" s="106">
        <f>'Res Bill Impact'!Z27</f>
        <v>527.5</v>
      </c>
      <c r="AA27" s="106">
        <f>'Res Bill Impact'!AA27</f>
        <v>404.75</v>
      </c>
      <c r="AB27" s="106">
        <f>'Res Bill Impact'!AB27</f>
        <v>559.375</v>
      </c>
      <c r="AC27" s="91">
        <f>'Res Bill Impact'!AC27</f>
        <v>1.9762193410890389E-3</v>
      </c>
      <c r="AD27" s="91">
        <f>'Res Bill Impact'!AD27</f>
        <v>1.4420742179634476E-3</v>
      </c>
    </row>
    <row r="28" spans="2:30">
      <c r="B28" s="25" t="s">
        <v>28</v>
      </c>
      <c r="C28" s="80">
        <v>0.24539</v>
      </c>
      <c r="D28" s="80">
        <f>Q7</f>
        <v>0.24452548297336099</v>
      </c>
      <c r="E28" s="80">
        <f>S7</f>
        <v>0.24452548297336099</v>
      </c>
      <c r="F28" s="22"/>
      <c r="H28" s="39" t="s">
        <v>205</v>
      </c>
      <c r="I28" s="19">
        <f>19.2*$R$33</f>
        <v>584.4</v>
      </c>
      <c r="J28" s="19">
        <f>9.8*$R$33</f>
        <v>298.28750000000002</v>
      </c>
      <c r="L28" s="39" t="s">
        <v>205</v>
      </c>
      <c r="M28" s="19">
        <f>22.4*$R$33</f>
        <v>681.8</v>
      </c>
      <c r="N28" s="19">
        <f>19*$R$33</f>
        <v>578.3125</v>
      </c>
      <c r="P28" s="81" t="s">
        <v>205</v>
      </c>
      <c r="Q28" s="106">
        <f>'Res Bill Impact'!Q28</f>
        <v>915.5</v>
      </c>
      <c r="R28" s="106">
        <f>'Res Bill Impact'!R28</f>
        <v>376.875</v>
      </c>
      <c r="S28" s="106">
        <f>'Res Bill Impact'!S28</f>
        <v>1012.25</v>
      </c>
      <c r="T28" s="106">
        <f>'Res Bill Impact'!T28</f>
        <v>422.125</v>
      </c>
      <c r="U28" s="91">
        <f>'Res Bill Impact'!U28</f>
        <v>0.13057035142865805</v>
      </c>
      <c r="V28" s="91">
        <f>'Res Bill Impact'!V28</f>
        <v>0.23113612924287918</v>
      </c>
      <c r="X28" s="81" t="s">
        <v>205</v>
      </c>
      <c r="Y28" s="106">
        <f>'Res Bill Impact'!Y28</f>
        <v>914</v>
      </c>
      <c r="Z28" s="106">
        <f>'Res Bill Impact'!Z28</f>
        <v>439.875</v>
      </c>
      <c r="AA28" s="106">
        <f>'Res Bill Impact'!AA28</f>
        <v>1030.75</v>
      </c>
      <c r="AB28" s="106">
        <f>'Res Bill Impact'!AB28</f>
        <v>484.25</v>
      </c>
      <c r="AC28" s="91">
        <f>'Res Bill Impact'!AC28</f>
        <v>7.0357076699319371E-2</v>
      </c>
      <c r="AD28" s="91">
        <f>'Res Bill Impact'!AD28</f>
        <v>0.13152930934416715</v>
      </c>
    </row>
    <row r="29" spans="2:30">
      <c r="B29" s="25" t="s">
        <v>29</v>
      </c>
      <c r="C29" s="80">
        <v>0.31126999999999999</v>
      </c>
      <c r="D29" s="80">
        <f>Q9</f>
        <v>0.31007209163447425</v>
      </c>
      <c r="E29" s="80">
        <f>S9</f>
        <v>0.31007209163447425</v>
      </c>
      <c r="F29" s="80"/>
      <c r="H29" s="39" t="s">
        <v>206</v>
      </c>
      <c r="I29" s="19">
        <f>9.8*$R$33</f>
        <v>298.28750000000002</v>
      </c>
      <c r="J29" s="19">
        <f>9.7*$R$33</f>
        <v>295.24374999999998</v>
      </c>
      <c r="L29" s="39" t="s">
        <v>206</v>
      </c>
      <c r="M29" s="19">
        <f>8.5*$R$33</f>
        <v>258.71875</v>
      </c>
      <c r="N29" s="19">
        <f>14.6*$R$33</f>
        <v>444.38749999999999</v>
      </c>
      <c r="P29" s="81" t="s">
        <v>206</v>
      </c>
      <c r="Q29" s="106">
        <f>'Res Bill Impact'!Q29</f>
        <v>481.75</v>
      </c>
      <c r="R29" s="106">
        <f>'Res Bill Impact'!R29</f>
        <v>402.875</v>
      </c>
      <c r="S29" s="106">
        <f>'Res Bill Impact'!S29</f>
        <v>438.25</v>
      </c>
      <c r="T29" s="106">
        <f>'Res Bill Impact'!T29</f>
        <v>381.625</v>
      </c>
      <c r="U29" s="91">
        <f>'Res Bill Impact'!U29</f>
        <v>0.10825954284044623</v>
      </c>
      <c r="V29" s="91">
        <f>'Res Bill Impact'!V29</f>
        <v>3.2200340591263733E-2</v>
      </c>
      <c r="X29" s="81" t="s">
        <v>206</v>
      </c>
      <c r="Y29" s="106">
        <f>'Res Bill Impact'!Y29</f>
        <v>463</v>
      </c>
      <c r="Z29" s="106">
        <f>'Res Bill Impact'!Z29</f>
        <v>462.875</v>
      </c>
      <c r="AA29" s="106">
        <f>'Res Bill Impact'!AA29</f>
        <v>413.5</v>
      </c>
      <c r="AB29" s="106">
        <f>'Res Bill Impact'!AB29</f>
        <v>438.75</v>
      </c>
      <c r="AC29" s="91">
        <f>'Res Bill Impact'!AC29</f>
        <v>6.2885041807814276E-2</v>
      </c>
      <c r="AD29" s="91">
        <f>'Res Bill Impact'!AD29</f>
        <v>3.9744394565719494E-2</v>
      </c>
    </row>
    <row r="30" spans="2:30">
      <c r="B30" s="25" t="s">
        <v>66</v>
      </c>
      <c r="C30" s="80">
        <v>0.31126999999999999</v>
      </c>
      <c r="D30" s="80">
        <f>Q11</f>
        <v>0.31007209163447319</v>
      </c>
      <c r="E30" s="80">
        <f>S12</f>
        <v>0.31007209163447319</v>
      </c>
      <c r="F30" s="80"/>
      <c r="H30" s="39" t="s">
        <v>207</v>
      </c>
      <c r="I30" s="19">
        <f>10.5*$R$33</f>
        <v>319.59375</v>
      </c>
      <c r="J30" s="19">
        <f>11.1*$R$33</f>
        <v>337.85624999999999</v>
      </c>
      <c r="L30" s="39" t="s">
        <v>207</v>
      </c>
      <c r="M30" s="19">
        <f>12*$R$33</f>
        <v>365.25</v>
      </c>
      <c r="N30" s="19">
        <f>24*$R$33</f>
        <v>730.5</v>
      </c>
      <c r="P30" s="81" t="s">
        <v>207</v>
      </c>
      <c r="Q30" s="106">
        <f>'Res Bill Impact'!Q30</f>
        <v>382</v>
      </c>
      <c r="R30" s="106">
        <f>'Res Bill Impact'!R30</f>
        <v>326</v>
      </c>
      <c r="S30" s="106">
        <f>'Res Bill Impact'!S30</f>
        <v>522</v>
      </c>
      <c r="T30" s="106">
        <f>'Res Bill Impact'!T30</f>
        <v>516.25</v>
      </c>
      <c r="U30" s="91">
        <f>'Res Bill Impact'!U30</f>
        <v>1.9184685880831991E-2</v>
      </c>
      <c r="V30" s="91">
        <f>'Res Bill Impact'!V30</f>
        <v>4.1559717875950921E-3</v>
      </c>
      <c r="X30" s="81" t="s">
        <v>207</v>
      </c>
      <c r="Y30" s="106">
        <f>'Res Bill Impact'!Y30</f>
        <v>376.75</v>
      </c>
      <c r="Z30" s="106">
        <f>'Res Bill Impact'!Z30</f>
        <v>360.5</v>
      </c>
      <c r="AA30" s="106">
        <f>'Res Bill Impact'!AA30</f>
        <v>603.25</v>
      </c>
      <c r="AB30" s="106">
        <f>'Res Bill Impact'!AB30</f>
        <v>670.75</v>
      </c>
      <c r="AC30" s="91">
        <f>'Res Bill Impact'!AC30</f>
        <v>0.10365201666076705</v>
      </c>
      <c r="AD30" s="91">
        <f>'Res Bill Impact'!AD30</f>
        <v>3.0003731033910953E-2</v>
      </c>
    </row>
    <row r="31" spans="2:30">
      <c r="B31" s="20"/>
      <c r="C31" s="83"/>
      <c r="D31" s="83"/>
      <c r="E31" s="108"/>
      <c r="F31" s="108"/>
      <c r="H31" s="39" t="s">
        <v>208</v>
      </c>
      <c r="I31" s="19">
        <f>5.9*$R$33</f>
        <v>179.58125000000001</v>
      </c>
      <c r="J31" s="19">
        <f>7.8*$R$33</f>
        <v>237.41249999999999</v>
      </c>
      <c r="L31" s="39" t="s">
        <v>208</v>
      </c>
      <c r="M31" s="19">
        <f>6.7*$R$33</f>
        <v>203.93125000000001</v>
      </c>
      <c r="N31" s="19">
        <f>15.7*$R$33</f>
        <v>477.86874999999998</v>
      </c>
      <c r="P31" s="82" t="s">
        <v>208</v>
      </c>
      <c r="Q31" s="104">
        <f>'Res Bill Impact'!Q31</f>
        <v>192.25</v>
      </c>
      <c r="R31" s="104">
        <f>'Res Bill Impact'!R31</f>
        <v>173.125</v>
      </c>
      <c r="S31" s="104">
        <f>'Res Bill Impact'!S31</f>
        <v>223.25</v>
      </c>
      <c r="T31" s="104">
        <f>'Res Bill Impact'!T31</f>
        <v>239.5</v>
      </c>
      <c r="U31" s="91">
        <f>'Res Bill Impact'!U31</f>
        <v>1.6865304517292106E-3</v>
      </c>
      <c r="V31" s="91">
        <f>'Res Bill Impact'!V31</f>
        <v>5.6358322578936061E-5</v>
      </c>
      <c r="X31" s="82" t="s">
        <v>208</v>
      </c>
      <c r="Y31" s="104">
        <f>'Res Bill Impact'!Y31</f>
        <v>202.25</v>
      </c>
      <c r="Z31" s="104">
        <f>'Res Bill Impact'!Z31</f>
        <v>172.625</v>
      </c>
      <c r="AA31" s="104">
        <f>'Res Bill Impact'!AA31</f>
        <v>348.25</v>
      </c>
      <c r="AB31" s="104">
        <f>'Res Bill Impact'!AB31</f>
        <v>451.375</v>
      </c>
      <c r="AC31" s="91">
        <f>'Res Bill Impact'!AC31</f>
        <v>1.2294743715072273E-2</v>
      </c>
      <c r="AD31" s="91">
        <f>'Res Bill Impact'!AD31</f>
        <v>4.6193753183223379E-4</v>
      </c>
    </row>
    <row r="32" spans="2:30">
      <c r="B32" s="20"/>
      <c r="C32" s="26"/>
      <c r="D32" s="26"/>
      <c r="E32" s="27"/>
      <c r="F32" s="27"/>
    </row>
    <row r="33" spans="2:18">
      <c r="B33" s="20"/>
      <c r="C33" s="26"/>
      <c r="D33" s="26"/>
      <c r="E33" s="27"/>
      <c r="F33" s="27"/>
      <c r="Q33" s="41" t="s">
        <v>47</v>
      </c>
      <c r="R33" s="39">
        <f>365.25/12</f>
        <v>30.4375</v>
      </c>
    </row>
    <row r="34" spans="2:18">
      <c r="B34" s="20"/>
      <c r="C34" s="468" t="s">
        <v>243</v>
      </c>
      <c r="D34" s="468"/>
      <c r="E34" s="468"/>
      <c r="F34" s="468"/>
      <c r="G34" s="468"/>
      <c r="H34" s="468"/>
      <c r="J34" s="20"/>
      <c r="K34" s="468" t="s">
        <v>252</v>
      </c>
      <c r="L34" s="468"/>
      <c r="M34" s="468"/>
      <c r="N34" s="468"/>
      <c r="O34" s="468"/>
      <c r="P34" s="468"/>
    </row>
    <row r="35" spans="2:18">
      <c r="B35" s="20"/>
      <c r="C35" s="486">
        <f>$C$21</f>
        <v>45658</v>
      </c>
      <c r="D35" s="486"/>
      <c r="E35" s="485">
        <f>D27</f>
        <v>45901</v>
      </c>
      <c r="F35" s="486"/>
      <c r="G35" s="487" t="str">
        <f>E21</f>
        <v>Proposed</v>
      </c>
      <c r="H35" s="487"/>
      <c r="I35" s="128"/>
      <c r="J35" s="20"/>
      <c r="K35" s="470">
        <f>$C$21</f>
        <v>45658</v>
      </c>
      <c r="L35" s="470"/>
      <c r="M35" s="469">
        <f>$D$21</f>
        <v>45901</v>
      </c>
      <c r="N35" s="470"/>
      <c r="O35" s="471" t="str">
        <f>$E$21</f>
        <v>Proposed</v>
      </c>
      <c r="P35" s="471"/>
    </row>
    <row r="36" spans="2:18">
      <c r="B36" s="20"/>
      <c r="C36" s="26" t="s">
        <v>147</v>
      </c>
      <c r="D36" s="26" t="s">
        <v>148</v>
      </c>
      <c r="E36" s="26" t="s">
        <v>147</v>
      </c>
      <c r="F36" s="26" t="s">
        <v>148</v>
      </c>
      <c r="G36" s="26" t="s">
        <v>147</v>
      </c>
      <c r="H36" s="26" t="s">
        <v>148</v>
      </c>
      <c r="I36" s="83"/>
      <c r="J36" s="20"/>
      <c r="K36" s="83" t="s">
        <v>147</v>
      </c>
      <c r="L36" s="83" t="s">
        <v>148</v>
      </c>
      <c r="M36" s="83" t="s">
        <v>147</v>
      </c>
      <c r="N36" s="83" t="s">
        <v>148</v>
      </c>
      <c r="O36" s="83" t="s">
        <v>147</v>
      </c>
      <c r="P36" s="83" t="s">
        <v>148</v>
      </c>
    </row>
    <row r="37" spans="2:18">
      <c r="B37" s="39" t="s">
        <v>199</v>
      </c>
      <c r="C37" s="26">
        <f>IF(I22&lt;Q22,$C$22*I22+$C$23*(Q22-I22),$C$22*Q22)</f>
        <v>245.07083656250001</v>
      </c>
      <c r="D37" s="26">
        <f>IF(J22&lt;R22,$C$22*J22+$C$23*(R22-J22),$C$22*R22)</f>
        <v>172.81148687500001</v>
      </c>
      <c r="E37" s="26">
        <f>IF(I22&lt;Q22,$D$22*I22+$D$23*(Q22-I22),$D$22*Q22)</f>
        <v>243.34838887837668</v>
      </c>
      <c r="F37" s="26">
        <f>IF(J22&lt;R22,$D$22*J22+$D$23*(R22-J22),$D$22*R22)</f>
        <v>171.58907536497873</v>
      </c>
      <c r="G37" s="26">
        <f>IF(I22&lt;Q22,$E$22*I22+$E$23*(Q22-I22),$E$22*Q22)</f>
        <v>243.34838887837668</v>
      </c>
      <c r="H37" s="26">
        <f>IF(J22&lt;R22,$E$22*J22+$E$23*(R22-J22),$E$22*R22)</f>
        <v>171.58907536497873</v>
      </c>
      <c r="I37" s="83"/>
      <c r="J37" s="39" t="s">
        <v>199</v>
      </c>
      <c r="K37" s="83">
        <f>IF(M22&lt;Y22,$C$22*M22+$C$23*(Y22-M22),$C$22*Y22)</f>
        <v>266.96538750000002</v>
      </c>
      <c r="L37" s="83">
        <f>IF(N22&lt;Z22,$C$22*N22+$C$23*(Z22-N22),$C$22*Z22)</f>
        <v>223.22877750000001</v>
      </c>
      <c r="M37" s="83">
        <f>IF(M22&lt;Y22,$D$22*M22+$D$23*(Y22-M22),$D$22*Y22)</f>
        <v>265.08644499567094</v>
      </c>
      <c r="N37" s="83">
        <f>IF(N22&lt;Z22,$D$22*N22+$D$23*(Z22-N22),$D$22*Z22)</f>
        <v>221.62820773483375</v>
      </c>
      <c r="O37" s="83">
        <f>IF(M22&lt;Y22,$E$22*M22+$E$23*(Y22-M22),$E$22*Y22)</f>
        <v>265.08644499567094</v>
      </c>
      <c r="P37" s="83">
        <f>IF(N22&lt;Z22,$E$22*N22+$E$23*(Z22-N22),$E$22*Z22)</f>
        <v>221.62820773483375</v>
      </c>
    </row>
    <row r="38" spans="2:18">
      <c r="B38" s="39" t="s">
        <v>200</v>
      </c>
      <c r="C38" s="26">
        <f t="shared" ref="C38:C46" si="5">IF(I23&lt;Q23,$C$22*I23+$C$23*(Q23-I23),$C$22*Q23)</f>
        <v>160.36823437499999</v>
      </c>
      <c r="D38" s="26">
        <f t="shared" ref="D38:D46" si="6">IF(J23&lt;R23,$C$22*J23+$C$23*(R23-J23),$C$22*R23)</f>
        <v>185.94112812500001</v>
      </c>
      <c r="E38" s="26">
        <f t="shared" ref="E38:E46" si="7">IF(I23&lt;Q23,$D$22*I23+$D$23*(Q23-I23),$D$22*Q23)</f>
        <v>159.23599961728459</v>
      </c>
      <c r="F38" s="26">
        <f t="shared" ref="F38:F46" si="8">IF(J23&lt;R23,$D$22*J23+$D$23*(R23-J23),$D$22*R23)</f>
        <v>184.63026139027534</v>
      </c>
      <c r="G38" s="26">
        <f t="shared" ref="G38:G46" si="9">IF(I23&lt;Q23,$E$22*I23+$E$23*(Q23-I23),$E$22*Q23)</f>
        <v>159.23599961728459</v>
      </c>
      <c r="H38" s="26">
        <f t="shared" ref="H38:H46" si="10">IF(J23&lt;R23,$E$22*J23+$E$23*(R23-J23),$E$22*R23)</f>
        <v>184.63026139027534</v>
      </c>
      <c r="I38" s="83"/>
      <c r="J38" s="39" t="s">
        <v>200</v>
      </c>
      <c r="K38" s="83">
        <f t="shared" ref="K38:K46" si="11">IF(M23&lt;Y23,$C$22*M23+$C$23*(Y23-M23),$C$22*Y23)</f>
        <v>214.00731468750001</v>
      </c>
      <c r="L38" s="83">
        <f t="shared" ref="L38:L46" si="12">IF(N23&lt;Z23,$C$22*N23+$C$23*(Z23-N23),$C$22*Z23)</f>
        <v>242.58764250000002</v>
      </c>
      <c r="M38" s="83">
        <f t="shared" ref="M38:M46" si="13">IF(M23&lt;Y23,$D$22*M23+$D$23*(Y23-M23),$D$22*Y23)</f>
        <v>212.52058463476573</v>
      </c>
      <c r="N38" s="83">
        <f t="shared" ref="N38:N46" si="14">IF(N23&lt;Z23,$D$22*N23+$D$23*(Z23-N23),$D$22*Z23)</f>
        <v>240.84826798773105</v>
      </c>
      <c r="O38" s="83">
        <f t="shared" ref="O38:O46" si="15">IF(M23&lt;Y23,$E$22*M23+$E$23*(Y23-M23),$E$22*Y23)</f>
        <v>212.52058463476573</v>
      </c>
      <c r="P38" s="83">
        <f t="shared" ref="P38:P46" si="16">IF(N23&lt;Z23,$E$22*N23+$E$23*(Z23-N23),$E$22*Z23)</f>
        <v>240.84826798773105</v>
      </c>
    </row>
    <row r="39" spans="2:18">
      <c r="B39" s="39" t="s">
        <v>201</v>
      </c>
      <c r="C39" s="26">
        <f t="shared" si="5"/>
        <v>362.90834843749997</v>
      </c>
      <c r="D39" s="26">
        <f t="shared" si="6"/>
        <v>173.84571500000001</v>
      </c>
      <c r="E39" s="26">
        <f t="shared" si="7"/>
        <v>360.36981177001064</v>
      </c>
      <c r="F39" s="26">
        <f t="shared" si="8"/>
        <v>172.61950871563766</v>
      </c>
      <c r="G39" s="26">
        <f t="shared" si="9"/>
        <v>360.36981177001064</v>
      </c>
      <c r="H39" s="26">
        <f t="shared" si="10"/>
        <v>172.61950871563766</v>
      </c>
      <c r="I39" s="83"/>
      <c r="J39" s="39" t="s">
        <v>201</v>
      </c>
      <c r="K39" s="83">
        <f t="shared" si="11"/>
        <v>340.29074406250004</v>
      </c>
      <c r="L39" s="83">
        <f t="shared" si="12"/>
        <v>212.29553250000001</v>
      </c>
      <c r="M39" s="83">
        <f t="shared" si="13"/>
        <v>337.89294971274336</v>
      </c>
      <c r="N39" s="83">
        <f t="shared" si="14"/>
        <v>210.77335505314565</v>
      </c>
      <c r="O39" s="83">
        <f t="shared" si="15"/>
        <v>337.89294971274336</v>
      </c>
      <c r="P39" s="83">
        <f t="shared" si="16"/>
        <v>210.77335505314565</v>
      </c>
    </row>
    <row r="40" spans="2:18">
      <c r="B40" s="39" t="s">
        <v>202</v>
      </c>
      <c r="C40" s="26">
        <f t="shared" si="5"/>
        <v>313.06494062499996</v>
      </c>
      <c r="D40" s="26">
        <f t="shared" si="6"/>
        <v>174.08575562499999</v>
      </c>
      <c r="E40" s="26">
        <f t="shared" si="7"/>
        <v>310.87648014010597</v>
      </c>
      <c r="F40" s="26">
        <f t="shared" si="8"/>
        <v>172.85898980042433</v>
      </c>
      <c r="G40" s="26">
        <f t="shared" si="9"/>
        <v>310.87648014010597</v>
      </c>
      <c r="H40" s="26">
        <f t="shared" si="10"/>
        <v>172.85898980042433</v>
      </c>
      <c r="I40" s="83"/>
      <c r="J40" s="39" t="s">
        <v>202</v>
      </c>
      <c r="K40" s="83">
        <f t="shared" si="11"/>
        <v>300.65811187500003</v>
      </c>
      <c r="L40" s="83">
        <f t="shared" si="12"/>
        <v>200.7604575</v>
      </c>
      <c r="M40" s="83">
        <f t="shared" si="13"/>
        <v>298.53843017968268</v>
      </c>
      <c r="N40" s="83">
        <f t="shared" si="14"/>
        <v>199.3209875449426</v>
      </c>
      <c r="O40" s="83">
        <f t="shared" si="15"/>
        <v>298.53843017968268</v>
      </c>
      <c r="P40" s="83">
        <f t="shared" si="16"/>
        <v>199.3209875449426</v>
      </c>
    </row>
    <row r="41" spans="2:18">
      <c r="B41" s="39" t="s">
        <v>203</v>
      </c>
      <c r="C41" s="26">
        <f t="shared" si="5"/>
        <v>110.86802093750001</v>
      </c>
      <c r="D41" s="26">
        <f t="shared" si="6"/>
        <v>129.14240531249999</v>
      </c>
      <c r="E41" s="26">
        <f t="shared" si="7"/>
        <v>110.08672312618123</v>
      </c>
      <c r="F41" s="26">
        <f t="shared" si="8"/>
        <v>128.23270367278354</v>
      </c>
      <c r="G41" s="26">
        <f t="shared" si="9"/>
        <v>110.08672312618123</v>
      </c>
      <c r="H41" s="26">
        <f t="shared" si="10"/>
        <v>128.23270367278354</v>
      </c>
      <c r="I41" s="83"/>
      <c r="J41" s="39" t="s">
        <v>203</v>
      </c>
      <c r="K41" s="83">
        <f t="shared" si="11"/>
        <v>124.97371406249999</v>
      </c>
      <c r="L41" s="83">
        <f t="shared" si="12"/>
        <v>148.05018000000001</v>
      </c>
      <c r="M41" s="83">
        <f t="shared" si="13"/>
        <v>124.09421241713224</v>
      </c>
      <c r="N41" s="83">
        <f t="shared" si="14"/>
        <v>146.98864732267563</v>
      </c>
      <c r="O41" s="83">
        <f t="shared" si="15"/>
        <v>124.09421241713224</v>
      </c>
      <c r="P41" s="83">
        <f t="shared" si="16"/>
        <v>146.98864732267563</v>
      </c>
    </row>
    <row r="42" spans="2:18" ht="15" customHeight="1">
      <c r="B42" s="39" t="s">
        <v>204</v>
      </c>
      <c r="C42" s="26">
        <f t="shared" si="5"/>
        <v>135.77896906249998</v>
      </c>
      <c r="D42" s="26">
        <f t="shared" si="6"/>
        <v>159.70726593750001</v>
      </c>
      <c r="E42" s="26">
        <f t="shared" si="7"/>
        <v>134.82667172981652</v>
      </c>
      <c r="F42" s="26">
        <f t="shared" si="8"/>
        <v>158.58847400980017</v>
      </c>
      <c r="G42" s="26">
        <f t="shared" si="9"/>
        <v>134.82667172981652</v>
      </c>
      <c r="H42" s="26">
        <f t="shared" si="10"/>
        <v>158.58847400980017</v>
      </c>
      <c r="I42" s="83"/>
      <c r="J42" s="39" t="s">
        <v>204</v>
      </c>
      <c r="K42" s="83">
        <f t="shared" si="11"/>
        <v>178.11756</v>
      </c>
      <c r="L42" s="83">
        <f t="shared" si="12"/>
        <v>211.64355</v>
      </c>
      <c r="M42" s="83">
        <f t="shared" si="13"/>
        <v>176.86257402530356</v>
      </c>
      <c r="N42" s="83">
        <f t="shared" si="14"/>
        <v>210.12604732442114</v>
      </c>
      <c r="O42" s="83">
        <f t="shared" si="15"/>
        <v>176.86257402530356</v>
      </c>
      <c r="P42" s="83">
        <f t="shared" si="16"/>
        <v>210.12604732442114</v>
      </c>
    </row>
    <row r="43" spans="2:18" ht="15" customHeight="1">
      <c r="B43" s="39" t="s">
        <v>205</v>
      </c>
      <c r="C43" s="26">
        <f t="shared" si="5"/>
        <v>400.873895</v>
      </c>
      <c r="D43" s="26">
        <f t="shared" si="6"/>
        <v>159.17463062499999</v>
      </c>
      <c r="E43" s="26">
        <f t="shared" si="7"/>
        <v>398.07164982555923</v>
      </c>
      <c r="F43" s="26">
        <f t="shared" si="8"/>
        <v>158.05043725134854</v>
      </c>
      <c r="G43" s="26">
        <f t="shared" si="9"/>
        <v>398.07164982555923</v>
      </c>
      <c r="H43" s="26">
        <f t="shared" si="10"/>
        <v>158.05043725134854</v>
      </c>
      <c r="I43" s="83"/>
      <c r="J43" s="39" t="s">
        <v>205</v>
      </c>
      <c r="K43" s="83">
        <f t="shared" si="11"/>
        <v>390.24855000000002</v>
      </c>
      <c r="L43" s="83">
        <f t="shared" si="12"/>
        <v>176.4866475</v>
      </c>
      <c r="M43" s="83">
        <f t="shared" si="13"/>
        <v>387.50096638891506</v>
      </c>
      <c r="N43" s="83">
        <f t="shared" si="14"/>
        <v>175.22122287550661</v>
      </c>
      <c r="O43" s="83">
        <f t="shared" si="15"/>
        <v>387.50096638891506</v>
      </c>
      <c r="P43" s="83">
        <f t="shared" si="16"/>
        <v>175.22122287550661</v>
      </c>
    </row>
    <row r="44" spans="2:18" ht="15" customHeight="1">
      <c r="B44" s="39" t="s">
        <v>206</v>
      </c>
      <c r="C44" s="26">
        <f t="shared" si="5"/>
        <v>211.881659375</v>
      </c>
      <c r="D44" s="26">
        <f t="shared" si="6"/>
        <v>172.54993468750001</v>
      </c>
      <c r="E44" s="26">
        <f t="shared" si="7"/>
        <v>210.40237541031431</v>
      </c>
      <c r="F44" s="26">
        <f t="shared" si="8"/>
        <v>171.33615985755804</v>
      </c>
      <c r="G44" s="26">
        <f t="shared" si="9"/>
        <v>210.40237541031431</v>
      </c>
      <c r="H44" s="26">
        <f t="shared" si="10"/>
        <v>171.33615985755804</v>
      </c>
      <c r="I44" s="83"/>
      <c r="J44" s="39" t="s">
        <v>206</v>
      </c>
      <c r="K44" s="83">
        <f t="shared" si="11"/>
        <v>206.4687646875</v>
      </c>
      <c r="L44" s="83">
        <f t="shared" si="12"/>
        <v>187.58841562500001</v>
      </c>
      <c r="M44" s="83">
        <f t="shared" si="13"/>
        <v>205.03282232359066</v>
      </c>
      <c r="N44" s="83">
        <f t="shared" si="14"/>
        <v>186.24741369379569</v>
      </c>
      <c r="O44" s="83">
        <f t="shared" si="15"/>
        <v>205.03282232359066</v>
      </c>
      <c r="P44" s="83">
        <f t="shared" si="16"/>
        <v>186.24741369379569</v>
      </c>
    </row>
    <row r="45" spans="2:18">
      <c r="B45" s="39" t="s">
        <v>207</v>
      </c>
      <c r="C45" s="26">
        <f t="shared" si="5"/>
        <v>159.59091343750001</v>
      </c>
      <c r="D45" s="26">
        <f t="shared" si="6"/>
        <v>130.79772</v>
      </c>
      <c r="E45" s="26">
        <f t="shared" si="7"/>
        <v>158.46021383979107</v>
      </c>
      <c r="F45" s="26">
        <f t="shared" si="8"/>
        <v>129.85988896258064</v>
      </c>
      <c r="G45" s="26">
        <f t="shared" si="9"/>
        <v>158.46021383979107</v>
      </c>
      <c r="H45" s="26">
        <f t="shared" si="10"/>
        <v>129.85988896258064</v>
      </c>
      <c r="I45" s="83"/>
      <c r="J45" s="39" t="s">
        <v>207</v>
      </c>
      <c r="K45" s="83">
        <f t="shared" si="11"/>
        <v>152.32515999999998</v>
      </c>
      <c r="L45" s="83">
        <f t="shared" si="12"/>
        <v>144.63981000000001</v>
      </c>
      <c r="M45" s="83">
        <f t="shared" si="13"/>
        <v>151.23547802828918</v>
      </c>
      <c r="N45" s="83">
        <f t="shared" si="14"/>
        <v>143.6027299724243</v>
      </c>
      <c r="O45" s="83">
        <f t="shared" si="15"/>
        <v>151.23547802828918</v>
      </c>
      <c r="P45" s="83">
        <f t="shared" si="16"/>
        <v>143.6027299724243</v>
      </c>
    </row>
    <row r="46" spans="2:18">
      <c r="B46" s="39" t="s">
        <v>208</v>
      </c>
      <c r="C46" s="26">
        <f t="shared" si="5"/>
        <v>78.418522812500001</v>
      </c>
      <c r="D46" s="26">
        <f t="shared" si="6"/>
        <v>69.461212500000002</v>
      </c>
      <c r="E46" s="26">
        <f t="shared" si="7"/>
        <v>77.859012211370867</v>
      </c>
      <c r="F46" s="26">
        <f t="shared" si="8"/>
        <v>68.963169560266181</v>
      </c>
      <c r="G46" s="26">
        <f t="shared" si="9"/>
        <v>77.859012211370867</v>
      </c>
      <c r="H46" s="26">
        <f t="shared" si="10"/>
        <v>68.963169560266181</v>
      </c>
      <c r="I46" s="83"/>
      <c r="J46" s="39" t="s">
        <v>208</v>
      </c>
      <c r="K46" s="83">
        <f t="shared" si="11"/>
        <v>81.14674500000001</v>
      </c>
      <c r="L46" s="83">
        <f t="shared" si="12"/>
        <v>69.260602500000005</v>
      </c>
      <c r="M46" s="83">
        <f t="shared" si="13"/>
        <v>80.564915775097958</v>
      </c>
      <c r="N46" s="83">
        <f t="shared" si="14"/>
        <v>68.763997951427868</v>
      </c>
      <c r="O46" s="83">
        <f t="shared" si="15"/>
        <v>80.564915775097958</v>
      </c>
      <c r="P46" s="83">
        <f t="shared" si="16"/>
        <v>68.763997951427868</v>
      </c>
    </row>
    <row r="47" spans="2:18" s="28" customFormat="1">
      <c r="B47" s="39" t="s">
        <v>198</v>
      </c>
      <c r="C47" s="84">
        <f t="shared" ref="C47:H47" si="17">SUMPRODUCT(C37:C46,$U$22:$U$31)</f>
        <v>310.72422873551085</v>
      </c>
      <c r="D47" s="84">
        <f t="shared" si="17"/>
        <v>168.5935257919343</v>
      </c>
      <c r="E47" s="84">
        <f t="shared" si="17"/>
        <v>308.55082320189081</v>
      </c>
      <c r="F47" s="84">
        <f t="shared" si="17"/>
        <v>167.40454839110461</v>
      </c>
      <c r="G47" s="84">
        <f t="shared" si="17"/>
        <v>308.55082320189081</v>
      </c>
      <c r="H47" s="84">
        <f t="shared" si="17"/>
        <v>167.40454839110461</v>
      </c>
      <c r="I47" s="107"/>
      <c r="J47" s="39" t="s">
        <v>198</v>
      </c>
      <c r="K47" s="107">
        <f t="shared" ref="K47:P47" si="18">SUMPRODUCT(K37:K46,$AC$22:$AC$31)</f>
        <v>278.99742962482929</v>
      </c>
      <c r="L47" s="107">
        <f t="shared" si="18"/>
        <v>196.26548295910993</v>
      </c>
      <c r="M47" s="107">
        <f t="shared" si="18"/>
        <v>277.03127146498446</v>
      </c>
      <c r="N47" s="107">
        <f t="shared" si="18"/>
        <v>194.85849537048674</v>
      </c>
      <c r="O47" s="107">
        <f t="shared" si="18"/>
        <v>277.03127146498446</v>
      </c>
      <c r="P47" s="107">
        <f t="shared" si="18"/>
        <v>194.85849537048674</v>
      </c>
    </row>
    <row r="48" spans="2:18">
      <c r="B48" s="20"/>
      <c r="C48" s="26"/>
      <c r="D48" s="26"/>
      <c r="E48" s="27"/>
      <c r="F48" s="140"/>
      <c r="G48" s="141"/>
      <c r="H48" s="141"/>
      <c r="I48" s="141"/>
      <c r="J48" s="20"/>
      <c r="K48" s="83"/>
      <c r="L48" s="83"/>
      <c r="M48" s="108"/>
      <c r="N48" s="140"/>
      <c r="O48" s="141"/>
      <c r="P48" s="141"/>
    </row>
    <row r="49" spans="2:16">
      <c r="B49" s="20"/>
      <c r="C49" s="26"/>
      <c r="D49" s="26"/>
      <c r="E49" s="27"/>
      <c r="F49" s="26"/>
      <c r="G49" s="141"/>
      <c r="H49" s="141"/>
      <c r="I49" s="141"/>
      <c r="J49" s="20"/>
      <c r="K49" s="83"/>
      <c r="L49" s="83"/>
      <c r="M49" s="108"/>
      <c r="N49" s="83"/>
      <c r="O49" s="141"/>
      <c r="P49" s="141"/>
    </row>
    <row r="50" spans="2:16">
      <c r="B50" s="20"/>
      <c r="C50" s="468" t="s">
        <v>244</v>
      </c>
      <c r="D50" s="468"/>
      <c r="E50" s="468"/>
      <c r="F50" s="468"/>
      <c r="G50" s="468"/>
      <c r="H50" s="468"/>
      <c r="J50" s="20"/>
      <c r="K50" s="468" t="s">
        <v>253</v>
      </c>
      <c r="L50" s="468"/>
      <c r="M50" s="468"/>
      <c r="N50" s="468"/>
      <c r="O50" s="468"/>
      <c r="P50" s="468"/>
    </row>
    <row r="51" spans="2:16">
      <c r="B51" s="20"/>
      <c r="C51" s="486">
        <f>$C$21</f>
        <v>45658</v>
      </c>
      <c r="D51" s="486"/>
      <c r="E51" s="485">
        <f>D27</f>
        <v>45901</v>
      </c>
      <c r="F51" s="485"/>
      <c r="G51" s="487" t="str">
        <f>E27</f>
        <v>Proposed</v>
      </c>
      <c r="H51" s="487"/>
      <c r="I51" s="128"/>
      <c r="J51" s="20"/>
      <c r="K51" s="470">
        <f>$C$21</f>
        <v>45658</v>
      </c>
      <c r="L51" s="470"/>
      <c r="M51" s="469">
        <f>$D$21</f>
        <v>45901</v>
      </c>
      <c r="N51" s="469"/>
      <c r="O51" s="471" t="str">
        <f>$E$21</f>
        <v>Proposed</v>
      </c>
      <c r="P51" s="471"/>
    </row>
    <row r="52" spans="2:16">
      <c r="B52" s="20"/>
      <c r="C52" s="26" t="s">
        <v>147</v>
      </c>
      <c r="D52" s="26" t="s">
        <v>148</v>
      </c>
      <c r="E52" s="26" t="s">
        <v>147</v>
      </c>
      <c r="F52" s="26" t="s">
        <v>148</v>
      </c>
      <c r="G52" s="26" t="s">
        <v>147</v>
      </c>
      <c r="H52" s="26" t="s">
        <v>148</v>
      </c>
      <c r="I52" s="83"/>
      <c r="J52" s="20"/>
      <c r="K52" s="83" t="s">
        <v>147</v>
      </c>
      <c r="L52" s="83" t="s">
        <v>148</v>
      </c>
      <c r="M52" s="83" t="s">
        <v>147</v>
      </c>
      <c r="N52" s="83" t="s">
        <v>148</v>
      </c>
      <c r="O52" s="83" t="s">
        <v>147</v>
      </c>
      <c r="P52" s="83" t="s">
        <v>148</v>
      </c>
    </row>
    <row r="53" spans="2:16">
      <c r="B53" s="39" t="s">
        <v>199</v>
      </c>
      <c r="C53" s="26">
        <f>IF(I22&lt;S22,$C$28*I22+$C$29*(S22-I22),$C$28*S22)</f>
        <v>173.77646375</v>
      </c>
      <c r="D53" s="26">
        <f>IF(J22&lt;T22,$C$28*J22+$C$29*(T22-J22),$C$28*T22)</f>
        <v>139.95858749999999</v>
      </c>
      <c r="E53" s="26">
        <f>IF(I22&lt;S22,$D$28*I22+$D$29*(S22-I22),$D$28*S22)</f>
        <v>173.14050596198894</v>
      </c>
      <c r="F53" s="26">
        <f>IF(J22&lt;T22,$D$28*J22+$D$29*(T22-J22),$D$28*T22)</f>
        <v>139.44669978339488</v>
      </c>
      <c r="G53" s="26">
        <f>IF(I22&lt;S22,$E$28*I22+$E$29*(S22-I22),$E$28*S22)</f>
        <v>173.14050596198894</v>
      </c>
      <c r="H53" s="26">
        <f>IF(J22&lt;T22,$E$28*J22+$E$29*(T22-J22),$E$28*T22)</f>
        <v>139.44669978339488</v>
      </c>
      <c r="I53" s="83"/>
      <c r="J53" s="39" t="s">
        <v>199</v>
      </c>
      <c r="K53" s="83">
        <f>IF(M22&lt;AA22,$C$28*M22+$C$29*(AA22-M22),$C$28*AA22)</f>
        <v>192.46775550000001</v>
      </c>
      <c r="L53" s="83">
        <f>IF(N22&lt;AB22,$C$28*N22+$C$29*(AB22-N22),$C$28*AB22)</f>
        <v>175.94462999999999</v>
      </c>
      <c r="M53" s="83">
        <f>IF(M22&lt;AA22,$D$28*M22+$D$29*(AA22-M22),$D$28*AA22)</f>
        <v>191.76399713612813</v>
      </c>
      <c r="N53" s="83">
        <f>IF(N22&lt;AB22,$D$28*N22+$D$29*(AB22-N22),$D$28*AB22)</f>
        <v>175.32477129189982</v>
      </c>
      <c r="O53" s="83">
        <f>IF(M22&lt;AA22,$E$28*M22+$E$29*(AA22-M22),$E$28*AA22)</f>
        <v>191.76399713612813</v>
      </c>
      <c r="P53" s="83">
        <f>IF(N22&lt;AB22,$E$28*N22+$E$29*(AB22-N22),$E$28*AB22)</f>
        <v>175.32477129189982</v>
      </c>
    </row>
    <row r="54" spans="2:16">
      <c r="B54" s="39" t="s">
        <v>200</v>
      </c>
      <c r="C54" s="26">
        <f t="shared" ref="C54:C62" si="19">IF(I23&lt;S23,$C$28*I23+$C$29*(S23-I23),$C$28*S23)</f>
        <v>90.149311999999995</v>
      </c>
      <c r="D54" s="26">
        <f t="shared" ref="D54:D62" si="20">IF(J23&lt;T23,$C$28*J23+$C$29*(T23-J23),$C$28*T23)</f>
        <v>108.3646825</v>
      </c>
      <c r="E54" s="26">
        <f t="shared" ref="E54:E62" si="21">IF(I23&lt;S23,$D$28*I23+$D$29*(S23-I23),$D$28*S23)</f>
        <v>89.826196293058956</v>
      </c>
      <c r="F54" s="26">
        <f t="shared" ref="F54:F62" si="22">IF(J23&lt;T23,$D$28*J23+$D$29*(T23-J23),$D$28*T23)</f>
        <v>107.97438248249573</v>
      </c>
      <c r="G54" s="26">
        <f t="shared" ref="G54:G62" si="23">IF(I23&lt;S23,$E$28*I23+$E$29*(S23-I23),$E$28*S23)</f>
        <v>89.826196293058956</v>
      </c>
      <c r="H54" s="26">
        <f t="shared" ref="H54:H62" si="24">IF(J23&lt;T23,$E$28*J23+$E$29*(T23-J23),$E$28*T23)</f>
        <v>107.97438248249573</v>
      </c>
      <c r="I54" s="83"/>
      <c r="J54" s="39" t="s">
        <v>200</v>
      </c>
      <c r="K54" s="83">
        <f t="shared" ref="K54:K62" si="25">IF(M23&lt;AA23,$C$28*M23+$C$29*(AA23-M23),$C$28*AA23)</f>
        <v>126.84016625000001</v>
      </c>
      <c r="L54" s="83">
        <f t="shared" ref="L54:L62" si="26">IF(N23&lt;AB23,$C$28*N23+$C$29*(AB23-N23),$C$28*AB23)</f>
        <v>148.00084375</v>
      </c>
      <c r="M54" s="83">
        <f t="shared" ref="M54:M62" si="27">IF(M23&lt;AA23,$D$28*M23+$D$29*(AA23-M23),$D$28*AA23)</f>
        <v>126.37268769849332</v>
      </c>
      <c r="N54" s="83">
        <f t="shared" ref="N54:N62" si="28">IF(N23&lt;AB23,$D$28*N23+$D$29*(AB23-N23),$D$28*AB23)</f>
        <v>147.47943191830834</v>
      </c>
      <c r="O54" s="83">
        <f t="shared" ref="O54:O62" si="29">IF(M23&lt;AA23,$E$28*M23+$E$29*(AA23-M23),$E$28*AA23)</f>
        <v>126.37268769849332</v>
      </c>
      <c r="P54" s="83">
        <f t="shared" ref="P54:P62" si="30">IF(N23&lt;AB23,$E$28*N23+$E$29*(AB23-N23),$E$28*AB23)</f>
        <v>147.47943191830834</v>
      </c>
    </row>
    <row r="55" spans="2:16">
      <c r="B55" s="39" t="s">
        <v>201</v>
      </c>
      <c r="C55" s="26">
        <f t="shared" si="19"/>
        <v>255.31155924999999</v>
      </c>
      <c r="D55" s="26">
        <f t="shared" si="20"/>
        <v>118.78918975000001</v>
      </c>
      <c r="E55" s="26">
        <f t="shared" si="21"/>
        <v>254.37202585963692</v>
      </c>
      <c r="F55" s="26">
        <f t="shared" si="22"/>
        <v>118.35731313784061</v>
      </c>
      <c r="G55" s="26">
        <f t="shared" si="23"/>
        <v>254.37202585963692</v>
      </c>
      <c r="H55" s="26">
        <f t="shared" si="24"/>
        <v>118.35731313784061</v>
      </c>
      <c r="I55" s="83"/>
      <c r="J55" s="39" t="s">
        <v>201</v>
      </c>
      <c r="K55" s="83">
        <f t="shared" si="25"/>
        <v>247.24264725</v>
      </c>
      <c r="L55" s="83">
        <f t="shared" si="26"/>
        <v>149.96396375</v>
      </c>
      <c r="M55" s="83">
        <f t="shared" si="27"/>
        <v>246.33951400046209</v>
      </c>
      <c r="N55" s="83">
        <f t="shared" si="28"/>
        <v>149.43563578209523</v>
      </c>
      <c r="O55" s="83">
        <f t="shared" si="29"/>
        <v>246.33951400046209</v>
      </c>
      <c r="P55" s="83">
        <f t="shared" si="30"/>
        <v>149.43563578209523</v>
      </c>
    </row>
    <row r="56" spans="2:16">
      <c r="B56" s="39" t="s">
        <v>202</v>
      </c>
      <c r="C56" s="26">
        <f t="shared" si="19"/>
        <v>216.68095499999998</v>
      </c>
      <c r="D56" s="26">
        <f t="shared" si="20"/>
        <v>118.48987675000001</v>
      </c>
      <c r="E56" s="26">
        <f t="shared" si="21"/>
        <v>215.88352712638994</v>
      </c>
      <c r="F56" s="26">
        <f t="shared" si="22"/>
        <v>118.05866591188757</v>
      </c>
      <c r="G56" s="26">
        <f t="shared" si="23"/>
        <v>215.88352712638994</v>
      </c>
      <c r="H56" s="26">
        <f t="shared" si="24"/>
        <v>118.05866591188757</v>
      </c>
      <c r="I56" s="83"/>
      <c r="J56" s="39" t="s">
        <v>202</v>
      </c>
      <c r="K56" s="83">
        <f t="shared" si="25"/>
        <v>203.751487</v>
      </c>
      <c r="L56" s="83">
        <f t="shared" si="26"/>
        <v>136.95829375</v>
      </c>
      <c r="M56" s="83">
        <f t="shared" si="27"/>
        <v>203.01062324983639</v>
      </c>
      <c r="N56" s="83">
        <f t="shared" si="28"/>
        <v>136.47578518450712</v>
      </c>
      <c r="O56" s="83">
        <f t="shared" si="29"/>
        <v>203.01062324983639</v>
      </c>
      <c r="P56" s="83">
        <f t="shared" si="30"/>
        <v>136.47578518450712</v>
      </c>
    </row>
    <row r="57" spans="2:16">
      <c r="B57" s="39" t="s">
        <v>203</v>
      </c>
      <c r="C57" s="26">
        <f t="shared" si="19"/>
        <v>69.841691249999997</v>
      </c>
      <c r="D57" s="26">
        <f t="shared" si="20"/>
        <v>79.314549999999997</v>
      </c>
      <c r="E57" s="26">
        <f t="shared" si="21"/>
        <v>69.588707540381648</v>
      </c>
      <c r="F57" s="26">
        <f t="shared" si="22"/>
        <v>79.027541018280246</v>
      </c>
      <c r="G57" s="26">
        <f t="shared" si="23"/>
        <v>69.588707540381648</v>
      </c>
      <c r="H57" s="26">
        <f t="shared" si="24"/>
        <v>79.027541018280246</v>
      </c>
      <c r="I57" s="83"/>
      <c r="J57" s="39" t="s">
        <v>203</v>
      </c>
      <c r="K57" s="83">
        <f t="shared" si="25"/>
        <v>69.572367749999998</v>
      </c>
      <c r="L57" s="83">
        <f t="shared" si="26"/>
        <v>82.941819999999993</v>
      </c>
      <c r="M57" s="83">
        <f t="shared" si="27"/>
        <v>69.321878874611485</v>
      </c>
      <c r="N57" s="83">
        <f t="shared" si="28"/>
        <v>82.649613244996019</v>
      </c>
      <c r="O57" s="83">
        <f t="shared" si="29"/>
        <v>69.321878874611485</v>
      </c>
      <c r="P57" s="83">
        <f t="shared" si="30"/>
        <v>82.649613244996019</v>
      </c>
    </row>
    <row r="58" spans="2:16">
      <c r="B58" s="39" t="s">
        <v>204</v>
      </c>
      <c r="C58" s="26">
        <f t="shared" si="19"/>
        <v>76.653760250000005</v>
      </c>
      <c r="D58" s="26">
        <f t="shared" si="20"/>
        <v>92.390927750000003</v>
      </c>
      <c r="E58" s="26">
        <f t="shared" si="21"/>
        <v>76.376018959295777</v>
      </c>
      <c r="F58" s="26">
        <f t="shared" si="22"/>
        <v>92.055053281338175</v>
      </c>
      <c r="G58" s="26">
        <f t="shared" si="23"/>
        <v>76.376018959295777</v>
      </c>
      <c r="H58" s="26">
        <f t="shared" si="24"/>
        <v>92.055053281338175</v>
      </c>
      <c r="I58" s="83"/>
      <c r="J58" s="39" t="s">
        <v>204</v>
      </c>
      <c r="K58" s="83">
        <f t="shared" si="25"/>
        <v>105.13221850000001</v>
      </c>
      <c r="L58" s="83">
        <f t="shared" si="26"/>
        <v>137.26503124999999</v>
      </c>
      <c r="M58" s="83">
        <f t="shared" si="27"/>
        <v>104.75290011737805</v>
      </c>
      <c r="N58" s="83">
        <f t="shared" si="28"/>
        <v>136.78144203822382</v>
      </c>
      <c r="O58" s="83">
        <f t="shared" si="29"/>
        <v>104.75290011737805</v>
      </c>
      <c r="P58" s="83">
        <f t="shared" si="30"/>
        <v>136.78144203822382</v>
      </c>
    </row>
    <row r="59" spans="2:16">
      <c r="B59" s="39" t="s">
        <v>205</v>
      </c>
      <c r="C59" s="26">
        <f t="shared" si="19"/>
        <v>276.5827855</v>
      </c>
      <c r="D59" s="26">
        <f t="shared" si="20"/>
        <v>111.74366824999998</v>
      </c>
      <c r="E59" s="26">
        <f t="shared" si="21"/>
        <v>275.56503665544199</v>
      </c>
      <c r="F59" s="26">
        <f t="shared" si="22"/>
        <v>111.33744765020062</v>
      </c>
      <c r="G59" s="26">
        <f t="shared" si="23"/>
        <v>275.56503665544199</v>
      </c>
      <c r="H59" s="26">
        <f t="shared" si="24"/>
        <v>111.33744765020062</v>
      </c>
      <c r="I59" s="83"/>
      <c r="J59" s="39" t="s">
        <v>205</v>
      </c>
      <c r="K59" s="83">
        <f t="shared" si="25"/>
        <v>275.92456849999996</v>
      </c>
      <c r="L59" s="83">
        <f t="shared" si="26"/>
        <v>118.8301075</v>
      </c>
      <c r="M59" s="83">
        <f t="shared" si="27"/>
        <v>274.91713066708735</v>
      </c>
      <c r="N59" s="83">
        <f t="shared" si="28"/>
        <v>118.41146512985006</v>
      </c>
      <c r="O59" s="83">
        <f t="shared" si="29"/>
        <v>274.91713066708735</v>
      </c>
      <c r="P59" s="83">
        <f t="shared" si="30"/>
        <v>118.41146512985006</v>
      </c>
    </row>
    <row r="60" spans="2:16">
      <c r="B60" s="39" t="s">
        <v>206</v>
      </c>
      <c r="C60" s="26">
        <f t="shared" si="19"/>
        <v>116.762897</v>
      </c>
      <c r="D60" s="26">
        <f t="shared" si="20"/>
        <v>99.3377555</v>
      </c>
      <c r="E60" s="26">
        <f t="shared" si="21"/>
        <v>116.33736012780651</v>
      </c>
      <c r="F60" s="26">
        <f t="shared" si="22"/>
        <v>98.979035429116678</v>
      </c>
      <c r="G60" s="26">
        <f t="shared" si="23"/>
        <v>116.33736012780651</v>
      </c>
      <c r="H60" s="26">
        <f t="shared" si="24"/>
        <v>98.979035429116678</v>
      </c>
      <c r="I60" s="83"/>
      <c r="J60" s="39" t="s">
        <v>206</v>
      </c>
      <c r="K60" s="83">
        <f t="shared" si="25"/>
        <v>111.66575374999999</v>
      </c>
      <c r="L60" s="83">
        <f t="shared" si="26"/>
        <v>107.6648625</v>
      </c>
      <c r="M60" s="83">
        <f t="shared" si="27"/>
        <v>111.2566732313127</v>
      </c>
      <c r="N60" s="83">
        <f t="shared" si="28"/>
        <v>107.28555565456213</v>
      </c>
      <c r="O60" s="83">
        <f t="shared" si="29"/>
        <v>111.2566732313127</v>
      </c>
      <c r="P60" s="83">
        <f t="shared" si="30"/>
        <v>107.28555565456213</v>
      </c>
    </row>
    <row r="61" spans="2:16">
      <c r="B61" s="39" t="s">
        <v>207</v>
      </c>
      <c r="C61" s="26">
        <f t="shared" si="19"/>
        <v>141.42810374999999</v>
      </c>
      <c r="D61" s="26">
        <f t="shared" si="20"/>
        <v>138.43516775000001</v>
      </c>
      <c r="E61" s="26">
        <f t="shared" si="21"/>
        <v>140.90934537140788</v>
      </c>
      <c r="F61" s="26">
        <f t="shared" si="22"/>
        <v>137.92938590383608</v>
      </c>
      <c r="G61" s="26">
        <f t="shared" si="23"/>
        <v>140.90934537140788</v>
      </c>
      <c r="H61" s="26">
        <f t="shared" si="24"/>
        <v>137.92938590383608</v>
      </c>
      <c r="I61" s="83"/>
      <c r="J61" s="39" t="s">
        <v>207</v>
      </c>
      <c r="K61" s="83">
        <f t="shared" si="25"/>
        <v>163.71095750000001</v>
      </c>
      <c r="L61" s="83">
        <f t="shared" si="26"/>
        <v>164.59534249999999</v>
      </c>
      <c r="M61" s="83">
        <f t="shared" si="27"/>
        <v>163.11009046502497</v>
      </c>
      <c r="N61" s="83">
        <f t="shared" si="28"/>
        <v>164.01546770438188</v>
      </c>
      <c r="O61" s="83">
        <f t="shared" si="29"/>
        <v>163.11009046502497</v>
      </c>
      <c r="P61" s="83">
        <f t="shared" si="30"/>
        <v>164.01546770438188</v>
      </c>
    </row>
    <row r="62" spans="2:16">
      <c r="B62" s="39" t="s">
        <v>208</v>
      </c>
      <c r="C62" s="26">
        <f t="shared" si="19"/>
        <v>57.660214750000002</v>
      </c>
      <c r="D62" s="26">
        <f t="shared" si="20"/>
        <v>58.908429499999997</v>
      </c>
      <c r="E62" s="26">
        <f t="shared" si="21"/>
        <v>57.452652540772831</v>
      </c>
      <c r="F62" s="26">
        <f t="shared" si="22"/>
        <v>58.700681717700036</v>
      </c>
      <c r="G62" s="26">
        <f t="shared" si="23"/>
        <v>57.452652540772831</v>
      </c>
      <c r="H62" s="26">
        <f t="shared" si="24"/>
        <v>58.700681717700036</v>
      </c>
      <c r="I62" s="83"/>
      <c r="J62" s="39" t="s">
        <v>208</v>
      </c>
      <c r="K62" s="83">
        <f t="shared" si="25"/>
        <v>94.964786750000002</v>
      </c>
      <c r="L62" s="83">
        <f t="shared" si="26"/>
        <v>110.76291125</v>
      </c>
      <c r="M62" s="83">
        <f t="shared" si="27"/>
        <v>94.615604074184006</v>
      </c>
      <c r="N62" s="83">
        <f t="shared" si="28"/>
        <v>110.37268987710081</v>
      </c>
      <c r="O62" s="83">
        <f t="shared" si="29"/>
        <v>94.615604074184006</v>
      </c>
      <c r="P62" s="83">
        <f t="shared" si="30"/>
        <v>110.37268987710081</v>
      </c>
    </row>
    <row r="63" spans="2:16">
      <c r="B63" s="39" t="s">
        <v>198</v>
      </c>
      <c r="C63" s="84">
        <f t="shared" ref="C63:H63" si="31">SUMPRODUCT(C53:C62,$V$22:$V$31)</f>
        <v>237.23970278831496</v>
      </c>
      <c r="D63" s="84">
        <f t="shared" si="31"/>
        <v>116.14651125726594</v>
      </c>
      <c r="E63" s="84">
        <f t="shared" si="31"/>
        <v>236.36698830148626</v>
      </c>
      <c r="F63" s="84">
        <f t="shared" si="31"/>
        <v>115.72414721345307</v>
      </c>
      <c r="G63" s="84">
        <f t="shared" si="31"/>
        <v>236.36698830148626</v>
      </c>
      <c r="H63" s="84">
        <f t="shared" si="31"/>
        <v>115.72414721345307</v>
      </c>
      <c r="I63" s="107"/>
      <c r="J63" s="39" t="s">
        <v>198</v>
      </c>
      <c r="K63" s="107">
        <f t="shared" ref="K63:P63" si="32">SUMPRODUCT(K53:K62,$AD$22:$AD$31)</f>
        <v>216.87334730134762</v>
      </c>
      <c r="L63" s="107">
        <f t="shared" si="32"/>
        <v>144.33129876189452</v>
      </c>
      <c r="M63" s="107">
        <f t="shared" si="32"/>
        <v>216.08191001029553</v>
      </c>
      <c r="N63" s="107">
        <f t="shared" si="32"/>
        <v>143.82281485767439</v>
      </c>
      <c r="O63" s="107">
        <f t="shared" si="32"/>
        <v>216.08191001029553</v>
      </c>
      <c r="P63" s="107">
        <f t="shared" si="32"/>
        <v>143.82281485767439</v>
      </c>
    </row>
    <row r="64" spans="2:16">
      <c r="B64" s="20"/>
      <c r="C64" s="26"/>
      <c r="D64" s="26"/>
      <c r="E64" s="27"/>
      <c r="F64" s="26"/>
      <c r="G64" s="141"/>
      <c r="H64" s="141"/>
      <c r="I64" s="141"/>
      <c r="J64" s="20"/>
      <c r="K64" s="83"/>
      <c r="L64" s="83"/>
      <c r="M64" s="108"/>
      <c r="N64" s="83"/>
      <c r="O64" s="141"/>
      <c r="P64" s="141"/>
    </row>
    <row r="65" spans="2:16">
      <c r="B65" s="20"/>
      <c r="C65" s="26"/>
      <c r="D65" s="26"/>
      <c r="E65" s="27"/>
      <c r="G65" s="141"/>
      <c r="H65" s="141"/>
      <c r="I65" s="141"/>
      <c r="J65" s="20"/>
      <c r="K65" s="83"/>
      <c r="L65" s="83"/>
      <c r="M65" s="108"/>
      <c r="O65" s="141"/>
      <c r="P65" s="141"/>
    </row>
    <row r="66" spans="2:16">
      <c r="B66" s="20"/>
      <c r="C66" s="468" t="s">
        <v>221</v>
      </c>
      <c r="D66" s="468"/>
      <c r="E66" s="468"/>
      <c r="F66" s="468"/>
      <c r="G66" s="468"/>
      <c r="H66" s="468"/>
      <c r="J66" s="20"/>
      <c r="K66" s="468" t="s">
        <v>223</v>
      </c>
      <c r="L66" s="468"/>
      <c r="M66" s="468"/>
      <c r="N66" s="468"/>
      <c r="O66" s="468"/>
      <c r="P66" s="468"/>
    </row>
    <row r="67" spans="2:16">
      <c r="B67" s="20"/>
      <c r="C67" s="485">
        <f>$C$27</f>
        <v>45658</v>
      </c>
      <c r="D67" s="486"/>
      <c r="E67" s="485">
        <f>$D$27</f>
        <v>45901</v>
      </c>
      <c r="F67" s="486"/>
      <c r="G67" s="487" t="str">
        <f>$E$21</f>
        <v>Proposed</v>
      </c>
      <c r="H67" s="487"/>
      <c r="I67" s="128"/>
      <c r="J67" s="20"/>
      <c r="K67" s="469">
        <f>$C$27</f>
        <v>45658</v>
      </c>
      <c r="L67" s="470"/>
      <c r="M67" s="469">
        <f>$D$21</f>
        <v>45901</v>
      </c>
      <c r="N67" s="470"/>
      <c r="O67" s="471" t="str">
        <f>$E$21</f>
        <v>Proposed</v>
      </c>
      <c r="P67" s="471"/>
    </row>
    <row r="68" spans="2:16">
      <c r="B68" s="20"/>
      <c r="C68" s="83" t="s">
        <v>147</v>
      </c>
      <c r="D68" s="83" t="s">
        <v>148</v>
      </c>
      <c r="E68" s="83" t="s">
        <v>147</v>
      </c>
      <c r="F68" s="83" t="s">
        <v>148</v>
      </c>
      <c r="G68" s="83" t="s">
        <v>147</v>
      </c>
      <c r="H68" s="83" t="s">
        <v>148</v>
      </c>
      <c r="I68" s="83"/>
      <c r="J68" s="20"/>
      <c r="K68" s="83" t="s">
        <v>147</v>
      </c>
      <c r="L68" s="83" t="s">
        <v>148</v>
      </c>
      <c r="M68" s="83" t="s">
        <v>147</v>
      </c>
      <c r="N68" s="83" t="s">
        <v>148</v>
      </c>
      <c r="O68" s="83" t="s">
        <v>147</v>
      </c>
      <c r="P68" s="83" t="s">
        <v>148</v>
      </c>
    </row>
    <row r="69" spans="2:16" ht="15" customHeight="1">
      <c r="B69" s="39" t="s">
        <v>199</v>
      </c>
      <c r="C69" s="83">
        <f>C$22*I22</f>
        <v>164.863805625</v>
      </c>
      <c r="D69" s="83">
        <f>C$22*J22</f>
        <v>134.33347125</v>
      </c>
      <c r="E69" s="83">
        <f>D$22*I22</f>
        <v>163.6817177884368</v>
      </c>
      <c r="F69" s="83">
        <f>D$22*J22</f>
        <v>133.37028856835593</v>
      </c>
      <c r="G69" s="83">
        <f>E$22*I22</f>
        <v>163.6817177884368</v>
      </c>
      <c r="H69" s="83">
        <f>E$22*J22</f>
        <v>133.37028856835593</v>
      </c>
      <c r="I69" s="83"/>
      <c r="J69" s="39" t="s">
        <v>199</v>
      </c>
      <c r="K69" s="83">
        <f>$C$22*M22</f>
        <v>185.62443300000001</v>
      </c>
      <c r="L69" s="83">
        <f>$C$22*N22</f>
        <v>317.51547750000003</v>
      </c>
      <c r="M69" s="83">
        <f>$D$22*M22</f>
        <v>184.2934896580918</v>
      </c>
      <c r="N69" s="83">
        <f>$D$22*N22</f>
        <v>315.23886388884125</v>
      </c>
      <c r="O69" s="83">
        <f>$E$22*M22</f>
        <v>184.2934896580918</v>
      </c>
      <c r="P69" s="83">
        <f>$E$22*N22</f>
        <v>315.23886388884125</v>
      </c>
    </row>
    <row r="70" spans="2:16" ht="15" customHeight="1">
      <c r="B70" s="39" t="s">
        <v>200</v>
      </c>
      <c r="C70" s="83">
        <f t="shared" ref="C70:C78" si="33">C$22*I23</f>
        <v>119.67891075000001</v>
      </c>
      <c r="D70" s="83">
        <f t="shared" ref="D70:D78" si="34">C$22*J23</f>
        <v>134.33347125</v>
      </c>
      <c r="E70" s="83">
        <f t="shared" ref="E70:E78" si="35">D$22*I23</f>
        <v>118.8208025427171</v>
      </c>
      <c r="F70" s="83">
        <f t="shared" ref="F70:F78" si="36">D$22*J23</f>
        <v>133.37028856835593</v>
      </c>
      <c r="G70" s="83">
        <f t="shared" ref="G70:G78" si="37">E$22*I23</f>
        <v>118.8208025427171</v>
      </c>
      <c r="H70" s="83">
        <f t="shared" ref="H70:H78" si="38">E$22*J23</f>
        <v>133.37028856835593</v>
      </c>
      <c r="I70" s="83"/>
      <c r="J70" s="39" t="s">
        <v>200</v>
      </c>
      <c r="K70" s="83">
        <f t="shared" ref="K70:L78" si="39">$C$22*M23</f>
        <v>103.80313687500001</v>
      </c>
      <c r="L70" s="83">
        <f t="shared" si="39"/>
        <v>317.51547750000003</v>
      </c>
      <c r="M70" s="83">
        <f t="shared" ref="M70:N78" si="40">$D$22*M23</f>
        <v>103.05885934827504</v>
      </c>
      <c r="N70" s="83">
        <f t="shared" si="40"/>
        <v>315.23886388884125</v>
      </c>
      <c r="O70" s="83">
        <f t="shared" ref="O70:P78" si="41">$E$22*M23</f>
        <v>103.05885934827504</v>
      </c>
      <c r="P70" s="83">
        <f t="shared" si="41"/>
        <v>315.23886388884125</v>
      </c>
    </row>
    <row r="71" spans="2:16">
      <c r="B71" s="39" t="s">
        <v>201</v>
      </c>
      <c r="C71" s="83">
        <f t="shared" si="33"/>
        <v>216.15476737500001</v>
      </c>
      <c r="D71" s="83">
        <f t="shared" si="34"/>
        <v>127.00619100000002</v>
      </c>
      <c r="E71" s="83">
        <f t="shared" si="35"/>
        <v>214.6049188781727</v>
      </c>
      <c r="F71" s="83">
        <f t="shared" si="36"/>
        <v>126.09554555553652</v>
      </c>
      <c r="G71" s="83">
        <f t="shared" si="37"/>
        <v>214.6049188781727</v>
      </c>
      <c r="H71" s="83">
        <f t="shared" si="38"/>
        <v>126.09554555553652</v>
      </c>
      <c r="I71" s="83"/>
      <c r="J71" s="39" t="s">
        <v>201</v>
      </c>
      <c r="K71" s="83">
        <f t="shared" si="39"/>
        <v>243.021461625</v>
      </c>
      <c r="L71" s="83">
        <f t="shared" si="39"/>
        <v>326.06397112500002</v>
      </c>
      <c r="M71" s="83">
        <f t="shared" si="40"/>
        <v>241.27897659184387</v>
      </c>
      <c r="N71" s="83">
        <f t="shared" si="40"/>
        <v>323.72606407046391</v>
      </c>
      <c r="O71" s="83">
        <f t="shared" si="41"/>
        <v>241.27897659184387</v>
      </c>
      <c r="P71" s="83">
        <f t="shared" si="41"/>
        <v>323.72606407046391</v>
      </c>
    </row>
    <row r="72" spans="2:16" s="28" customFormat="1">
      <c r="B72" s="39" t="s">
        <v>202</v>
      </c>
      <c r="C72" s="83">
        <f t="shared" si="33"/>
        <v>183.18200625</v>
      </c>
      <c r="D72" s="83">
        <f t="shared" si="34"/>
        <v>124.56376424999999</v>
      </c>
      <c r="E72" s="83">
        <f t="shared" si="35"/>
        <v>181.86857532048535</v>
      </c>
      <c r="F72" s="83">
        <f t="shared" si="36"/>
        <v>123.67063121793002</v>
      </c>
      <c r="G72" s="83">
        <f t="shared" si="37"/>
        <v>181.86857532048535</v>
      </c>
      <c r="H72" s="83">
        <f t="shared" si="38"/>
        <v>123.67063121793002</v>
      </c>
      <c r="I72" s="83"/>
      <c r="J72" s="39" t="s">
        <v>202</v>
      </c>
      <c r="K72" s="83">
        <f t="shared" si="39"/>
        <v>217.37598075000002</v>
      </c>
      <c r="L72" s="83">
        <f t="shared" si="39"/>
        <v>289.42756987500002</v>
      </c>
      <c r="M72" s="83">
        <f t="shared" si="40"/>
        <v>215.81737604697597</v>
      </c>
      <c r="N72" s="83">
        <f t="shared" si="40"/>
        <v>287.35234900636686</v>
      </c>
      <c r="O72" s="83">
        <f t="shared" si="41"/>
        <v>215.81737604697597</v>
      </c>
      <c r="P72" s="83">
        <f t="shared" si="41"/>
        <v>287.35234900636686</v>
      </c>
    </row>
    <row r="73" spans="2:16">
      <c r="B73" s="39" t="s">
        <v>203</v>
      </c>
      <c r="C73" s="83">
        <f t="shared" si="33"/>
        <v>79.378869375000008</v>
      </c>
      <c r="D73" s="83">
        <f t="shared" si="34"/>
        <v>91.591003125</v>
      </c>
      <c r="E73" s="83">
        <f t="shared" si="35"/>
        <v>78.809715972210313</v>
      </c>
      <c r="F73" s="83">
        <f t="shared" si="36"/>
        <v>90.934287660242674</v>
      </c>
      <c r="G73" s="83">
        <f t="shared" si="37"/>
        <v>78.809715972210313</v>
      </c>
      <c r="H73" s="83">
        <f t="shared" si="38"/>
        <v>90.934287660242674</v>
      </c>
      <c r="I73" s="83"/>
      <c r="J73" s="39" t="s">
        <v>203</v>
      </c>
      <c r="K73" s="83">
        <f t="shared" si="39"/>
        <v>86.706149624999995</v>
      </c>
      <c r="L73" s="83">
        <f t="shared" si="39"/>
        <v>157.53652537500002</v>
      </c>
      <c r="M73" s="83">
        <f t="shared" si="40"/>
        <v>86.084458985029727</v>
      </c>
      <c r="N73" s="83">
        <f t="shared" si="40"/>
        <v>156.40697477561741</v>
      </c>
      <c r="O73" s="83">
        <f t="shared" si="41"/>
        <v>86.084458985029727</v>
      </c>
      <c r="P73" s="83">
        <f t="shared" si="41"/>
        <v>156.40697477561741</v>
      </c>
    </row>
    <row r="74" spans="2:16">
      <c r="B74" s="39" t="s">
        <v>204</v>
      </c>
      <c r="C74" s="83">
        <f t="shared" si="33"/>
        <v>86.706149624999995</v>
      </c>
      <c r="D74" s="83">
        <f t="shared" si="34"/>
        <v>98.918283375000001</v>
      </c>
      <c r="E74" s="83">
        <f t="shared" si="35"/>
        <v>86.084458985029727</v>
      </c>
      <c r="F74" s="83">
        <f t="shared" si="36"/>
        <v>98.209030673062088</v>
      </c>
      <c r="G74" s="83">
        <f t="shared" si="37"/>
        <v>86.084458985029727</v>
      </c>
      <c r="H74" s="83">
        <f t="shared" si="38"/>
        <v>98.209030673062088</v>
      </c>
      <c r="I74" s="83"/>
      <c r="J74" s="39" t="s">
        <v>204</v>
      </c>
      <c r="K74" s="83">
        <f t="shared" si="39"/>
        <v>127.00619100000002</v>
      </c>
      <c r="L74" s="83">
        <f t="shared" si="39"/>
        <v>233.25175462500002</v>
      </c>
      <c r="M74" s="83">
        <f t="shared" si="40"/>
        <v>126.09554555553652</v>
      </c>
      <c r="N74" s="83">
        <f t="shared" si="40"/>
        <v>231.57931924141803</v>
      </c>
      <c r="O74" s="83">
        <f t="shared" si="41"/>
        <v>126.09554555553652</v>
      </c>
      <c r="P74" s="83">
        <f t="shared" si="41"/>
        <v>231.57931924141803</v>
      </c>
    </row>
    <row r="75" spans="2:16">
      <c r="B75" s="39" t="s">
        <v>205</v>
      </c>
      <c r="C75" s="83">
        <f t="shared" si="33"/>
        <v>234.47296800000001</v>
      </c>
      <c r="D75" s="83">
        <f t="shared" si="34"/>
        <v>119.67891075000001</v>
      </c>
      <c r="E75" s="83">
        <f t="shared" si="35"/>
        <v>232.79177641022125</v>
      </c>
      <c r="F75" s="83">
        <f t="shared" si="36"/>
        <v>118.8208025427171</v>
      </c>
      <c r="G75" s="83">
        <f t="shared" si="37"/>
        <v>232.79177641022125</v>
      </c>
      <c r="H75" s="83">
        <f t="shared" si="38"/>
        <v>118.8208025427171</v>
      </c>
      <c r="I75" s="83"/>
      <c r="J75" s="39" t="s">
        <v>205</v>
      </c>
      <c r="K75" s="83">
        <f t="shared" si="39"/>
        <v>273.55179600000002</v>
      </c>
      <c r="L75" s="83">
        <f t="shared" si="39"/>
        <v>232.03054125</v>
      </c>
      <c r="M75" s="83">
        <f t="shared" si="40"/>
        <v>271.59040581192477</v>
      </c>
      <c r="N75" s="83">
        <f t="shared" si="40"/>
        <v>230.36686207261477</v>
      </c>
      <c r="O75" s="83">
        <f t="shared" si="41"/>
        <v>271.59040581192477</v>
      </c>
      <c r="P75" s="83">
        <f t="shared" si="41"/>
        <v>230.36686207261477</v>
      </c>
    </row>
    <row r="76" spans="2:16">
      <c r="B76" s="39" t="s">
        <v>206</v>
      </c>
      <c r="C76" s="83">
        <f t="shared" si="33"/>
        <v>119.67891075000001</v>
      </c>
      <c r="D76" s="83">
        <f t="shared" si="34"/>
        <v>118.457697375</v>
      </c>
      <c r="E76" s="83">
        <f t="shared" si="35"/>
        <v>118.8208025427171</v>
      </c>
      <c r="F76" s="83">
        <f t="shared" si="36"/>
        <v>117.60834537391385</v>
      </c>
      <c r="G76" s="83">
        <f t="shared" si="37"/>
        <v>118.8208025427171</v>
      </c>
      <c r="H76" s="83">
        <f t="shared" si="38"/>
        <v>117.60834537391385</v>
      </c>
      <c r="I76" s="83"/>
      <c r="J76" s="39" t="s">
        <v>206</v>
      </c>
      <c r="K76" s="83">
        <f t="shared" si="39"/>
        <v>103.80313687500001</v>
      </c>
      <c r="L76" s="83">
        <f t="shared" si="39"/>
        <v>178.29715275000001</v>
      </c>
      <c r="M76" s="83">
        <f t="shared" si="40"/>
        <v>103.05885934827504</v>
      </c>
      <c r="N76" s="83">
        <f t="shared" si="40"/>
        <v>177.01874664527239</v>
      </c>
      <c r="O76" s="83">
        <f t="shared" si="41"/>
        <v>103.05885934827504</v>
      </c>
      <c r="P76" s="83">
        <f t="shared" si="41"/>
        <v>177.01874664527239</v>
      </c>
    </row>
    <row r="77" spans="2:16">
      <c r="B77" s="39" t="s">
        <v>207</v>
      </c>
      <c r="C77" s="83">
        <f t="shared" si="33"/>
        <v>128.22740437500002</v>
      </c>
      <c r="D77" s="83">
        <f t="shared" si="34"/>
        <v>135.55468462499999</v>
      </c>
      <c r="E77" s="83">
        <f t="shared" si="35"/>
        <v>127.30800272433974</v>
      </c>
      <c r="F77" s="83">
        <f t="shared" si="36"/>
        <v>134.58274573715914</v>
      </c>
      <c r="G77" s="83">
        <f t="shared" si="37"/>
        <v>127.30800272433974</v>
      </c>
      <c r="H77" s="83">
        <f t="shared" si="38"/>
        <v>134.58274573715914</v>
      </c>
      <c r="I77" s="83"/>
      <c r="J77" s="39" t="s">
        <v>207</v>
      </c>
      <c r="K77" s="83">
        <f t="shared" si="39"/>
        <v>146.54560499999999</v>
      </c>
      <c r="L77" s="83">
        <f t="shared" si="39"/>
        <v>293.09120999999999</v>
      </c>
      <c r="M77" s="83">
        <f t="shared" si="40"/>
        <v>145.49486025638828</v>
      </c>
      <c r="N77" s="83">
        <f t="shared" si="40"/>
        <v>290.98972051277656</v>
      </c>
      <c r="O77" s="83">
        <f t="shared" si="41"/>
        <v>145.49486025638828</v>
      </c>
      <c r="P77" s="83">
        <f t="shared" si="41"/>
        <v>290.98972051277656</v>
      </c>
    </row>
    <row r="78" spans="2:16">
      <c r="B78" s="39" t="s">
        <v>208</v>
      </c>
      <c r="C78" s="83">
        <f t="shared" si="33"/>
        <v>72.051589125000007</v>
      </c>
      <c r="D78" s="83">
        <f t="shared" si="34"/>
        <v>95.254643250000001</v>
      </c>
      <c r="E78" s="83">
        <f t="shared" si="35"/>
        <v>71.534972959390913</v>
      </c>
      <c r="F78" s="83">
        <f t="shared" si="36"/>
        <v>94.571659166652381</v>
      </c>
      <c r="G78" s="83">
        <f t="shared" si="37"/>
        <v>71.534972959390913</v>
      </c>
      <c r="H78" s="83">
        <f t="shared" si="38"/>
        <v>94.571659166652381</v>
      </c>
      <c r="I78" s="83"/>
      <c r="J78" s="39" t="s">
        <v>208</v>
      </c>
      <c r="K78" s="83">
        <f t="shared" si="39"/>
        <v>81.821296125000003</v>
      </c>
      <c r="L78" s="83">
        <f t="shared" si="39"/>
        <v>191.73049987499999</v>
      </c>
      <c r="M78" s="83">
        <f t="shared" si="40"/>
        <v>81.234630309816794</v>
      </c>
      <c r="N78" s="83">
        <f t="shared" si="40"/>
        <v>190.35577550210797</v>
      </c>
      <c r="O78" s="83">
        <f t="shared" si="41"/>
        <v>81.234630309816794</v>
      </c>
      <c r="P78" s="83">
        <f t="shared" si="41"/>
        <v>190.35577550210797</v>
      </c>
    </row>
    <row r="79" spans="2:16">
      <c r="B79" s="39" t="s">
        <v>198</v>
      </c>
      <c r="C79" s="107">
        <f t="shared" ref="C79:H79" si="42">SUMPRODUCT(C69:C78,$U$22:$U$31)</f>
        <v>184.83219992882593</v>
      </c>
      <c r="D79" s="107">
        <f t="shared" si="42"/>
        <v>122.88125074064479</v>
      </c>
      <c r="E79" s="107">
        <f t="shared" si="42"/>
        <v>183.50693696699639</v>
      </c>
      <c r="F79" s="107">
        <f t="shared" si="42"/>
        <v>122.00018147688783</v>
      </c>
      <c r="G79" s="107">
        <f t="shared" si="42"/>
        <v>183.50693696699639</v>
      </c>
      <c r="H79" s="107">
        <f t="shared" si="42"/>
        <v>122.00018147688783</v>
      </c>
      <c r="I79" s="107"/>
      <c r="J79" s="39" t="s">
        <v>198</v>
      </c>
      <c r="K79" s="107">
        <f t="shared" ref="K79:P79" si="43">SUMPRODUCT(K69:K78,$AC$22:$AC$31)</f>
        <v>199.84678807567636</v>
      </c>
      <c r="L79" s="107">
        <f t="shared" si="43"/>
        <v>287.30345243274206</v>
      </c>
      <c r="M79" s="107">
        <f t="shared" si="43"/>
        <v>198.41386920991988</v>
      </c>
      <c r="N79" s="107">
        <f t="shared" si="43"/>
        <v>285.24346167105938</v>
      </c>
      <c r="O79" s="107">
        <f t="shared" si="43"/>
        <v>198.41386920991988</v>
      </c>
      <c r="P79" s="107">
        <f t="shared" si="43"/>
        <v>285.24346167105938</v>
      </c>
    </row>
    <row r="80" spans="2:16">
      <c r="B80" s="20"/>
      <c r="C80" s="83"/>
      <c r="D80" s="83"/>
      <c r="E80" s="108"/>
      <c r="F80" s="140"/>
      <c r="G80" s="141"/>
      <c r="H80" s="141"/>
      <c r="I80" s="141"/>
      <c r="J80" s="20"/>
      <c r="K80" s="83"/>
      <c r="L80" s="83"/>
      <c r="M80" s="108"/>
      <c r="N80" s="140"/>
      <c r="O80" s="141"/>
      <c r="P80" s="141"/>
    </row>
    <row r="81" spans="2:16">
      <c r="B81" s="20"/>
      <c r="C81" s="83"/>
      <c r="D81" s="83"/>
      <c r="E81" s="108"/>
      <c r="F81" s="83"/>
      <c r="G81" s="141"/>
      <c r="H81" s="141"/>
      <c r="I81" s="141"/>
      <c r="J81" s="20"/>
      <c r="K81" s="83"/>
      <c r="L81" s="83"/>
      <c r="M81" s="108"/>
      <c r="N81" s="83"/>
      <c r="O81" s="141"/>
      <c r="P81" s="141"/>
    </row>
    <row r="82" spans="2:16">
      <c r="B82" s="20"/>
      <c r="C82" s="468" t="s">
        <v>222</v>
      </c>
      <c r="D82" s="468"/>
      <c r="E82" s="468"/>
      <c r="F82" s="468"/>
      <c r="G82" s="468"/>
      <c r="H82" s="468"/>
      <c r="J82" s="20"/>
      <c r="K82" s="468" t="s">
        <v>224</v>
      </c>
      <c r="L82" s="468"/>
      <c r="M82" s="468"/>
      <c r="N82" s="468"/>
      <c r="O82" s="468"/>
      <c r="P82" s="468"/>
    </row>
    <row r="83" spans="2:16">
      <c r="B83" s="20"/>
      <c r="C83" s="485">
        <f>$C$27</f>
        <v>45658</v>
      </c>
      <c r="D83" s="486"/>
      <c r="E83" s="485">
        <f>$D$27</f>
        <v>45901</v>
      </c>
      <c r="F83" s="486"/>
      <c r="G83" s="487" t="str">
        <f>$E$21</f>
        <v>Proposed</v>
      </c>
      <c r="H83" s="487"/>
      <c r="I83" s="128"/>
      <c r="J83" s="20"/>
      <c r="K83" s="469">
        <f>$C$27</f>
        <v>45658</v>
      </c>
      <c r="L83" s="470"/>
      <c r="M83" s="469">
        <f>$D$21</f>
        <v>45901</v>
      </c>
      <c r="N83" s="470"/>
      <c r="O83" s="487" t="str">
        <f>$E$21</f>
        <v>Proposed</v>
      </c>
      <c r="P83" s="487"/>
    </row>
    <row r="84" spans="2:16">
      <c r="B84" s="20"/>
      <c r="C84" s="83" t="s">
        <v>147</v>
      </c>
      <c r="D84" s="83" t="s">
        <v>148</v>
      </c>
      <c r="E84" s="83" t="s">
        <v>147</v>
      </c>
      <c r="F84" s="83" t="s">
        <v>148</v>
      </c>
      <c r="G84" s="83" t="s">
        <v>147</v>
      </c>
      <c r="H84" s="83" t="s">
        <v>148</v>
      </c>
      <c r="I84" s="83"/>
      <c r="J84" s="20"/>
      <c r="K84" s="83" t="s">
        <v>147</v>
      </c>
      <c r="L84" s="83" t="s">
        <v>148</v>
      </c>
      <c r="M84" s="83" t="s">
        <v>147</v>
      </c>
      <c r="N84" s="83" t="s">
        <v>148</v>
      </c>
      <c r="O84" s="83" t="s">
        <v>147</v>
      </c>
      <c r="P84" s="83" t="s">
        <v>148</v>
      </c>
    </row>
    <row r="85" spans="2:16">
      <c r="B85" s="39" t="s">
        <v>199</v>
      </c>
      <c r="C85" s="83">
        <f>C$28*I22</f>
        <v>100.83228468749999</v>
      </c>
      <c r="D85" s="83">
        <f>C$28*J22</f>
        <v>82.159639374999998</v>
      </c>
      <c r="E85" s="83">
        <f>D$28*I22</f>
        <v>100.47704923802262</v>
      </c>
      <c r="F85" s="83">
        <f>D$28*J22</f>
        <v>81.870188268018424</v>
      </c>
      <c r="G85" s="83">
        <f>E$28*I22</f>
        <v>100.47704923802262</v>
      </c>
      <c r="H85" s="83">
        <f>E$28*J22</f>
        <v>81.870188268018424</v>
      </c>
      <c r="I85" s="83"/>
      <c r="J85" s="39" t="s">
        <v>199</v>
      </c>
      <c r="K85" s="83">
        <f>$C$28*M22</f>
        <v>113.52968349999999</v>
      </c>
      <c r="L85" s="83">
        <f>$C$28*N22</f>
        <v>194.19551125000001</v>
      </c>
      <c r="M85" s="83">
        <f>$D$28*M22</f>
        <v>113.12971469762546</v>
      </c>
      <c r="N85" s="83">
        <f>$D$28*N22</f>
        <v>193.51135408804356</v>
      </c>
      <c r="O85" s="83">
        <f>$E$28*M22</f>
        <v>113.12971469762546</v>
      </c>
      <c r="P85" s="83">
        <f>$E$28*N22</f>
        <v>193.51135408804356</v>
      </c>
    </row>
    <row r="86" spans="2:16">
      <c r="B86" s="39" t="s">
        <v>200</v>
      </c>
      <c r="C86" s="83">
        <f t="shared" ref="C86:C94" si="44">C$28*I23</f>
        <v>73.196769625000002</v>
      </c>
      <c r="D86" s="83">
        <f t="shared" ref="D86:D94" si="45">C$28*J23</f>
        <v>82.159639374999998</v>
      </c>
      <c r="E86" s="83">
        <f t="shared" ref="E86:E94" si="46">D$28*I23</f>
        <v>72.938895002416416</v>
      </c>
      <c r="F86" s="83">
        <f t="shared" ref="F86:F94" si="47">D$28*J23</f>
        <v>81.870188268018424</v>
      </c>
      <c r="G86" s="83">
        <f t="shared" ref="G86:G94" si="48">E$28*I23</f>
        <v>72.938895002416416</v>
      </c>
      <c r="H86" s="83">
        <f t="shared" ref="H86:H94" si="49">E$28*J23</f>
        <v>81.870188268018424</v>
      </c>
      <c r="I86" s="83"/>
      <c r="J86" s="39" t="s">
        <v>200</v>
      </c>
      <c r="K86" s="83">
        <f t="shared" ref="K86:L94" si="50">$C$28*M23</f>
        <v>63.486994062500003</v>
      </c>
      <c r="L86" s="83">
        <f t="shared" si="50"/>
        <v>194.19551125000001</v>
      </c>
      <c r="M86" s="83">
        <f t="shared" ref="M86:N94" si="51">$D$28*M23</f>
        <v>63.263327298014239</v>
      </c>
      <c r="N86" s="83">
        <f t="shared" si="51"/>
        <v>193.51135408804356</v>
      </c>
      <c r="O86" s="83">
        <f t="shared" ref="O86:P94" si="52">$E$28*M23</f>
        <v>63.263327298014239</v>
      </c>
      <c r="P86" s="83">
        <f t="shared" si="52"/>
        <v>193.51135408804356</v>
      </c>
    </row>
    <row r="87" spans="2:16">
      <c r="B87" s="39" t="s">
        <v>201</v>
      </c>
      <c r="C87" s="83">
        <f t="shared" si="44"/>
        <v>132.20232881249999</v>
      </c>
      <c r="D87" s="83">
        <f t="shared" si="45"/>
        <v>77.678204500000007</v>
      </c>
      <c r="E87" s="83">
        <f t="shared" si="46"/>
        <v>131.73657566762964</v>
      </c>
      <c r="F87" s="83">
        <f t="shared" si="47"/>
        <v>77.404541635217427</v>
      </c>
      <c r="G87" s="83">
        <f t="shared" si="48"/>
        <v>131.73657566762964</v>
      </c>
      <c r="H87" s="83">
        <f t="shared" si="49"/>
        <v>77.404541635217427</v>
      </c>
      <c r="I87" s="83"/>
      <c r="J87" s="39" t="s">
        <v>201</v>
      </c>
      <c r="K87" s="83">
        <f t="shared" si="50"/>
        <v>148.6342566875</v>
      </c>
      <c r="L87" s="83">
        <f t="shared" si="50"/>
        <v>199.42385193749999</v>
      </c>
      <c r="M87" s="83">
        <f t="shared" si="51"/>
        <v>148.11061332123333</v>
      </c>
      <c r="N87" s="83">
        <f t="shared" si="51"/>
        <v>198.72127515964473</v>
      </c>
      <c r="O87" s="83">
        <f t="shared" si="52"/>
        <v>148.11061332123333</v>
      </c>
      <c r="P87" s="83">
        <f t="shared" si="52"/>
        <v>198.72127515964473</v>
      </c>
    </row>
    <row r="88" spans="2:16">
      <c r="B88" s="39" t="s">
        <v>202</v>
      </c>
      <c r="C88" s="83">
        <f t="shared" si="44"/>
        <v>112.035871875</v>
      </c>
      <c r="D88" s="83">
        <f t="shared" si="45"/>
        <v>76.184392875</v>
      </c>
      <c r="E88" s="83">
        <f t="shared" si="46"/>
        <v>111.64116582002512</v>
      </c>
      <c r="F88" s="83">
        <f t="shared" si="47"/>
        <v>75.915992757617076</v>
      </c>
      <c r="G88" s="83">
        <f t="shared" si="48"/>
        <v>111.64116582002512</v>
      </c>
      <c r="H88" s="83">
        <f t="shared" si="49"/>
        <v>75.915992757617076</v>
      </c>
      <c r="I88" s="83"/>
      <c r="J88" s="39" t="s">
        <v>202</v>
      </c>
      <c r="K88" s="83">
        <f t="shared" si="50"/>
        <v>132.949234625</v>
      </c>
      <c r="L88" s="83">
        <f t="shared" si="50"/>
        <v>177.01667756249998</v>
      </c>
      <c r="M88" s="83">
        <f t="shared" si="51"/>
        <v>132.48085010642981</v>
      </c>
      <c r="N88" s="83">
        <f t="shared" si="51"/>
        <v>176.39304199563969</v>
      </c>
      <c r="O88" s="83">
        <f t="shared" si="52"/>
        <v>132.48085010642981</v>
      </c>
      <c r="P88" s="83">
        <f t="shared" si="52"/>
        <v>176.39304199563969</v>
      </c>
    </row>
    <row r="89" spans="2:16">
      <c r="B89" s="39" t="s">
        <v>203</v>
      </c>
      <c r="C89" s="83">
        <f t="shared" si="44"/>
        <v>48.548877812500002</v>
      </c>
      <c r="D89" s="83">
        <f t="shared" si="45"/>
        <v>56.017935937499999</v>
      </c>
      <c r="E89" s="83">
        <f t="shared" si="46"/>
        <v>48.37783852201089</v>
      </c>
      <c r="F89" s="83">
        <f t="shared" si="47"/>
        <v>55.820582910012561</v>
      </c>
      <c r="G89" s="83">
        <f t="shared" si="48"/>
        <v>48.37783852201089</v>
      </c>
      <c r="H89" s="83">
        <f t="shared" si="49"/>
        <v>55.820582910012561</v>
      </c>
      <c r="I89" s="83"/>
      <c r="J89" s="39" t="s">
        <v>203</v>
      </c>
      <c r="K89" s="83">
        <f t="shared" si="50"/>
        <v>53.030312687499993</v>
      </c>
      <c r="L89" s="83">
        <f t="shared" si="50"/>
        <v>96.350849812500002</v>
      </c>
      <c r="M89" s="83">
        <f t="shared" si="51"/>
        <v>52.843485154811894</v>
      </c>
      <c r="N89" s="83">
        <f t="shared" si="51"/>
        <v>96.011402605221619</v>
      </c>
      <c r="O89" s="83">
        <f t="shared" si="52"/>
        <v>52.843485154811894</v>
      </c>
      <c r="P89" s="83">
        <f t="shared" si="52"/>
        <v>96.011402605221619</v>
      </c>
    </row>
    <row r="90" spans="2:16">
      <c r="B90" s="39" t="s">
        <v>204</v>
      </c>
      <c r="C90" s="83">
        <f t="shared" si="44"/>
        <v>53.030312687499993</v>
      </c>
      <c r="D90" s="83">
        <f t="shared" si="45"/>
        <v>60.499370812499997</v>
      </c>
      <c r="E90" s="83">
        <f t="shared" si="46"/>
        <v>52.843485154811894</v>
      </c>
      <c r="F90" s="83">
        <f t="shared" si="47"/>
        <v>60.286229542813565</v>
      </c>
      <c r="G90" s="83">
        <f t="shared" si="48"/>
        <v>52.843485154811894</v>
      </c>
      <c r="H90" s="83">
        <f t="shared" si="49"/>
        <v>60.286229542813565</v>
      </c>
      <c r="I90" s="83"/>
      <c r="J90" s="39" t="s">
        <v>204</v>
      </c>
      <c r="K90" s="83">
        <f t="shared" si="50"/>
        <v>77.678204500000007</v>
      </c>
      <c r="L90" s="83">
        <f t="shared" si="50"/>
        <v>142.6590101875</v>
      </c>
      <c r="M90" s="83">
        <f t="shared" si="51"/>
        <v>77.404541635217427</v>
      </c>
      <c r="N90" s="83">
        <f t="shared" si="51"/>
        <v>142.15641781083201</v>
      </c>
      <c r="O90" s="83">
        <f t="shared" si="52"/>
        <v>77.404541635217427</v>
      </c>
      <c r="P90" s="83">
        <f t="shared" si="52"/>
        <v>142.15641781083201</v>
      </c>
    </row>
    <row r="91" spans="2:16">
      <c r="B91" s="39" t="s">
        <v>205</v>
      </c>
      <c r="C91" s="83">
        <f t="shared" si="44"/>
        <v>143.40591599999999</v>
      </c>
      <c r="D91" s="83">
        <f t="shared" si="45"/>
        <v>73.196769625000002</v>
      </c>
      <c r="E91" s="83">
        <f t="shared" si="46"/>
        <v>142.90069224963216</v>
      </c>
      <c r="F91" s="83">
        <f t="shared" si="47"/>
        <v>72.938895002416416</v>
      </c>
      <c r="G91" s="83">
        <f t="shared" si="48"/>
        <v>142.90069224963216</v>
      </c>
      <c r="H91" s="83">
        <f t="shared" si="49"/>
        <v>72.938895002416416</v>
      </c>
      <c r="I91" s="83"/>
      <c r="J91" s="39" t="s">
        <v>205</v>
      </c>
      <c r="K91" s="83">
        <f t="shared" si="50"/>
        <v>167.30690199999998</v>
      </c>
      <c r="L91" s="83">
        <f t="shared" si="50"/>
        <v>141.91210437499998</v>
      </c>
      <c r="M91" s="83">
        <f t="shared" si="51"/>
        <v>166.71747429123752</v>
      </c>
      <c r="N91" s="83">
        <f t="shared" si="51"/>
        <v>141.41214337203184</v>
      </c>
      <c r="O91" s="83">
        <f t="shared" si="52"/>
        <v>166.71747429123752</v>
      </c>
      <c r="P91" s="83">
        <f t="shared" si="52"/>
        <v>141.41214337203184</v>
      </c>
    </row>
    <row r="92" spans="2:16">
      <c r="B92" s="39" t="s">
        <v>206</v>
      </c>
      <c r="C92" s="83">
        <f t="shared" si="44"/>
        <v>73.196769625000002</v>
      </c>
      <c r="D92" s="83">
        <f t="shared" si="45"/>
        <v>72.449863812499999</v>
      </c>
      <c r="E92" s="83">
        <f t="shared" si="46"/>
        <v>72.938895002416416</v>
      </c>
      <c r="F92" s="83">
        <f t="shared" si="47"/>
        <v>72.19462056361624</v>
      </c>
      <c r="G92" s="83">
        <f t="shared" si="48"/>
        <v>72.938895002416416</v>
      </c>
      <c r="H92" s="83">
        <f t="shared" si="49"/>
        <v>72.19462056361624</v>
      </c>
      <c r="I92" s="83"/>
      <c r="J92" s="39" t="s">
        <v>206</v>
      </c>
      <c r="K92" s="83">
        <f t="shared" si="50"/>
        <v>63.486994062500003</v>
      </c>
      <c r="L92" s="83">
        <f t="shared" si="50"/>
        <v>109.048248625</v>
      </c>
      <c r="M92" s="83">
        <f t="shared" si="51"/>
        <v>63.263327298014239</v>
      </c>
      <c r="N92" s="83">
        <f t="shared" si="51"/>
        <v>108.66406806482445</v>
      </c>
      <c r="O92" s="83">
        <f t="shared" si="52"/>
        <v>63.263327298014239</v>
      </c>
      <c r="P92" s="83">
        <f t="shared" si="52"/>
        <v>108.66406806482445</v>
      </c>
    </row>
    <row r="93" spans="2:16">
      <c r="B93" s="39" t="s">
        <v>207</v>
      </c>
      <c r="C93" s="83">
        <f t="shared" si="44"/>
        <v>78.425110312499996</v>
      </c>
      <c r="D93" s="83">
        <f t="shared" si="45"/>
        <v>82.906545187500001</v>
      </c>
      <c r="E93" s="83">
        <f t="shared" si="46"/>
        <v>78.148816074017589</v>
      </c>
      <c r="F93" s="83">
        <f t="shared" si="47"/>
        <v>82.614462706818586</v>
      </c>
      <c r="G93" s="83">
        <f t="shared" si="48"/>
        <v>78.148816074017589</v>
      </c>
      <c r="H93" s="83">
        <f t="shared" si="49"/>
        <v>82.614462706818586</v>
      </c>
      <c r="I93" s="83"/>
      <c r="J93" s="39" t="s">
        <v>207</v>
      </c>
      <c r="K93" s="83">
        <f t="shared" si="50"/>
        <v>89.628697500000001</v>
      </c>
      <c r="L93" s="83">
        <f t="shared" si="50"/>
        <v>179.257395</v>
      </c>
      <c r="M93" s="83">
        <f t="shared" si="51"/>
        <v>89.312932656020095</v>
      </c>
      <c r="N93" s="83">
        <f t="shared" si="51"/>
        <v>178.62586531204019</v>
      </c>
      <c r="O93" s="83">
        <f t="shared" si="52"/>
        <v>89.312932656020095</v>
      </c>
      <c r="P93" s="83">
        <f t="shared" si="52"/>
        <v>178.62586531204019</v>
      </c>
    </row>
    <row r="94" spans="2:16">
      <c r="B94" s="39" t="s">
        <v>208</v>
      </c>
      <c r="C94" s="83">
        <f t="shared" si="44"/>
        <v>44.067442937500005</v>
      </c>
      <c r="D94" s="83">
        <f t="shared" si="45"/>
        <v>58.258653374999994</v>
      </c>
      <c r="E94" s="83">
        <f t="shared" si="46"/>
        <v>43.912191889209886</v>
      </c>
      <c r="F94" s="83">
        <f t="shared" si="47"/>
        <v>58.053406226413067</v>
      </c>
      <c r="G94" s="83">
        <f t="shared" si="48"/>
        <v>43.912191889209886</v>
      </c>
      <c r="H94" s="83">
        <f t="shared" si="49"/>
        <v>58.053406226413067</v>
      </c>
      <c r="I94" s="83"/>
      <c r="J94" s="39" t="s">
        <v>208</v>
      </c>
      <c r="K94" s="83">
        <f t="shared" si="50"/>
        <v>50.042689437500002</v>
      </c>
      <c r="L94" s="83">
        <f t="shared" si="50"/>
        <v>117.26421256249999</v>
      </c>
      <c r="M94" s="83">
        <f t="shared" si="51"/>
        <v>49.866387399611227</v>
      </c>
      <c r="N94" s="83">
        <f t="shared" si="51"/>
        <v>116.8510868916263</v>
      </c>
      <c r="O94" s="83">
        <f t="shared" si="52"/>
        <v>49.866387399611227</v>
      </c>
      <c r="P94" s="83">
        <f t="shared" si="52"/>
        <v>116.8510868916263</v>
      </c>
    </row>
    <row r="95" spans="2:16">
      <c r="B95" s="39" t="s">
        <v>198</v>
      </c>
      <c r="C95" s="107">
        <f t="shared" ref="C95:H95" si="53">SUMPRODUCT(C85:C94,$V$22:$V$31)</f>
        <v>123.81379177706907</v>
      </c>
      <c r="D95" s="107">
        <f t="shared" si="53"/>
        <v>75.657258993596159</v>
      </c>
      <c r="E95" s="107">
        <f t="shared" si="53"/>
        <v>123.37759172358682</v>
      </c>
      <c r="F95" s="107">
        <f t="shared" si="53"/>
        <v>75.39071598618429</v>
      </c>
      <c r="G95" s="107">
        <f t="shared" si="53"/>
        <v>123.37759172358682</v>
      </c>
      <c r="H95" s="107">
        <f t="shared" si="53"/>
        <v>75.39071598618429</v>
      </c>
      <c r="I95" s="107"/>
      <c r="J95" s="39" t="s">
        <v>198</v>
      </c>
      <c r="K95" s="107">
        <f t="shared" ref="K95:P95" si="54">SUMPRODUCT(K85:K94,$AD$22:$AD$31)</f>
        <v>132.71980483814363</v>
      </c>
      <c r="L95" s="107">
        <f t="shared" si="54"/>
        <v>178.15157593921302</v>
      </c>
      <c r="M95" s="107">
        <f t="shared" si="54"/>
        <v>132.25222860824519</v>
      </c>
      <c r="N95" s="107">
        <f t="shared" si="54"/>
        <v>177.5239420881106</v>
      </c>
      <c r="O95" s="107">
        <f t="shared" si="54"/>
        <v>132.25222860824519</v>
      </c>
      <c r="P95" s="107">
        <f t="shared" si="54"/>
        <v>177.5239420881106</v>
      </c>
    </row>
    <row r="98" spans="2:16">
      <c r="B98" s="182">
        <f>'Hypothetical Summary'!D3</f>
        <v>500</v>
      </c>
      <c r="C98" s="488" t="s">
        <v>245</v>
      </c>
      <c r="D98" s="468"/>
      <c r="E98" s="468"/>
      <c r="F98" s="468"/>
      <c r="G98" s="468"/>
      <c r="H98" s="468"/>
      <c r="J98" s="182">
        <f>'Hypothetical Summary'!D3</f>
        <v>500</v>
      </c>
      <c r="K98" s="488" t="s">
        <v>254</v>
      </c>
      <c r="L98" s="468"/>
      <c r="M98" s="468"/>
      <c r="N98" s="468"/>
      <c r="O98" s="468"/>
      <c r="P98" s="468"/>
    </row>
    <row r="99" spans="2:16">
      <c r="B99" s="20"/>
      <c r="C99" s="485">
        <f>$C$27</f>
        <v>45658</v>
      </c>
      <c r="D99" s="486"/>
      <c r="E99" s="485">
        <f>$D$27</f>
        <v>45901</v>
      </c>
      <c r="F99" s="486"/>
      <c r="G99" s="487" t="str">
        <f>$E$21</f>
        <v>Proposed</v>
      </c>
      <c r="H99" s="487"/>
      <c r="I99" s="128"/>
      <c r="J99" s="20"/>
      <c r="K99" s="469">
        <f>$C$27</f>
        <v>45658</v>
      </c>
      <c r="L99" s="470"/>
      <c r="M99" s="469">
        <f>$D$21</f>
        <v>45901</v>
      </c>
      <c r="N99" s="470"/>
      <c r="O99" s="487" t="str">
        <f>$E$21</f>
        <v>Proposed</v>
      </c>
      <c r="P99" s="487"/>
    </row>
    <row r="100" spans="2:16">
      <c r="B100" s="20"/>
      <c r="C100" s="83" t="s">
        <v>147</v>
      </c>
      <c r="D100" s="83" t="s">
        <v>148</v>
      </c>
      <c r="E100" s="83" t="s">
        <v>147</v>
      </c>
      <c r="F100" s="83" t="s">
        <v>148</v>
      </c>
      <c r="G100" s="83" t="s">
        <v>147</v>
      </c>
      <c r="H100" s="83" t="s">
        <v>148</v>
      </c>
      <c r="I100" s="83"/>
      <c r="J100" s="20"/>
      <c r="K100" s="83" t="s">
        <v>147</v>
      </c>
      <c r="L100" s="83" t="s">
        <v>148</v>
      </c>
      <c r="M100" s="83" t="s">
        <v>147</v>
      </c>
      <c r="N100" s="83" t="s">
        <v>148</v>
      </c>
      <c r="O100" s="83" t="s">
        <v>147</v>
      </c>
      <c r="P100" s="83" t="s">
        <v>148</v>
      </c>
    </row>
    <row r="101" spans="2:16">
      <c r="B101" s="39" t="s">
        <v>199</v>
      </c>
      <c r="C101" s="83">
        <f>$C$22*MIN(I22,$B$98)+IF($B$98-I22&gt;0,$C$23*($B$98-I22))</f>
        <v>209.63965156249998</v>
      </c>
      <c r="D101" s="83">
        <f>$C$22*MIN(J22,$B$98)+IF($B$98-J22&gt;0,$C$23*($B$98-J22))</f>
        <v>217.35175312500002</v>
      </c>
      <c r="E101" s="83">
        <f>$D$22*MIN(I22,$B$98)+IF($B$98-I22&gt;0,$D$23*($B$98-I22))</f>
        <v>208.15590601585379</v>
      </c>
      <c r="F101" s="83">
        <f>$D$22*MIN(J22,$B$98)+IF($B$98-J22&gt;0,$D$23*($B$98-J22))</f>
        <v>215.82927102017152</v>
      </c>
      <c r="G101" s="83">
        <f>$E$22*MIN(I22,$B$98)+IF($B$98-I22&gt;0,$E$23*($B$98-I22))</f>
        <v>208.15590601585379</v>
      </c>
      <c r="H101" s="83">
        <f>$E$22*MIN(J22,$B$98)+IF($B$98-J22&gt;0,$E$23*($B$98-J22))</f>
        <v>215.82927102017152</v>
      </c>
      <c r="I101" s="83"/>
      <c r="J101" s="39" t="s">
        <v>199</v>
      </c>
      <c r="K101" s="83">
        <f t="shared" ref="K101:L103" si="55">$C$22*MIN(M22,$B$98)+IF($B$98-M22&gt;0,$C$23*($B$98-M22))</f>
        <v>204.39542250000002</v>
      </c>
      <c r="L101" s="83">
        <f t="shared" si="55"/>
        <v>200.61</v>
      </c>
      <c r="M101" s="83">
        <f>$D$22*MIN(M22,$B$98)+IF($B$98-M22&gt;0,$D$23*($B$98-M22))</f>
        <v>202.93801781291776</v>
      </c>
      <c r="N101" s="83">
        <f>$D$22*MIN(N22,$B$98)+IF($B$98-N22&gt;0,$D$23*($B$98-N22))</f>
        <v>199.17160883831386</v>
      </c>
      <c r="O101" s="83">
        <f>$E$22*MIN(M22,$B$98)+IF($B$98-M22&gt;0,$E$23*($B$98-M22))</f>
        <v>202.93801781291776</v>
      </c>
      <c r="P101" s="83">
        <f>$E$22*MIN(N22,$B$98)+IF($B$98-N22&gt;0,$E$23*($B$98-N22))</f>
        <v>199.17160883831386</v>
      </c>
    </row>
    <row r="102" spans="2:16">
      <c r="B102" s="39" t="s">
        <v>200</v>
      </c>
      <c r="C102" s="83">
        <f t="shared" ref="C102:D110" si="56">$C$22*MIN(I23,$B$98)+IF($B$98-I23&gt;0,$C$23*($B$98-I23))</f>
        <v>221.05356187500001</v>
      </c>
      <c r="D102" s="83">
        <f t="shared" si="56"/>
        <v>217.35175312500002</v>
      </c>
      <c r="E102" s="83">
        <f t="shared" ref="E102:F110" si="57">$D$22*MIN(I23,$B$98)+IF($B$98-I23&gt;0,$D$23*($B$98-I23))</f>
        <v>219.51248622224398</v>
      </c>
      <c r="F102" s="83">
        <f t="shared" si="57"/>
        <v>215.82927102017152</v>
      </c>
      <c r="G102" s="83">
        <f t="shared" ref="G102:H110" si="58">$E$22*MIN(I23,$B$98)+IF($B$98-I23&gt;0,$E$23*($B$98-I23))</f>
        <v>219.51248622224398</v>
      </c>
      <c r="H102" s="83">
        <f t="shared" si="58"/>
        <v>215.82927102017152</v>
      </c>
      <c r="I102" s="83"/>
      <c r="J102" s="39" t="s">
        <v>200</v>
      </c>
      <c r="K102" s="83">
        <f t="shared" si="55"/>
        <v>225.0638546875</v>
      </c>
      <c r="L102" s="83">
        <f t="shared" si="55"/>
        <v>200.61</v>
      </c>
      <c r="M102" s="83">
        <f t="shared" ref="M102:N110" si="59">$D$22*MIN(M23,$B$98)+IF($B$98-M23&gt;0,$D$23*($B$98-M23))</f>
        <v>223.50263602448919</v>
      </c>
      <c r="N102" s="83">
        <f t="shared" si="59"/>
        <v>199.17160883831386</v>
      </c>
      <c r="O102" s="83">
        <f t="shared" ref="O102:P110" si="60">$E$22*MIN(M23,$B$98)+IF($B$98-M23&gt;0,$E$23*($B$98-M23))</f>
        <v>223.50263602448919</v>
      </c>
      <c r="P102" s="83">
        <f t="shared" si="60"/>
        <v>199.17160883831386</v>
      </c>
    </row>
    <row r="103" spans="2:16">
      <c r="B103" s="39" t="s">
        <v>201</v>
      </c>
      <c r="C103" s="83">
        <f t="shared" si="56"/>
        <v>200.61</v>
      </c>
      <c r="D103" s="83">
        <f t="shared" si="56"/>
        <v>219.20265749999999</v>
      </c>
      <c r="E103" s="83">
        <f t="shared" si="57"/>
        <v>199.17160883831386</v>
      </c>
      <c r="F103" s="83">
        <f t="shared" si="57"/>
        <v>217.67087862120775</v>
      </c>
      <c r="G103" s="83">
        <f t="shared" si="58"/>
        <v>199.17160883831386</v>
      </c>
      <c r="H103" s="83">
        <f t="shared" si="58"/>
        <v>217.67087862120775</v>
      </c>
      <c r="I103" s="83"/>
      <c r="J103" s="39" t="s">
        <v>201</v>
      </c>
      <c r="K103" s="83">
        <f t="shared" si="55"/>
        <v>200.61</v>
      </c>
      <c r="L103" s="83">
        <f t="shared" si="55"/>
        <v>200.61</v>
      </c>
      <c r="M103" s="83">
        <f t="shared" si="59"/>
        <v>199.17160883831386</v>
      </c>
      <c r="N103" s="83">
        <f t="shared" si="59"/>
        <v>199.17160883831386</v>
      </c>
      <c r="O103" s="83">
        <f t="shared" si="60"/>
        <v>199.17160883831386</v>
      </c>
      <c r="P103" s="83">
        <f t="shared" si="60"/>
        <v>199.17160883831386</v>
      </c>
    </row>
    <row r="104" spans="2:16">
      <c r="B104" s="39" t="s">
        <v>202</v>
      </c>
      <c r="C104" s="83">
        <f t="shared" si="56"/>
        <v>205.01239062499999</v>
      </c>
      <c r="D104" s="83">
        <f t="shared" si="56"/>
        <v>219.81962562500001</v>
      </c>
      <c r="E104" s="83">
        <f t="shared" si="57"/>
        <v>203.55188701326318</v>
      </c>
      <c r="F104" s="83">
        <f t="shared" si="57"/>
        <v>218.28474782155314</v>
      </c>
      <c r="G104" s="83">
        <f t="shared" si="58"/>
        <v>203.55188701326318</v>
      </c>
      <c r="H104" s="83">
        <f t="shared" si="58"/>
        <v>218.28474782155314</v>
      </c>
      <c r="I104" s="83"/>
      <c r="J104" s="39" t="s">
        <v>202</v>
      </c>
      <c r="K104" s="83">
        <f t="shared" ref="K104:L110" si="61">$C$22*MIN(M25,$B$98)+IF($B$98-M25&gt;0,$C$23*($B$98-M25))</f>
        <v>200.61</v>
      </c>
      <c r="L104" s="83">
        <f t="shared" si="61"/>
        <v>200.61</v>
      </c>
      <c r="M104" s="83">
        <f t="shared" si="59"/>
        <v>199.17160883831386</v>
      </c>
      <c r="N104" s="83">
        <f t="shared" si="59"/>
        <v>199.17160883831386</v>
      </c>
      <c r="O104" s="83">
        <f t="shared" si="60"/>
        <v>199.17160883831386</v>
      </c>
      <c r="P104" s="83">
        <f t="shared" si="60"/>
        <v>199.17160883831386</v>
      </c>
    </row>
    <row r="105" spans="2:16">
      <c r="B105" s="39" t="s">
        <v>203</v>
      </c>
      <c r="C105" s="83">
        <f t="shared" si="56"/>
        <v>231.23353593749999</v>
      </c>
      <c r="D105" s="83">
        <f t="shared" si="56"/>
        <v>228.14869531249997</v>
      </c>
      <c r="E105" s="83">
        <f t="shared" si="57"/>
        <v>229.64132802794336</v>
      </c>
      <c r="F105" s="83">
        <f t="shared" si="57"/>
        <v>226.57198202621629</v>
      </c>
      <c r="G105" s="83">
        <f t="shared" si="58"/>
        <v>229.64132802794336</v>
      </c>
      <c r="H105" s="83">
        <f t="shared" si="58"/>
        <v>226.57198202621629</v>
      </c>
      <c r="I105" s="83"/>
      <c r="J105" s="39" t="s">
        <v>203</v>
      </c>
      <c r="K105" s="83">
        <f t="shared" si="61"/>
        <v>229.38263156249999</v>
      </c>
      <c r="L105" s="83">
        <f t="shared" si="61"/>
        <v>211.49055593750001</v>
      </c>
      <c r="M105" s="83">
        <f t="shared" si="59"/>
        <v>227.7997204269071</v>
      </c>
      <c r="N105" s="83">
        <f t="shared" si="59"/>
        <v>209.99751361689005</v>
      </c>
      <c r="O105" s="83">
        <f t="shared" si="60"/>
        <v>227.7997204269071</v>
      </c>
      <c r="P105" s="83">
        <f t="shared" si="60"/>
        <v>209.99751361689005</v>
      </c>
    </row>
    <row r="106" spans="2:16">
      <c r="B106" s="39" t="s">
        <v>204</v>
      </c>
      <c r="C106" s="83">
        <f t="shared" si="56"/>
        <v>229.38263156249999</v>
      </c>
      <c r="D106" s="83">
        <f t="shared" si="56"/>
        <v>226.2977909375</v>
      </c>
      <c r="E106" s="83">
        <f t="shared" si="57"/>
        <v>227.7997204269071</v>
      </c>
      <c r="F106" s="83">
        <f t="shared" si="57"/>
        <v>224.73037442518003</v>
      </c>
      <c r="G106" s="83">
        <f t="shared" si="58"/>
        <v>227.7997204269071</v>
      </c>
      <c r="H106" s="83">
        <f t="shared" si="58"/>
        <v>224.73037442518003</v>
      </c>
      <c r="I106" s="83"/>
      <c r="J106" s="39" t="s">
        <v>204</v>
      </c>
      <c r="K106" s="83">
        <f t="shared" si="61"/>
        <v>219.20265749999999</v>
      </c>
      <c r="L106" s="83">
        <f t="shared" si="61"/>
        <v>200.61</v>
      </c>
      <c r="M106" s="83">
        <f t="shared" si="59"/>
        <v>217.67087862120775</v>
      </c>
      <c r="N106" s="83">
        <f t="shared" si="59"/>
        <v>199.17160883831386</v>
      </c>
      <c r="O106" s="83">
        <f t="shared" si="60"/>
        <v>217.67087862120775</v>
      </c>
      <c r="P106" s="83">
        <f t="shared" si="60"/>
        <v>199.17160883831386</v>
      </c>
    </row>
    <row r="107" spans="2:16">
      <c r="B107" s="39" t="s">
        <v>205</v>
      </c>
      <c r="C107" s="83">
        <f t="shared" si="56"/>
        <v>200.61</v>
      </c>
      <c r="D107" s="83">
        <f t="shared" si="56"/>
        <v>221.05356187500001</v>
      </c>
      <c r="E107" s="83">
        <f t="shared" si="57"/>
        <v>199.17160883831386</v>
      </c>
      <c r="F107" s="83">
        <f t="shared" si="57"/>
        <v>219.51248622224398</v>
      </c>
      <c r="G107" s="83">
        <f t="shared" si="58"/>
        <v>199.17160883831386</v>
      </c>
      <c r="H107" s="83">
        <f t="shared" si="58"/>
        <v>219.51248622224398</v>
      </c>
      <c r="I107" s="83"/>
      <c r="J107" s="39" t="s">
        <v>205</v>
      </c>
      <c r="K107" s="83">
        <f t="shared" si="61"/>
        <v>200.61</v>
      </c>
      <c r="L107" s="83">
        <f t="shared" si="61"/>
        <v>200.61</v>
      </c>
      <c r="M107" s="83">
        <f t="shared" si="59"/>
        <v>199.17160883831386</v>
      </c>
      <c r="N107" s="83">
        <f t="shared" si="59"/>
        <v>199.17160883831386</v>
      </c>
      <c r="O107" s="83">
        <f t="shared" si="60"/>
        <v>199.17160883831386</v>
      </c>
      <c r="P107" s="83">
        <f t="shared" si="60"/>
        <v>199.17160883831386</v>
      </c>
    </row>
    <row r="108" spans="2:16">
      <c r="B108" s="39" t="s">
        <v>206</v>
      </c>
      <c r="C108" s="83">
        <f t="shared" si="56"/>
        <v>221.05356187500001</v>
      </c>
      <c r="D108" s="83">
        <f t="shared" si="56"/>
        <v>221.3620459375</v>
      </c>
      <c r="E108" s="83">
        <f t="shared" si="57"/>
        <v>219.51248622224398</v>
      </c>
      <c r="F108" s="83">
        <f t="shared" si="57"/>
        <v>219.8194208224167</v>
      </c>
      <c r="G108" s="83">
        <f t="shared" si="58"/>
        <v>219.51248622224398</v>
      </c>
      <c r="H108" s="83">
        <f t="shared" si="58"/>
        <v>219.8194208224167</v>
      </c>
      <c r="I108" s="83"/>
      <c r="J108" s="39" t="s">
        <v>206</v>
      </c>
      <c r="K108" s="83">
        <f t="shared" si="61"/>
        <v>225.0638546875</v>
      </c>
      <c r="L108" s="83">
        <f t="shared" si="61"/>
        <v>206.24632687500002</v>
      </c>
      <c r="M108" s="83">
        <f t="shared" si="59"/>
        <v>223.50263602448919</v>
      </c>
      <c r="N108" s="83">
        <f t="shared" si="59"/>
        <v>204.77962541395399</v>
      </c>
      <c r="O108" s="83">
        <f t="shared" si="60"/>
        <v>223.50263602448919</v>
      </c>
      <c r="P108" s="83">
        <f t="shared" si="60"/>
        <v>204.77962541395399</v>
      </c>
    </row>
    <row r="109" spans="2:16">
      <c r="B109" s="39" t="s">
        <v>207</v>
      </c>
      <c r="C109" s="83">
        <f t="shared" si="56"/>
        <v>218.8941734375</v>
      </c>
      <c r="D109" s="83">
        <f t="shared" si="56"/>
        <v>217.04326906249997</v>
      </c>
      <c r="E109" s="83">
        <f t="shared" si="57"/>
        <v>217.36394402103502</v>
      </c>
      <c r="F109" s="83">
        <f t="shared" si="57"/>
        <v>215.52233641999879</v>
      </c>
      <c r="G109" s="83">
        <f t="shared" si="58"/>
        <v>217.36394402103502</v>
      </c>
      <c r="H109" s="83">
        <f t="shared" si="58"/>
        <v>215.52233641999879</v>
      </c>
      <c r="I109" s="83"/>
      <c r="J109" s="39" t="s">
        <v>207</v>
      </c>
      <c r="K109" s="83">
        <f t="shared" si="61"/>
        <v>214.26691249999999</v>
      </c>
      <c r="L109" s="83">
        <f t="shared" si="61"/>
        <v>200.61</v>
      </c>
      <c r="M109" s="83">
        <f t="shared" si="59"/>
        <v>212.75992501844442</v>
      </c>
      <c r="N109" s="83">
        <f t="shared" si="59"/>
        <v>199.17160883831386</v>
      </c>
      <c r="O109" s="83">
        <f t="shared" si="60"/>
        <v>212.75992501844442</v>
      </c>
      <c r="P109" s="83">
        <f t="shared" si="60"/>
        <v>199.17160883831386</v>
      </c>
    </row>
    <row r="110" spans="2:16">
      <c r="B110" s="39" t="s">
        <v>208</v>
      </c>
      <c r="C110" s="83">
        <f t="shared" si="56"/>
        <v>233.08444031249996</v>
      </c>
      <c r="D110" s="83">
        <f t="shared" si="56"/>
        <v>227.22324312499995</v>
      </c>
      <c r="E110" s="83">
        <f t="shared" si="57"/>
        <v>231.48293562897959</v>
      </c>
      <c r="F110" s="83">
        <f t="shared" si="57"/>
        <v>225.65117822569815</v>
      </c>
      <c r="G110" s="83">
        <f t="shared" si="58"/>
        <v>231.48293562897959</v>
      </c>
      <c r="H110" s="83">
        <f t="shared" si="58"/>
        <v>225.65117822569815</v>
      </c>
      <c r="I110" s="83"/>
      <c r="J110" s="39" t="s">
        <v>208</v>
      </c>
      <c r="K110" s="83">
        <f t="shared" si="61"/>
        <v>230.61656781249999</v>
      </c>
      <c r="L110" s="83">
        <f t="shared" si="61"/>
        <v>202.85300218750001</v>
      </c>
      <c r="M110" s="83">
        <f t="shared" si="59"/>
        <v>229.02745882759794</v>
      </c>
      <c r="N110" s="83">
        <f t="shared" si="59"/>
        <v>201.40334481205423</v>
      </c>
      <c r="O110" s="83">
        <f t="shared" si="60"/>
        <v>229.02745882759794</v>
      </c>
      <c r="P110" s="83">
        <f t="shared" si="60"/>
        <v>201.40334481205423</v>
      </c>
    </row>
    <row r="111" spans="2:16">
      <c r="B111" s="39" t="s">
        <v>198</v>
      </c>
      <c r="C111" s="107">
        <f t="shared" ref="C111:H111" si="62">SUMPRODUCT(C101:C110,$U$22:$U$31)</f>
        <v>206.81196978351772</v>
      </c>
      <c r="D111" s="107">
        <f t="shared" si="62"/>
        <v>220.24463620316951</v>
      </c>
      <c r="E111" s="107">
        <f t="shared" si="62"/>
        <v>205.3424271955418</v>
      </c>
      <c r="F111" s="107">
        <f t="shared" si="62"/>
        <v>218.70762364477213</v>
      </c>
      <c r="G111" s="107">
        <f t="shared" si="62"/>
        <v>205.3424271955418</v>
      </c>
      <c r="H111" s="107">
        <f t="shared" si="62"/>
        <v>218.70762364477213</v>
      </c>
      <c r="I111" s="107"/>
      <c r="J111" s="39" t="s">
        <v>198</v>
      </c>
      <c r="K111" s="107">
        <f t="shared" ref="K111:P111" si="63">SUMPRODUCT(K101:K110,$AC$22:$AC$31)</f>
        <v>205.88318959176226</v>
      </c>
      <c r="L111" s="107">
        <f t="shared" si="63"/>
        <v>201.41512047457496</v>
      </c>
      <c r="M111" s="107">
        <f t="shared" si="63"/>
        <v>204.41831210676042</v>
      </c>
      <c r="N111" s="107">
        <f t="shared" si="63"/>
        <v>199.97268533138072</v>
      </c>
      <c r="O111" s="107">
        <f t="shared" si="63"/>
        <v>204.41831210676042</v>
      </c>
      <c r="P111" s="107">
        <f t="shared" si="63"/>
        <v>199.97268533138072</v>
      </c>
    </row>
    <row r="113" spans="2:16">
      <c r="B113" s="182">
        <f>'Hypothetical Summary'!D3</f>
        <v>500</v>
      </c>
      <c r="C113" s="488" t="s">
        <v>246</v>
      </c>
      <c r="D113" s="468"/>
      <c r="E113" s="468"/>
      <c r="F113" s="468"/>
      <c r="G113" s="468"/>
      <c r="H113" s="468"/>
      <c r="J113" s="182">
        <f>'Hypothetical Summary'!D3</f>
        <v>500</v>
      </c>
      <c r="K113" s="488" t="s">
        <v>255</v>
      </c>
      <c r="L113" s="468"/>
      <c r="M113" s="468"/>
      <c r="N113" s="468"/>
      <c r="O113" s="468"/>
      <c r="P113" s="468"/>
    </row>
    <row r="114" spans="2:16">
      <c r="B114" s="20"/>
      <c r="C114" s="485">
        <f>$C$27</f>
        <v>45658</v>
      </c>
      <c r="D114" s="486"/>
      <c r="E114" s="485">
        <f>$D$27</f>
        <v>45901</v>
      </c>
      <c r="F114" s="486"/>
      <c r="G114" s="487" t="str">
        <f>$E$21</f>
        <v>Proposed</v>
      </c>
      <c r="H114" s="487"/>
      <c r="I114" s="128"/>
      <c r="J114" s="20"/>
      <c r="K114" s="469">
        <f>$C$27</f>
        <v>45658</v>
      </c>
      <c r="L114" s="470"/>
      <c r="M114" s="469">
        <f>$D$21</f>
        <v>45901</v>
      </c>
      <c r="N114" s="470"/>
      <c r="O114" s="487" t="str">
        <f>$E$21</f>
        <v>Proposed</v>
      </c>
      <c r="P114" s="487"/>
    </row>
    <row r="115" spans="2:16">
      <c r="B115" s="20"/>
      <c r="C115" s="83" t="s">
        <v>147</v>
      </c>
      <c r="D115" s="83" t="s">
        <v>148</v>
      </c>
      <c r="E115" s="83" t="s">
        <v>147</v>
      </c>
      <c r="F115" s="83" t="s">
        <v>148</v>
      </c>
      <c r="G115" s="83" t="s">
        <v>147</v>
      </c>
      <c r="H115" s="83" t="s">
        <v>148</v>
      </c>
      <c r="I115" s="83"/>
      <c r="J115" s="20"/>
      <c r="K115" s="83" t="s">
        <v>147</v>
      </c>
      <c r="L115" s="83" t="s">
        <v>148</v>
      </c>
      <c r="M115" s="83" t="s">
        <v>147</v>
      </c>
      <c r="N115" s="83" t="s">
        <v>148</v>
      </c>
      <c r="O115" s="83" t="s">
        <v>147</v>
      </c>
      <c r="P115" s="83" t="s">
        <v>148</v>
      </c>
    </row>
    <row r="116" spans="2:16">
      <c r="B116" s="39" t="s">
        <v>199</v>
      </c>
      <c r="C116" s="83">
        <f>$C$28*MIN(I22,$B$113)+IF($B$113-I22&gt;0,$C$29*($B$113-I22))</f>
        <v>128.56449624999999</v>
      </c>
      <c r="D116" s="83">
        <f>$C$28*MIN(J22,$B$113)+IF($B$113-J22&gt;0,$C$29*($B$113-J22))</f>
        <v>133.5775525</v>
      </c>
      <c r="E116" s="83">
        <f>$D$28*MIN(I22,$B$113)+IF($B$113-I22&gt;0,$D$29*($B$113-I22))</f>
        <v>128.10253465208154</v>
      </c>
      <c r="F116" s="83">
        <f>$D$28*MIN(J22,$B$113)+IF($B$113-J22&gt;0,$D$29*($B$113-J22))</f>
        <v>133.09022190488815</v>
      </c>
      <c r="G116" s="83">
        <f>$E$28*MIN(I22,$B$113)+IF($B$113-I22&gt;0,$E$29*($B$113-I22))</f>
        <v>128.10253465208154</v>
      </c>
      <c r="H116" s="83">
        <f>$E$28*MIN(J22,$B$113)+IF($B$113-J22&gt;0,$E$29*($B$113-J22))</f>
        <v>133.09022190488815</v>
      </c>
      <c r="I116" s="83"/>
      <c r="J116" s="39" t="s">
        <v>199</v>
      </c>
      <c r="K116" s="83">
        <f>$C$28*MIN(M22,$B$113)+IF($B$113-M22&gt;0,$C$29*($B$113-M22))</f>
        <v>125.155618</v>
      </c>
      <c r="L116" s="83">
        <f>$C$28*MIN(N22,$B$113)+IF($B$113-N22&gt;0,$C$29*($B$113-N22))</f>
        <v>122.69499999999999</v>
      </c>
      <c r="M116" s="83">
        <f>$D$28*MIN(M22,$B$113)+IF($B$113-M22&gt;0,$D$29*($B$113-M22))</f>
        <v>124.71090732017308</v>
      </c>
      <c r="N116" s="83">
        <f>$D$28*MIN(N22,$B$113)+IF($B$113-N22&gt;0,$D$29*($B$113-N22))</f>
        <v>122.2627414866805</v>
      </c>
      <c r="O116" s="83">
        <f>$E$28*MIN(M22,$B$113)+IF($B$113-M22&gt;0,$E$29*($B$113-M22))</f>
        <v>124.71090732017308</v>
      </c>
      <c r="P116" s="83">
        <f>$E$28*MIN(N22,$B$113)+IF($B$113-N22&gt;0,$E$29*($B$113-N22))</f>
        <v>122.2627414866805</v>
      </c>
    </row>
    <row r="117" spans="2:16">
      <c r="B117" s="39" t="s">
        <v>200</v>
      </c>
      <c r="C117" s="83">
        <f t="shared" ref="C117:D125" si="64">$C$28*MIN(I23,$B$113)+IF($B$113-I23&gt;0,$C$29*($B$113-I23))</f>
        <v>135.98381949999998</v>
      </c>
      <c r="D117" s="83">
        <f t="shared" si="64"/>
        <v>133.5775525</v>
      </c>
      <c r="E117" s="83">
        <f t="shared" ref="E117:F125" si="65">$D$28*MIN(I23,$B$113)+IF($B$113-I23&gt;0,$D$29*($B$113-I23))</f>
        <v>135.48431178623531</v>
      </c>
      <c r="F117" s="83">
        <f t="shared" si="65"/>
        <v>133.09022190488815</v>
      </c>
      <c r="G117" s="83">
        <f t="shared" ref="G117:H125" si="66">$E$28*MIN(I23,$B$113)+IF($B$113-I23&gt;0,$E$29*($B$113-I23))</f>
        <v>135.48431178623531</v>
      </c>
      <c r="H117" s="83">
        <f t="shared" si="66"/>
        <v>133.09022190488815</v>
      </c>
      <c r="I117" s="83"/>
      <c r="J117" s="39" t="s">
        <v>200</v>
      </c>
      <c r="K117" s="83">
        <f t="shared" ref="K117:L125" si="67">$C$28*MIN(M23,$B$113)+IF($B$113-M23&gt;0,$C$29*($B$113-M23))</f>
        <v>138.59060875</v>
      </c>
      <c r="L117" s="83">
        <f t="shared" si="67"/>
        <v>122.69499999999999</v>
      </c>
      <c r="M117" s="83">
        <f t="shared" ref="M117:N125" si="68">$D$28*MIN(M23,$B$113)+IF($B$113-M23&gt;0,$D$29*($B$113-M23))</f>
        <v>138.07790915769473</v>
      </c>
      <c r="N117" s="83">
        <f t="shared" si="68"/>
        <v>122.2627414866805</v>
      </c>
      <c r="O117" s="83">
        <f t="shared" ref="O117:P125" si="69">$E$28*MIN(M23,$B$113)+IF($B$113-M23&gt;0,$E$29*($B$113-M23))</f>
        <v>138.07790915769473</v>
      </c>
      <c r="P117" s="83">
        <f t="shared" si="69"/>
        <v>122.2627414866805</v>
      </c>
    </row>
    <row r="118" spans="2:16">
      <c r="B118" s="39" t="s">
        <v>201</v>
      </c>
      <c r="C118" s="83">
        <f t="shared" si="64"/>
        <v>122.69499999999999</v>
      </c>
      <c r="D118" s="83">
        <f t="shared" si="64"/>
        <v>134.780686</v>
      </c>
      <c r="E118" s="83">
        <f t="shared" si="65"/>
        <v>122.2627414866805</v>
      </c>
      <c r="F118" s="83">
        <f t="shared" si="65"/>
        <v>134.28726684556173</v>
      </c>
      <c r="G118" s="83">
        <f t="shared" si="66"/>
        <v>122.2627414866805</v>
      </c>
      <c r="H118" s="83">
        <f t="shared" si="66"/>
        <v>134.28726684556173</v>
      </c>
      <c r="I118" s="83"/>
      <c r="J118" s="39" t="s">
        <v>201</v>
      </c>
      <c r="K118" s="83">
        <f t="shared" si="67"/>
        <v>122.69499999999999</v>
      </c>
      <c r="L118" s="83">
        <f t="shared" si="67"/>
        <v>122.69499999999999</v>
      </c>
      <c r="M118" s="83">
        <f t="shared" si="68"/>
        <v>122.2627414866805</v>
      </c>
      <c r="N118" s="83">
        <f t="shared" si="68"/>
        <v>122.2627414866805</v>
      </c>
      <c r="O118" s="83">
        <f t="shared" si="69"/>
        <v>122.2627414866805</v>
      </c>
      <c r="P118" s="83">
        <f t="shared" si="69"/>
        <v>122.2627414866805</v>
      </c>
    </row>
    <row r="119" spans="2:16">
      <c r="B119" s="39" t="s">
        <v>202</v>
      </c>
      <c r="C119" s="83">
        <f t="shared" si="64"/>
        <v>125.5566625</v>
      </c>
      <c r="D119" s="83">
        <f t="shared" si="64"/>
        <v>135.18173050000001</v>
      </c>
      <c r="E119" s="83">
        <f t="shared" si="65"/>
        <v>125.1099223003976</v>
      </c>
      <c r="F119" s="83">
        <f t="shared" si="65"/>
        <v>134.68628182578624</v>
      </c>
      <c r="G119" s="83">
        <f t="shared" si="66"/>
        <v>125.1099223003976</v>
      </c>
      <c r="H119" s="83">
        <f t="shared" si="66"/>
        <v>134.68628182578624</v>
      </c>
      <c r="I119" s="83"/>
      <c r="J119" s="39" t="s">
        <v>202</v>
      </c>
      <c r="K119" s="83">
        <f t="shared" si="67"/>
        <v>122.69499999999999</v>
      </c>
      <c r="L119" s="83">
        <f t="shared" si="67"/>
        <v>122.69499999999999</v>
      </c>
      <c r="M119" s="83">
        <f t="shared" si="68"/>
        <v>122.2627414866805</v>
      </c>
      <c r="N119" s="83">
        <f t="shared" si="68"/>
        <v>122.2627414866805</v>
      </c>
      <c r="O119" s="83">
        <f t="shared" si="69"/>
        <v>122.2627414866805</v>
      </c>
      <c r="P119" s="83">
        <f t="shared" si="69"/>
        <v>122.2627414866805</v>
      </c>
    </row>
    <row r="120" spans="2:16">
      <c r="B120" s="39" t="s">
        <v>203</v>
      </c>
      <c r="C120" s="83">
        <f t="shared" si="64"/>
        <v>142.60105375000001</v>
      </c>
      <c r="D120" s="83">
        <f t="shared" si="64"/>
        <v>140.59583125</v>
      </c>
      <c r="E120" s="83">
        <f t="shared" si="65"/>
        <v>142.06805895994</v>
      </c>
      <c r="F120" s="83">
        <f t="shared" si="65"/>
        <v>140.07298405881735</v>
      </c>
      <c r="G120" s="83">
        <f t="shared" si="66"/>
        <v>142.06805895994</v>
      </c>
      <c r="H120" s="83">
        <f t="shared" si="66"/>
        <v>140.07298405881735</v>
      </c>
      <c r="I120" s="83"/>
      <c r="J120" s="39" t="s">
        <v>203</v>
      </c>
      <c r="K120" s="83">
        <f t="shared" si="67"/>
        <v>141.39792025</v>
      </c>
      <c r="L120" s="83">
        <f t="shared" si="67"/>
        <v>129.76762975</v>
      </c>
      <c r="M120" s="83">
        <f t="shared" si="68"/>
        <v>140.87101401926643</v>
      </c>
      <c r="N120" s="83">
        <f t="shared" si="68"/>
        <v>129.29957959275515</v>
      </c>
      <c r="O120" s="83">
        <f t="shared" si="69"/>
        <v>140.87101401926643</v>
      </c>
      <c r="P120" s="83">
        <f t="shared" si="69"/>
        <v>129.29957959275515</v>
      </c>
    </row>
    <row r="121" spans="2:16">
      <c r="B121" s="39" t="s">
        <v>204</v>
      </c>
      <c r="C121" s="83">
        <f t="shared" si="64"/>
        <v>141.39792025</v>
      </c>
      <c r="D121" s="83">
        <f t="shared" si="64"/>
        <v>139.39269775</v>
      </c>
      <c r="E121" s="83">
        <f t="shared" si="65"/>
        <v>140.87101401926643</v>
      </c>
      <c r="F121" s="83">
        <f t="shared" si="65"/>
        <v>138.87593911814378</v>
      </c>
      <c r="G121" s="83">
        <f t="shared" si="66"/>
        <v>140.87101401926643</v>
      </c>
      <c r="H121" s="83">
        <f t="shared" si="66"/>
        <v>138.87593911814378</v>
      </c>
      <c r="I121" s="83"/>
      <c r="J121" s="39" t="s">
        <v>204</v>
      </c>
      <c r="K121" s="83">
        <f t="shared" si="67"/>
        <v>134.780686</v>
      </c>
      <c r="L121" s="83">
        <f t="shared" si="67"/>
        <v>122.69499999999999</v>
      </c>
      <c r="M121" s="83">
        <f t="shared" si="68"/>
        <v>134.28726684556173</v>
      </c>
      <c r="N121" s="83">
        <f t="shared" si="68"/>
        <v>122.2627414866805</v>
      </c>
      <c r="O121" s="83">
        <f t="shared" si="69"/>
        <v>134.28726684556173</v>
      </c>
      <c r="P121" s="83">
        <f t="shared" si="69"/>
        <v>122.2627414866805</v>
      </c>
    </row>
    <row r="122" spans="2:16">
      <c r="B122" s="39" t="s">
        <v>205</v>
      </c>
      <c r="C122" s="83">
        <f t="shared" si="64"/>
        <v>122.69499999999999</v>
      </c>
      <c r="D122" s="83">
        <f t="shared" si="64"/>
        <v>135.98381949999998</v>
      </c>
      <c r="E122" s="83">
        <f t="shared" si="65"/>
        <v>122.2627414866805</v>
      </c>
      <c r="F122" s="83">
        <f t="shared" si="65"/>
        <v>135.48431178623531</v>
      </c>
      <c r="G122" s="83">
        <f t="shared" si="66"/>
        <v>122.2627414866805</v>
      </c>
      <c r="H122" s="83">
        <f t="shared" si="66"/>
        <v>135.48431178623531</v>
      </c>
      <c r="I122" s="83"/>
      <c r="J122" s="39" t="s">
        <v>205</v>
      </c>
      <c r="K122" s="83">
        <f t="shared" si="67"/>
        <v>122.69499999999999</v>
      </c>
      <c r="L122" s="83">
        <f t="shared" si="67"/>
        <v>122.69499999999999</v>
      </c>
      <c r="M122" s="83">
        <f t="shared" si="68"/>
        <v>122.2627414866805</v>
      </c>
      <c r="N122" s="83">
        <f t="shared" si="68"/>
        <v>122.2627414866805</v>
      </c>
      <c r="O122" s="83">
        <f t="shared" si="69"/>
        <v>122.2627414866805</v>
      </c>
      <c r="P122" s="83">
        <f t="shared" si="69"/>
        <v>122.2627414866805</v>
      </c>
    </row>
    <row r="123" spans="2:16">
      <c r="B123" s="39" t="s">
        <v>206</v>
      </c>
      <c r="C123" s="83">
        <f t="shared" si="64"/>
        <v>135.98381949999998</v>
      </c>
      <c r="D123" s="83">
        <f t="shared" si="64"/>
        <v>136.18434174999999</v>
      </c>
      <c r="E123" s="83">
        <f t="shared" si="65"/>
        <v>135.48431178623531</v>
      </c>
      <c r="F123" s="83">
        <f t="shared" si="65"/>
        <v>135.68381927634755</v>
      </c>
      <c r="G123" s="83">
        <f t="shared" si="66"/>
        <v>135.48431178623531</v>
      </c>
      <c r="H123" s="83">
        <f t="shared" si="66"/>
        <v>135.68381927634755</v>
      </c>
      <c r="I123" s="83"/>
      <c r="J123" s="39" t="s">
        <v>206</v>
      </c>
      <c r="K123" s="83">
        <f t="shared" si="67"/>
        <v>138.59060875</v>
      </c>
      <c r="L123" s="83">
        <f t="shared" si="67"/>
        <v>126.35875150000001</v>
      </c>
      <c r="M123" s="83">
        <f t="shared" si="68"/>
        <v>138.07790915769473</v>
      </c>
      <c r="N123" s="83">
        <f t="shared" si="68"/>
        <v>125.90795226084666</v>
      </c>
      <c r="O123" s="83">
        <f t="shared" si="69"/>
        <v>138.07790915769473</v>
      </c>
      <c r="P123" s="83">
        <f t="shared" si="69"/>
        <v>125.90795226084666</v>
      </c>
    </row>
    <row r="124" spans="2:16">
      <c r="B124" s="39" t="s">
        <v>207</v>
      </c>
      <c r="C124" s="83">
        <f t="shared" si="64"/>
        <v>134.58016375</v>
      </c>
      <c r="D124" s="83">
        <f t="shared" si="64"/>
        <v>133.37703025000002</v>
      </c>
      <c r="E124" s="83">
        <f t="shared" si="65"/>
        <v>134.08775935544946</v>
      </c>
      <c r="F124" s="83">
        <f t="shared" si="65"/>
        <v>132.89071441477586</v>
      </c>
      <c r="G124" s="83">
        <f t="shared" si="66"/>
        <v>134.08775935544946</v>
      </c>
      <c r="H124" s="83">
        <f t="shared" si="66"/>
        <v>132.89071441477586</v>
      </c>
      <c r="I124" s="83"/>
      <c r="J124" s="39" t="s">
        <v>207</v>
      </c>
      <c r="K124" s="83">
        <f t="shared" si="67"/>
        <v>131.57232999999999</v>
      </c>
      <c r="L124" s="83">
        <f t="shared" si="67"/>
        <v>122.69499999999999</v>
      </c>
      <c r="M124" s="83">
        <f t="shared" si="68"/>
        <v>131.0951470037655</v>
      </c>
      <c r="N124" s="83">
        <f t="shared" si="68"/>
        <v>122.2627414866805</v>
      </c>
      <c r="O124" s="83">
        <f t="shared" si="69"/>
        <v>131.0951470037655</v>
      </c>
      <c r="P124" s="83">
        <f t="shared" si="69"/>
        <v>122.2627414866805</v>
      </c>
    </row>
    <row r="125" spans="2:16">
      <c r="B125" s="39" t="s">
        <v>208</v>
      </c>
      <c r="C125" s="83">
        <f t="shared" si="64"/>
        <v>143.80418724999998</v>
      </c>
      <c r="D125" s="83">
        <f t="shared" si="64"/>
        <v>139.99426449999999</v>
      </c>
      <c r="E125" s="83">
        <f t="shared" si="65"/>
        <v>143.26510390061358</v>
      </c>
      <c r="F125" s="83">
        <f t="shared" si="65"/>
        <v>139.47446158848058</v>
      </c>
      <c r="G125" s="83">
        <f t="shared" si="66"/>
        <v>143.26510390061358</v>
      </c>
      <c r="H125" s="83">
        <f t="shared" si="66"/>
        <v>139.47446158848058</v>
      </c>
      <c r="I125" s="83"/>
      <c r="J125" s="39" t="s">
        <v>208</v>
      </c>
      <c r="K125" s="83">
        <f t="shared" si="67"/>
        <v>142.20000924999999</v>
      </c>
      <c r="L125" s="83">
        <f t="shared" si="67"/>
        <v>124.15300675</v>
      </c>
      <c r="M125" s="83">
        <f t="shared" si="68"/>
        <v>141.66904397971547</v>
      </c>
      <c r="N125" s="83">
        <f t="shared" si="68"/>
        <v>123.71336986961177</v>
      </c>
      <c r="O125" s="83">
        <f t="shared" si="69"/>
        <v>141.66904397971547</v>
      </c>
      <c r="P125" s="83">
        <f t="shared" si="69"/>
        <v>123.71336986961177</v>
      </c>
    </row>
    <row r="126" spans="2:16">
      <c r="B126" s="39" t="s">
        <v>198</v>
      </c>
      <c r="C126" s="107">
        <f t="shared" ref="C126:H126" si="70">SUMPRODUCT(C116:C125,$V$22:$V$31)</f>
        <v>124.64490638204735</v>
      </c>
      <c r="D126" s="107">
        <f t="shared" si="70"/>
        <v>135.32325044827368</v>
      </c>
      <c r="E126" s="107">
        <f t="shared" si="70"/>
        <v>124.20278020176646</v>
      </c>
      <c r="F126" s="107">
        <f t="shared" si="70"/>
        <v>134.82708560033447</v>
      </c>
      <c r="G126" s="107">
        <f t="shared" si="70"/>
        <v>124.20278020176646</v>
      </c>
      <c r="H126" s="107">
        <f t="shared" si="70"/>
        <v>134.82708560033447</v>
      </c>
      <c r="I126" s="107"/>
      <c r="J126" s="39" t="s">
        <v>198</v>
      </c>
      <c r="K126" s="107">
        <f t="shared" ref="K126:P126" si="71">SUMPRODUCT(K116:K125,$AD$22:$AD$31)</f>
        <v>124.57811118032407</v>
      </c>
      <c r="L126" s="107">
        <f t="shared" si="71"/>
        <v>123.02798375991206</v>
      </c>
      <c r="M126" s="107">
        <f t="shared" si="71"/>
        <v>124.13632302283818</v>
      </c>
      <c r="N126" s="107">
        <f t="shared" si="71"/>
        <v>122.59404015397649</v>
      </c>
      <c r="O126" s="107">
        <f t="shared" si="71"/>
        <v>124.13632302283818</v>
      </c>
      <c r="P126" s="107">
        <f t="shared" si="71"/>
        <v>122.59404015397649</v>
      </c>
    </row>
  </sheetData>
  <mergeCells count="57">
    <mergeCell ref="K99:L99"/>
    <mergeCell ref="M99:N99"/>
    <mergeCell ref="O99:P99"/>
    <mergeCell ref="K113:P113"/>
    <mergeCell ref="K114:L114"/>
    <mergeCell ref="M114:N114"/>
    <mergeCell ref="O114:P114"/>
    <mergeCell ref="K82:P82"/>
    <mergeCell ref="K83:L83"/>
    <mergeCell ref="M83:N83"/>
    <mergeCell ref="O83:P83"/>
    <mergeCell ref="K98:P98"/>
    <mergeCell ref="K51:L51"/>
    <mergeCell ref="M51:N51"/>
    <mergeCell ref="O51:P51"/>
    <mergeCell ref="K66:P66"/>
    <mergeCell ref="K67:L67"/>
    <mergeCell ref="M67:N67"/>
    <mergeCell ref="O67:P67"/>
    <mergeCell ref="C114:D114"/>
    <mergeCell ref="E114:F114"/>
    <mergeCell ref="G114:H114"/>
    <mergeCell ref="C113:H113"/>
    <mergeCell ref="C99:D99"/>
    <mergeCell ref="E99:F99"/>
    <mergeCell ref="G99:H99"/>
    <mergeCell ref="C98:H98"/>
    <mergeCell ref="C83:D83"/>
    <mergeCell ref="E83:F83"/>
    <mergeCell ref="G83:H83"/>
    <mergeCell ref="C82:H82"/>
    <mergeCell ref="AC20:AD20"/>
    <mergeCell ref="Y21:Z21"/>
    <mergeCell ref="AA21:AB21"/>
    <mergeCell ref="C67:D67"/>
    <mergeCell ref="E67:F67"/>
    <mergeCell ref="G67:H67"/>
    <mergeCell ref="C66:H66"/>
    <mergeCell ref="K34:P34"/>
    <mergeCell ref="K35:L35"/>
    <mergeCell ref="C35:D35"/>
    <mergeCell ref="E35:F35"/>
    <mergeCell ref="G35:H35"/>
    <mergeCell ref="C51:D51"/>
    <mergeCell ref="E51:F51"/>
    <mergeCell ref="G51:H51"/>
    <mergeCell ref="C34:H34"/>
    <mergeCell ref="C50:H50"/>
    <mergeCell ref="B2:D2"/>
    <mergeCell ref="U20:V20"/>
    <mergeCell ref="Q21:R21"/>
    <mergeCell ref="S21:T21"/>
    <mergeCell ref="E3:I3"/>
    <mergeCell ref="P3:T3"/>
    <mergeCell ref="M35:N35"/>
    <mergeCell ref="O35:P35"/>
    <mergeCell ref="K50:P50"/>
  </mergeCells>
  <pageMargins left="0.7" right="0.7" top="0.75" bottom="0.75" header="0.3" footer="0.3"/>
  <pageSetup orientation="portrait" r:id="rId1"/>
  <headerFooter>
    <oddFooter>&amp;C&amp;1#&amp;"Calibri"&amp;10&amp;K000000Internal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39238-0B17-47C6-B664-48FB6ACB1FA6}">
  <sheetPr codeName="Sheet15">
    <tabColor rgb="FF92D050"/>
    <pageSetUpPr autoPageBreaks="0"/>
  </sheetPr>
  <dimension ref="B1:AB83"/>
  <sheetViews>
    <sheetView workbookViewId="0">
      <selection activeCell="V35" sqref="V35"/>
    </sheetView>
  </sheetViews>
  <sheetFormatPr defaultColWidth="8.81640625" defaultRowHeight="14.5"/>
  <cols>
    <col min="1" max="1" width="3.54296875" style="39" customWidth="1"/>
    <col min="2" max="3" width="19.453125" style="39" customWidth="1"/>
    <col min="4" max="4" width="10.54296875" style="39" customWidth="1"/>
    <col min="5" max="5" width="20.81640625" style="39" customWidth="1"/>
    <col min="6" max="6" width="13.54296875" style="39" customWidth="1"/>
    <col min="7" max="7" width="15.7265625" style="39" bestFit="1" customWidth="1"/>
    <col min="8" max="8" width="16" style="39" customWidth="1"/>
    <col min="9" max="9" width="15.1796875" style="39" customWidth="1"/>
    <col min="10" max="10" width="15.453125" style="39" bestFit="1" customWidth="1"/>
    <col min="11" max="13" width="15.453125" style="39" customWidth="1"/>
    <col min="14" max="14" width="13" style="39" customWidth="1"/>
    <col min="15" max="15" width="15.54296875" style="39" customWidth="1"/>
    <col min="16" max="16" width="13" style="39" customWidth="1"/>
    <col min="17" max="18" width="14" style="39" customWidth="1"/>
    <col min="19" max="19" width="21.54296875" style="39" customWidth="1"/>
    <col min="20" max="20" width="15" style="39" customWidth="1"/>
    <col min="21" max="21" width="14.26953125" style="39" customWidth="1"/>
    <col min="22" max="22" width="15.81640625" style="39" bestFit="1" customWidth="1"/>
    <col min="23" max="26" width="20.1796875" style="39" bestFit="1" customWidth="1"/>
    <col min="27" max="27" width="10.26953125" style="39" customWidth="1"/>
    <col min="28" max="28" width="16.7265625" style="39" customWidth="1"/>
    <col min="29" max="29" width="16.453125" style="39" customWidth="1"/>
    <col min="30" max="30" width="12.81640625" style="39" bestFit="1" customWidth="1"/>
    <col min="31" max="31" width="16.26953125" style="39" customWidth="1"/>
    <col min="32" max="32" width="14.7265625" style="39" customWidth="1"/>
    <col min="33" max="16384" width="8.81640625" style="39"/>
  </cols>
  <sheetData>
    <row r="1" spans="2:25" ht="53.9" customHeight="1">
      <c r="B1" s="480"/>
      <c r="C1" s="480"/>
      <c r="D1" s="480"/>
      <c r="E1" s="480"/>
      <c r="F1" s="480"/>
      <c r="G1" s="480"/>
      <c r="H1" s="480"/>
      <c r="I1" s="480"/>
      <c r="J1" s="480"/>
      <c r="K1" s="480"/>
      <c r="L1" s="480"/>
      <c r="M1" s="480"/>
      <c r="N1" s="480"/>
      <c r="O1" s="480"/>
      <c r="P1" s="480"/>
      <c r="Q1" s="480"/>
      <c r="R1" s="480"/>
      <c r="S1" s="480"/>
      <c r="T1" s="480"/>
      <c r="U1" s="480"/>
      <c r="V1" s="480"/>
      <c r="W1" s="480"/>
    </row>
    <row r="2" spans="2:25" ht="15.5">
      <c r="B2" s="323"/>
      <c r="C2" s="324"/>
      <c r="D2" s="323"/>
      <c r="E2" s="323"/>
      <c r="F2" s="323"/>
      <c r="G2" s="323"/>
      <c r="H2" s="323"/>
      <c r="I2" s="323"/>
      <c r="J2" s="323"/>
      <c r="K2" s="323"/>
      <c r="L2" s="323"/>
      <c r="M2" s="323"/>
      <c r="N2" s="323"/>
      <c r="O2" s="323"/>
      <c r="P2" s="323"/>
      <c r="Q2" s="323"/>
      <c r="R2" s="323"/>
      <c r="S2" s="323"/>
      <c r="T2" s="323"/>
      <c r="U2" s="323"/>
      <c r="V2" s="323"/>
      <c r="W2" s="323"/>
    </row>
    <row r="3" spans="2:25">
      <c r="B3" s="1"/>
      <c r="C3" s="64" t="s">
        <v>195</v>
      </c>
      <c r="P3" s="326"/>
      <c r="Q3" s="326"/>
      <c r="R3" s="326"/>
      <c r="S3" s="326"/>
      <c r="T3" s="326"/>
      <c r="U3" s="326"/>
      <c r="V3" s="326"/>
      <c r="W3" s="326"/>
    </row>
    <row r="4" spans="2:25" ht="15.5">
      <c r="B4" s="58" t="s">
        <v>3</v>
      </c>
      <c r="C4" s="2">
        <f>'Hypothetical Summary'!D7</f>
        <v>0</v>
      </c>
      <c r="F4" s="461" t="s">
        <v>176</v>
      </c>
      <c r="G4" s="461"/>
      <c r="H4" s="461"/>
      <c r="I4" s="461"/>
      <c r="J4" s="461"/>
      <c r="K4" s="461"/>
      <c r="L4" s="461"/>
      <c r="M4" s="461"/>
      <c r="N4" s="461"/>
      <c r="O4" s="461"/>
      <c r="Q4" s="410"/>
      <c r="R4" s="35"/>
      <c r="S4" s="35"/>
      <c r="T4" s="35"/>
      <c r="U4" s="35"/>
      <c r="V4" s="35"/>
      <c r="W4" s="35"/>
      <c r="X4" s="35"/>
      <c r="Y4" s="35"/>
    </row>
    <row r="5" spans="2:25" ht="15.5">
      <c r="B5" s="58" t="s">
        <v>14</v>
      </c>
      <c r="C5" s="2">
        <f>'Hypothetical Summary'!D8</f>
        <v>0</v>
      </c>
      <c r="E5" s="5"/>
      <c r="F5" s="6" t="s">
        <v>3</v>
      </c>
      <c r="G5" s="6" t="s">
        <v>5</v>
      </c>
      <c r="H5" s="6" t="s">
        <v>16</v>
      </c>
      <c r="I5" s="6" t="s">
        <v>177</v>
      </c>
      <c r="J5" s="6" t="s">
        <v>14</v>
      </c>
      <c r="K5" s="6" t="s">
        <v>10</v>
      </c>
      <c r="L5" s="6" t="s">
        <v>68</v>
      </c>
      <c r="M5" s="6" t="s">
        <v>131</v>
      </c>
      <c r="N5" s="6" t="s">
        <v>138</v>
      </c>
      <c r="O5" s="6" t="s">
        <v>178</v>
      </c>
      <c r="P5" s="327" t="s">
        <v>24</v>
      </c>
      <c r="Q5" s="6" t="s">
        <v>284</v>
      </c>
      <c r="R5" s="327" t="s">
        <v>211</v>
      </c>
      <c r="S5" s="411" t="s">
        <v>309</v>
      </c>
    </row>
    <row r="6" spans="2:25" ht="15.5">
      <c r="B6" s="58" t="s">
        <v>5</v>
      </c>
      <c r="C6" s="2">
        <f>'Hypothetical Summary'!D9</f>
        <v>0</v>
      </c>
      <c r="E6" s="5" t="s">
        <v>389</v>
      </c>
      <c r="F6" s="95">
        <f>'SAR and RAR (B-1)'!G35</f>
        <v>6.8693888195402925E-2</v>
      </c>
      <c r="G6" s="95">
        <f>'SAR and RAR (B-1)'!H35</f>
        <v>0.11186927258139906</v>
      </c>
      <c r="H6" s="95">
        <f>'SAR and RAR (B-1)'!I35</f>
        <v>7.4706191029710822E-2</v>
      </c>
      <c r="I6" s="95">
        <f>'SAR and RAR (B-1)'!J35</f>
        <v>8.422601712391331E-2</v>
      </c>
      <c r="J6" s="95">
        <f>'SAR and RAR (B-1)'!K35</f>
        <v>7.0838044101834891E-2</v>
      </c>
      <c r="K6" s="95">
        <f>'SAR and RAR (B-1)'!L35</f>
        <v>7.1882727417591191E-2</v>
      </c>
      <c r="L6" s="95">
        <f>'SAR and RAR (B-1)'!M35</f>
        <v>7.671731264654813E-2</v>
      </c>
      <c r="M6" s="95">
        <f>'SAR and RAR (B-1)'!N35</f>
        <v>7.6334084178728168E-2</v>
      </c>
      <c r="N6" s="95">
        <f>'SAR and RAR (B-1)'!O35</f>
        <v>7.2054437570881466E-2</v>
      </c>
      <c r="O6" s="95">
        <f>'SAR and RAR (B-1)'!P35</f>
        <v>4.7676295613109779E-2</v>
      </c>
      <c r="P6" s="95">
        <f>'SAR and RAR (B-1)'!Q35</f>
        <v>8.4510690203994557E-2</v>
      </c>
      <c r="Q6" s="95">
        <f>'SAR and RAR (B-1)'!R35</f>
        <v>0.10325962399932154</v>
      </c>
      <c r="R6" s="95">
        <f>'SAR and RAR (B-1)'!S35</f>
        <v>4.7655376755746631E-2</v>
      </c>
      <c r="S6" s="95">
        <f>'SAR and RAR (B-1)'!T35</f>
        <v>9.7164579170647247E-2</v>
      </c>
    </row>
    <row r="7" spans="2:25" ht="15.5">
      <c r="B7" s="58" t="s">
        <v>133</v>
      </c>
      <c r="C7" s="2">
        <f>'Hypothetical Summary'!D10</f>
        <v>0</v>
      </c>
      <c r="E7" s="5"/>
      <c r="F7" s="109"/>
      <c r="G7" s="109"/>
      <c r="H7" s="109"/>
      <c r="I7" s="109"/>
      <c r="J7" s="109"/>
      <c r="K7" s="109"/>
      <c r="L7" s="109"/>
      <c r="M7" s="109"/>
      <c r="N7" s="109"/>
      <c r="O7" s="109"/>
      <c r="P7" s="109"/>
    </row>
    <row r="8" spans="2:25" ht="15.5">
      <c r="B8" s="58" t="s">
        <v>68</v>
      </c>
      <c r="C8" s="2">
        <f>'Hypothetical Summary'!D11</f>
        <v>0</v>
      </c>
      <c r="E8" s="17"/>
      <c r="F8" s="461" t="s">
        <v>179</v>
      </c>
      <c r="G8" s="461"/>
      <c r="H8" s="461"/>
      <c r="I8" s="461"/>
      <c r="J8" s="461"/>
      <c r="K8" s="461"/>
      <c r="L8" s="461"/>
      <c r="M8" s="461"/>
      <c r="N8" s="461"/>
      <c r="O8" s="461"/>
      <c r="P8" s="461"/>
      <c r="Q8" s="461"/>
    </row>
    <row r="9" spans="2:25" ht="15.65" customHeight="1">
      <c r="B9" s="58" t="s">
        <v>16</v>
      </c>
      <c r="C9" s="2">
        <f>'Hypothetical Summary'!D12</f>
        <v>0</v>
      </c>
      <c r="E9" s="330"/>
      <c r="F9" s="6" t="s">
        <v>3</v>
      </c>
      <c r="G9" s="6" t="s">
        <v>5</v>
      </c>
      <c r="H9" s="6" t="s">
        <v>16</v>
      </c>
      <c r="I9" s="6" t="s">
        <v>15</v>
      </c>
      <c r="J9" s="6" t="s">
        <v>14</v>
      </c>
      <c r="K9" s="6" t="s">
        <v>10</v>
      </c>
      <c r="L9" s="6" t="s">
        <v>68</v>
      </c>
      <c r="M9" s="6" t="s">
        <v>131</v>
      </c>
      <c r="N9" s="6" t="s">
        <v>138</v>
      </c>
      <c r="O9" s="6" t="s">
        <v>133</v>
      </c>
      <c r="P9" s="6" t="s">
        <v>17</v>
      </c>
      <c r="Q9" s="6" t="s">
        <v>284</v>
      </c>
      <c r="R9" s="327" t="s">
        <v>211</v>
      </c>
      <c r="S9" s="411" t="s">
        <v>309</v>
      </c>
      <c r="T9" s="6" t="s">
        <v>136</v>
      </c>
    </row>
    <row r="10" spans="2:25" ht="15.5">
      <c r="B10" s="58" t="s">
        <v>15</v>
      </c>
      <c r="C10" s="2">
        <f>'Hypothetical Summary'!D13</f>
        <v>0</v>
      </c>
      <c r="E10" s="5" t="s">
        <v>389</v>
      </c>
      <c r="F10" s="331">
        <f t="shared" ref="F10:P10" si="0">F6*F11</f>
        <v>0</v>
      </c>
      <c r="G10" s="331">
        <f t="shared" si="0"/>
        <v>0</v>
      </c>
      <c r="H10" s="331">
        <f t="shared" si="0"/>
        <v>0</v>
      </c>
      <c r="I10" s="331">
        <f t="shared" si="0"/>
        <v>0</v>
      </c>
      <c r="J10" s="331">
        <f t="shared" si="0"/>
        <v>0</v>
      </c>
      <c r="K10" s="331">
        <f t="shared" si="0"/>
        <v>0</v>
      </c>
      <c r="L10" s="331">
        <f t="shared" si="0"/>
        <v>0</v>
      </c>
      <c r="M10" s="331">
        <f t="shared" si="0"/>
        <v>0</v>
      </c>
      <c r="N10" s="331">
        <f t="shared" si="0"/>
        <v>0</v>
      </c>
      <c r="O10" s="331">
        <f t="shared" si="0"/>
        <v>0</v>
      </c>
      <c r="P10" s="331">
        <f t="shared" si="0"/>
        <v>0</v>
      </c>
      <c r="Q10" s="331">
        <f>Q6*Q11</f>
        <v>0</v>
      </c>
      <c r="R10" s="331">
        <f>R6*R11</f>
        <v>0</v>
      </c>
      <c r="S10" s="331">
        <f>S6*S11</f>
        <v>0</v>
      </c>
      <c r="T10" s="331">
        <f>SUM(F10:S10)</f>
        <v>0</v>
      </c>
    </row>
    <row r="11" spans="2:25" ht="15.5">
      <c r="B11" s="58" t="s">
        <v>17</v>
      </c>
      <c r="C11" s="2">
        <f>'Hypothetical Summary'!D14</f>
        <v>0</v>
      </c>
      <c r="E11" s="5" t="s">
        <v>23</v>
      </c>
      <c r="F11" s="85">
        <f>VLOOKUP(F9,$B$4:$C$17,2,FALSE)</f>
        <v>0</v>
      </c>
      <c r="G11" s="85">
        <f t="shared" ref="G11:S11" si="1">VLOOKUP(G9,$B$4:$C$17,2,FALSE)</f>
        <v>0</v>
      </c>
      <c r="H11" s="85">
        <f t="shared" si="1"/>
        <v>0</v>
      </c>
      <c r="I11" s="85">
        <f t="shared" si="1"/>
        <v>0</v>
      </c>
      <c r="J11" s="85">
        <f t="shared" si="1"/>
        <v>0</v>
      </c>
      <c r="K11" s="85">
        <f t="shared" si="1"/>
        <v>0</v>
      </c>
      <c r="L11" s="85">
        <f t="shared" si="1"/>
        <v>0</v>
      </c>
      <c r="M11" s="85">
        <f t="shared" si="1"/>
        <v>0</v>
      </c>
      <c r="N11" s="85">
        <f t="shared" si="1"/>
        <v>0</v>
      </c>
      <c r="O11" s="85">
        <f t="shared" si="1"/>
        <v>0</v>
      </c>
      <c r="P11" s="85">
        <f t="shared" si="1"/>
        <v>0</v>
      </c>
      <c r="Q11" s="85">
        <f t="shared" si="1"/>
        <v>0</v>
      </c>
      <c r="R11" s="85">
        <f t="shared" si="1"/>
        <v>0</v>
      </c>
      <c r="S11" s="85">
        <f t="shared" si="1"/>
        <v>0</v>
      </c>
      <c r="T11" s="85">
        <f>SUM(F11:S11)</f>
        <v>0</v>
      </c>
    </row>
    <row r="12" spans="2:25" ht="15.5">
      <c r="B12" s="58" t="s">
        <v>131</v>
      </c>
      <c r="C12" s="2">
        <f>'Hypothetical Summary'!D15</f>
        <v>0</v>
      </c>
      <c r="E12" s="330"/>
    </row>
    <row r="13" spans="2:25" ht="15.65" customHeight="1">
      <c r="B13" s="58" t="s">
        <v>10</v>
      </c>
      <c r="C13" s="2">
        <f>'Hypothetical Summary'!D16</f>
        <v>0</v>
      </c>
      <c r="E13" s="5"/>
      <c r="F13" s="331"/>
      <c r="G13" s="331"/>
      <c r="H13" s="331"/>
      <c r="I13" s="331"/>
      <c r="J13" s="331"/>
      <c r="K13" s="331"/>
      <c r="L13" s="331"/>
      <c r="M13" s="331"/>
      <c r="N13" s="331"/>
      <c r="O13" s="331"/>
      <c r="P13" s="331"/>
      <c r="Q13" s="331"/>
    </row>
    <row r="14" spans="2:25" ht="15.65" customHeight="1">
      <c r="B14" s="58" t="s">
        <v>138</v>
      </c>
      <c r="C14" s="2">
        <f>'Hypothetical Summary'!D17</f>
        <v>0</v>
      </c>
      <c r="E14" s="5"/>
      <c r="F14" s="85"/>
      <c r="G14" s="85"/>
      <c r="H14" s="85"/>
      <c r="I14" s="85"/>
      <c r="J14" s="85"/>
      <c r="K14" s="85"/>
      <c r="L14" s="85"/>
      <c r="M14" s="85"/>
      <c r="N14" s="85"/>
      <c r="O14" s="85"/>
      <c r="P14" s="85"/>
      <c r="Q14" s="85"/>
      <c r="R14" s="333"/>
      <c r="S14" s="333"/>
    </row>
    <row r="15" spans="2:25" ht="15.5">
      <c r="B15" s="58" t="s">
        <v>211</v>
      </c>
      <c r="C15" s="2">
        <f>'Hypothetical Summary'!D18</f>
        <v>0</v>
      </c>
      <c r="E15" s="170"/>
      <c r="F15" s="3"/>
      <c r="G15" s="3"/>
      <c r="H15" s="3"/>
      <c r="I15" s="17"/>
      <c r="V15" s="5"/>
      <c r="W15" s="334"/>
      <c r="X15" s="334"/>
    </row>
    <row r="16" spans="2:25" ht="15.5">
      <c r="B16" s="58" t="s">
        <v>284</v>
      </c>
      <c r="C16" s="2">
        <f>'Hypothetical Summary'!D19</f>
        <v>0</v>
      </c>
      <c r="T16" s="481"/>
      <c r="U16" s="465"/>
      <c r="V16" s="412"/>
      <c r="X16" s="111" t="s">
        <v>233</v>
      </c>
      <c r="Y16" s="112">
        <v>0.25623041706120797</v>
      </c>
    </row>
    <row r="17" spans="2:28" ht="15.5">
      <c r="B17" s="39" t="s">
        <v>309</v>
      </c>
      <c r="C17" s="86">
        <f>'Hypothetical Summary'!D20</f>
        <v>0</v>
      </c>
      <c r="T17" s="336"/>
      <c r="U17" s="335"/>
      <c r="V17" s="412"/>
      <c r="X17" s="111"/>
      <c r="Y17" s="112"/>
    </row>
    <row r="18" spans="2:28" ht="15.5">
      <c r="B18" s="58" t="s">
        <v>136</v>
      </c>
      <c r="C18" s="92">
        <f>SUM(C4:C17)</f>
        <v>0</v>
      </c>
      <c r="E18" s="17"/>
      <c r="F18" s="455" t="s">
        <v>180</v>
      </c>
      <c r="G18" s="455"/>
      <c r="H18" s="455"/>
      <c r="I18" s="455"/>
      <c r="J18" s="455"/>
      <c r="K18" s="455"/>
      <c r="L18" s="455"/>
      <c r="M18" s="455"/>
      <c r="N18" s="455"/>
      <c r="O18" s="455"/>
      <c r="P18" s="455"/>
      <c r="Q18" s="24"/>
      <c r="T18" s="462" t="s">
        <v>181</v>
      </c>
      <c r="U18" s="463"/>
      <c r="V18" s="412"/>
      <c r="X18" s="111" t="s">
        <v>234</v>
      </c>
      <c r="Y18" s="112">
        <v>0.35</v>
      </c>
    </row>
    <row r="19" spans="2:28" ht="15.5">
      <c r="B19" s="342"/>
      <c r="C19" s="2"/>
      <c r="D19" s="17"/>
      <c r="F19" s="327" t="s">
        <v>3</v>
      </c>
      <c r="G19" s="6" t="s">
        <v>5</v>
      </c>
      <c r="H19" s="6" t="s">
        <v>16</v>
      </c>
      <c r="I19" s="6" t="s">
        <v>177</v>
      </c>
      <c r="J19" s="6" t="s">
        <v>14</v>
      </c>
      <c r="K19" s="6" t="s">
        <v>10</v>
      </c>
      <c r="L19" s="6" t="s">
        <v>68</v>
      </c>
      <c r="M19" s="6" t="s">
        <v>131</v>
      </c>
      <c r="N19" s="6" t="s">
        <v>138</v>
      </c>
      <c r="O19" s="6" t="s">
        <v>178</v>
      </c>
      <c r="P19" s="6" t="s">
        <v>24</v>
      </c>
      <c r="Q19" s="6" t="s">
        <v>284</v>
      </c>
      <c r="R19" s="327" t="s">
        <v>211</v>
      </c>
      <c r="S19" s="411" t="s">
        <v>309</v>
      </c>
      <c r="T19" s="413" t="s">
        <v>136</v>
      </c>
      <c r="U19" s="63" t="s">
        <v>182</v>
      </c>
      <c r="V19" s="412"/>
      <c r="X19" s="111" t="s">
        <v>196</v>
      </c>
      <c r="Y19" s="85">
        <f>'Hypothetical SAR and RAR'!Y19</f>
        <v>0</v>
      </c>
    </row>
    <row r="20" spans="2:28" ht="15.5">
      <c r="B20" s="342"/>
      <c r="C20" s="2"/>
      <c r="E20" s="5" t="s">
        <v>389</v>
      </c>
      <c r="F20" s="95">
        <v>1</v>
      </c>
      <c r="G20" s="95">
        <f>$E29/$O29</f>
        <v>0.30555356402592271</v>
      </c>
      <c r="H20" s="95">
        <f t="shared" ref="H20:S21" si="2">$E29/$O29</f>
        <v>0.30555356402592271</v>
      </c>
      <c r="I20" s="95">
        <f t="shared" si="2"/>
        <v>0.30555356402592271</v>
      </c>
      <c r="J20" s="95">
        <f t="shared" si="2"/>
        <v>0.30555356402592271</v>
      </c>
      <c r="K20" s="95">
        <f t="shared" si="2"/>
        <v>0.30555356402592271</v>
      </c>
      <c r="L20" s="95">
        <f t="shared" si="2"/>
        <v>0.30555356402592271</v>
      </c>
      <c r="M20" s="95">
        <f t="shared" si="2"/>
        <v>0.30555356402592271</v>
      </c>
      <c r="N20" s="95">
        <f t="shared" si="2"/>
        <v>0.30555356402592271</v>
      </c>
      <c r="O20" s="95">
        <f t="shared" si="2"/>
        <v>0.30555356402592271</v>
      </c>
      <c r="P20" s="95">
        <f t="shared" si="2"/>
        <v>0.30555356402592271</v>
      </c>
      <c r="Q20" s="95">
        <f t="shared" si="2"/>
        <v>0.30555356402592271</v>
      </c>
      <c r="R20" s="95">
        <f t="shared" si="2"/>
        <v>0.30555356402592271</v>
      </c>
      <c r="S20" s="95">
        <f t="shared" si="2"/>
        <v>0.30555356402592271</v>
      </c>
      <c r="T20" s="113">
        <f>SUMPRODUCT(F10:S10,F20:S20)</f>
        <v>0</v>
      </c>
      <c r="U20" s="87">
        <f>T20+Y22*G20</f>
        <v>0</v>
      </c>
      <c r="V20" s="113"/>
      <c r="X20" s="111" t="s">
        <v>231</v>
      </c>
      <c r="Y20" s="144">
        <v>0</v>
      </c>
    </row>
    <row r="21" spans="2:28" ht="15.5">
      <c r="B21" s="342"/>
      <c r="C21" s="342"/>
      <c r="E21" s="5" t="s">
        <v>23</v>
      </c>
      <c r="F21" s="95">
        <v>1</v>
      </c>
      <c r="G21" s="95">
        <f>$E30/$O30</f>
        <v>0.34324990068571132</v>
      </c>
      <c r="H21" s="95">
        <f t="shared" si="2"/>
        <v>0.34324990068571132</v>
      </c>
      <c r="I21" s="95">
        <f t="shared" si="2"/>
        <v>0.34324990068571132</v>
      </c>
      <c r="J21" s="95">
        <f t="shared" si="2"/>
        <v>0.34324990068571132</v>
      </c>
      <c r="K21" s="95">
        <f t="shared" si="2"/>
        <v>0.34324990068571132</v>
      </c>
      <c r="L21" s="95">
        <f t="shared" si="2"/>
        <v>0.34324990068571132</v>
      </c>
      <c r="M21" s="95">
        <f t="shared" si="2"/>
        <v>0.34324990068571132</v>
      </c>
      <c r="N21" s="95">
        <f t="shared" si="2"/>
        <v>0.34324990068571132</v>
      </c>
      <c r="O21" s="95">
        <f t="shared" si="2"/>
        <v>0.34324990068571132</v>
      </c>
      <c r="P21" s="95">
        <f t="shared" si="2"/>
        <v>0.34324990068571132</v>
      </c>
      <c r="Q21" s="95">
        <f t="shared" si="2"/>
        <v>0.34324990068571132</v>
      </c>
      <c r="R21" s="95">
        <f t="shared" si="2"/>
        <v>0.34324990068571132</v>
      </c>
      <c r="S21" s="95">
        <f t="shared" si="2"/>
        <v>0.34324990068571132</v>
      </c>
      <c r="T21" s="113">
        <f>SUMPRODUCT(F11:S11,F21:S21)</f>
        <v>0</v>
      </c>
      <c r="U21" s="87">
        <f>T21</f>
        <v>0</v>
      </c>
      <c r="V21" s="113"/>
      <c r="X21" s="111" t="s">
        <v>232</v>
      </c>
      <c r="Y21" s="331">
        <v>69174483.386814445</v>
      </c>
      <c r="AA21" s="5"/>
    </row>
    <row r="22" spans="2:28" ht="15.5">
      <c r="B22" s="342"/>
      <c r="C22" s="342"/>
      <c r="F22" s="325"/>
      <c r="G22" s="325"/>
      <c r="H22" s="325"/>
      <c r="I22" s="325"/>
      <c r="J22" s="325"/>
      <c r="K22" s="325"/>
      <c r="L22" s="325"/>
      <c r="M22" s="325"/>
      <c r="N22" s="325"/>
      <c r="O22" s="325"/>
      <c r="P22" s="325"/>
      <c r="U22" s="5"/>
      <c r="X22" s="111" t="s">
        <v>409</v>
      </c>
      <c r="Y22" s="85">
        <f>Y19*Y20/Y21</f>
        <v>0</v>
      </c>
      <c r="AA22" s="5"/>
    </row>
    <row r="23" spans="2:28" ht="15.5">
      <c r="B23" s="342"/>
      <c r="C23" s="342"/>
      <c r="E23" s="35" t="str">
        <f>"Notes: Allocation and bundled/unbundled split based on "&amp;'Hypothetical Summary'!L4&amp;" sales forecast"</f>
        <v>Notes: Allocation and bundled/unbundled split based on 2025 sales forecast</v>
      </c>
      <c r="R23" s="6"/>
      <c r="S23" s="6"/>
      <c r="T23" s="5"/>
      <c r="Y23" s="343"/>
    </row>
    <row r="24" spans="2:28" ht="15.5">
      <c r="B24" s="342"/>
      <c r="C24" s="342"/>
      <c r="D24" s="5"/>
      <c r="E24" s="5"/>
      <c r="F24" s="342"/>
      <c r="G24" s="342"/>
      <c r="H24" s="342"/>
      <c r="I24" s="342"/>
      <c r="J24" s="342"/>
      <c r="K24" s="342"/>
      <c r="L24" s="342"/>
      <c r="M24" s="342"/>
      <c r="N24" s="342"/>
      <c r="O24" s="342"/>
      <c r="P24" s="342"/>
      <c r="Q24" s="5"/>
      <c r="R24" s="16"/>
      <c r="S24" s="16"/>
      <c r="T24" s="16"/>
      <c r="U24" s="5"/>
      <c r="V24" s="39" t="s">
        <v>494</v>
      </c>
      <c r="W24" s="333">
        <f>O10*O20</f>
        <v>0</v>
      </c>
      <c r="X24" s="333"/>
      <c r="Y24" s="5"/>
    </row>
    <row r="25" spans="2:28" ht="15.5">
      <c r="B25" s="342"/>
      <c r="C25" s="342"/>
      <c r="D25" s="63"/>
      <c r="E25" s="63"/>
      <c r="F25" s="345"/>
      <c r="G25" s="63"/>
      <c r="H25" s="63"/>
      <c r="I25" s="63"/>
      <c r="J25" s="63"/>
      <c r="K25" s="63"/>
      <c r="L25" s="63"/>
      <c r="M25" s="63"/>
      <c r="N25" s="63"/>
      <c r="O25" s="63"/>
      <c r="P25" s="63"/>
      <c r="Q25" s="63"/>
      <c r="R25" s="16"/>
      <c r="S25" s="16"/>
      <c r="T25" s="16"/>
      <c r="U25" s="346"/>
      <c r="V25" s="39" t="s">
        <v>495</v>
      </c>
      <c r="W25" s="333">
        <f>O11*O21</f>
        <v>0</v>
      </c>
      <c r="X25" s="344"/>
      <c r="Y25" s="5"/>
    </row>
    <row r="26" spans="2:28" ht="15.5">
      <c r="B26" s="342"/>
      <c r="C26" s="342"/>
      <c r="D26" s="63"/>
      <c r="E26" s="63"/>
      <c r="F26" s="63"/>
      <c r="G26" s="63"/>
      <c r="H26" s="63"/>
      <c r="I26" s="63"/>
      <c r="J26" s="63"/>
      <c r="K26" s="63"/>
      <c r="L26" s="63"/>
      <c r="M26" s="63"/>
      <c r="N26" s="63"/>
      <c r="O26" s="63"/>
      <c r="P26" s="63"/>
      <c r="Q26" s="63"/>
      <c r="R26" s="347"/>
      <c r="S26" s="347"/>
      <c r="T26" s="16"/>
      <c r="U26" s="346"/>
      <c r="V26" s="348"/>
      <c r="X26" s="5"/>
      <c r="Y26" s="5"/>
    </row>
    <row r="27" spans="2:28" ht="15.5">
      <c r="B27" s="342"/>
      <c r="C27" s="342"/>
      <c r="D27" s="5"/>
      <c r="E27" s="457" t="s">
        <v>25</v>
      </c>
      <c r="F27" s="458"/>
      <c r="G27" s="458"/>
      <c r="H27" s="459"/>
      <c r="I27" s="63"/>
      <c r="J27" s="63"/>
      <c r="N27" s="5"/>
      <c r="O27" s="457" t="s">
        <v>27</v>
      </c>
      <c r="P27" s="458"/>
      <c r="Q27" s="458"/>
      <c r="R27" s="459"/>
      <c r="S27" s="63"/>
      <c r="T27" s="16"/>
      <c r="U27" s="346"/>
      <c r="V27" s="350"/>
      <c r="Z27" s="5"/>
      <c r="AA27" s="5"/>
    </row>
    <row r="28" spans="2:28" ht="31">
      <c r="B28" s="342"/>
      <c r="C28" s="342"/>
      <c r="D28" s="5"/>
      <c r="E28" s="6" t="str">
        <f>'Hypothetical Summary'!L4&amp;" Sales"</f>
        <v>2025 Sales</v>
      </c>
      <c r="F28" s="6" t="str">
        <f>TEXT(Summary!L3,"mm/dd/yyyy")&amp;" Avg Rates"</f>
        <v>09/01/2025 Avg Rates</v>
      </c>
      <c r="G28" s="6" t="s">
        <v>193</v>
      </c>
      <c r="H28" s="6" t="s">
        <v>194</v>
      </c>
      <c r="J28" s="6"/>
      <c r="N28" s="5"/>
      <c r="O28" s="6" t="str">
        <f>'Hypothetical Summary'!L4&amp;" Sales"</f>
        <v>2025 Sales</v>
      </c>
      <c r="P28" s="6" t="str">
        <f>F28</f>
        <v>09/01/2025 Avg Rates</v>
      </c>
      <c r="Q28" s="6" t="s">
        <v>193</v>
      </c>
      <c r="R28" s="6" t="s">
        <v>194</v>
      </c>
      <c r="S28" s="6"/>
      <c r="T28" s="16"/>
      <c r="U28" s="346"/>
      <c r="V28" s="350"/>
      <c r="Z28" s="5"/>
      <c r="AA28" s="5"/>
    </row>
    <row r="29" spans="2:28" ht="46.5">
      <c r="B29" s="342"/>
      <c r="C29" s="342"/>
      <c r="D29" s="355" t="s">
        <v>389</v>
      </c>
      <c r="E29" s="144">
        <v>1786706.3931666978</v>
      </c>
      <c r="F29" s="345">
        <f>IF('Hypothetical Summary'!D5="Y",X36,Y36)</f>
        <v>43.255570991528394</v>
      </c>
      <c r="G29" s="16">
        <f>IF('Hypothetical Summary'!D5="Y", U20/E29*100+F29, SUM(U20-W24)/$E$29*100+F29)</f>
        <v>43.255570991528394</v>
      </c>
      <c r="H29" s="164">
        <f>G29/F29-1</f>
        <v>0</v>
      </c>
      <c r="J29" s="164"/>
      <c r="N29" s="355" t="s">
        <v>389</v>
      </c>
      <c r="O29" s="331">
        <v>5847440.853333055</v>
      </c>
      <c r="P29" s="345">
        <f>IF('Hypothetical Summary'!D5="Y",AA36,AB36)</f>
        <v>33.291687061124286</v>
      </c>
      <c r="Q29" s="16">
        <f>IF('Hypothetical Summary'!D5="Y", T10/O29*100+P29, SUM(T10-O10)/O29*100+P29)</f>
        <v>33.291687061124286</v>
      </c>
      <c r="R29" s="164">
        <f>Q29/P29-1</f>
        <v>0</v>
      </c>
      <c r="S29" s="164"/>
      <c r="T29" s="164"/>
      <c r="U29" s="164"/>
      <c r="V29" s="350"/>
      <c r="W29" s="370"/>
      <c r="X29" s="371" t="s">
        <v>539</v>
      </c>
      <c r="Y29" s="371" t="s">
        <v>540</v>
      </c>
      <c r="Z29" s="370"/>
      <c r="AA29" s="371" t="s">
        <v>541</v>
      </c>
      <c r="AB29" s="371" t="s">
        <v>542</v>
      </c>
    </row>
    <row r="30" spans="2:28" ht="15.5">
      <c r="D30" s="355" t="s">
        <v>23</v>
      </c>
      <c r="E30" s="144">
        <f>'SAR and RAR'!K55</f>
        <v>26204056.23133941</v>
      </c>
      <c r="F30" s="345">
        <f>IF('Hypothetical Summary'!D5="Y",X37,Y37)</f>
        <v>34.778170423848316</v>
      </c>
      <c r="G30" s="16">
        <f>IF('Hypothetical Summary'!D5="Y", U21/E30*100+F30, SUM(U21-W25)/$E$30*100+F30)</f>
        <v>34.778170423848316</v>
      </c>
      <c r="H30" s="164">
        <f>G30/F30-1</f>
        <v>0</v>
      </c>
      <c r="J30" s="164"/>
      <c r="N30" s="355" t="s">
        <v>23</v>
      </c>
      <c r="O30" s="331">
        <f>'SAR and RAR'!O55</f>
        <v>76341045.340410858</v>
      </c>
      <c r="P30" s="345">
        <f>IF('Hypothetical Summary'!D5="Y",AA37,AB37)</f>
        <v>24.987041940003813</v>
      </c>
      <c r="Q30" s="16">
        <f>IF('Hypothetical Summary'!D5="Y", T11/O30*100+P30, SUM(T11-O11)/O30*100+P30)</f>
        <v>24.987041940003813</v>
      </c>
      <c r="R30" s="164">
        <f>Q30/P30-1</f>
        <v>0</v>
      </c>
      <c r="S30" s="164"/>
      <c r="T30" s="164"/>
      <c r="U30" s="164"/>
      <c r="V30" s="359"/>
      <c r="W30" s="372"/>
      <c r="X30" s="373"/>
      <c r="Y30" s="373"/>
      <c r="Z30" s="374"/>
      <c r="AA30" s="373"/>
      <c r="AB30" s="373"/>
    </row>
    <row r="31" spans="2:28" ht="15.5">
      <c r="E31" s="6"/>
      <c r="F31" s="6"/>
      <c r="G31" s="6"/>
      <c r="P31" s="5"/>
      <c r="Q31" s="5"/>
      <c r="R31" s="347"/>
      <c r="S31" s="347"/>
      <c r="T31" s="348"/>
      <c r="U31" s="347"/>
      <c r="V31" s="350"/>
      <c r="W31" s="372" t="s">
        <v>389</v>
      </c>
      <c r="X31" s="375">
        <v>43.574453995215542</v>
      </c>
      <c r="Y31" s="375">
        <v>43.580060781760807</v>
      </c>
      <c r="Z31" s="372" t="s">
        <v>389</v>
      </c>
      <c r="AA31" s="375">
        <v>33.610590836889926</v>
      </c>
      <c r="AB31" s="375">
        <v>33.615544907564775</v>
      </c>
    </row>
    <row r="32" spans="2:28" ht="15.5">
      <c r="E32" s="6"/>
      <c r="F32" s="6"/>
      <c r="G32" s="6"/>
      <c r="P32" s="5"/>
      <c r="Q32" s="5"/>
      <c r="R32" s="347"/>
      <c r="S32" s="347"/>
      <c r="T32" s="348"/>
      <c r="U32" s="347"/>
      <c r="V32" s="359"/>
      <c r="W32" s="372" t="s">
        <v>30</v>
      </c>
      <c r="X32" s="375">
        <v>35.04098349229276</v>
      </c>
      <c r="Y32" s="375">
        <v>35.950335548978678</v>
      </c>
      <c r="Z32" s="374" t="s">
        <v>23</v>
      </c>
      <c r="AA32" s="375">
        <v>25.258006838675957</v>
      </c>
      <c r="AB32" s="375">
        <v>26.142767729506289</v>
      </c>
    </row>
    <row r="33" spans="2:28" ht="15.5">
      <c r="B33" s="342"/>
      <c r="C33" s="342"/>
      <c r="D33" s="5"/>
      <c r="E33" s="482"/>
      <c r="F33" s="482"/>
      <c r="G33" s="482"/>
      <c r="H33" s="63"/>
      <c r="I33" s="63"/>
      <c r="J33" s="63"/>
      <c r="K33" s="5"/>
      <c r="L33" s="5"/>
      <c r="M33" s="5"/>
      <c r="N33" s="5"/>
      <c r="O33" s="5"/>
      <c r="P33" s="5"/>
      <c r="Q33" s="5"/>
      <c r="R33" s="347"/>
      <c r="S33" s="347"/>
      <c r="T33" s="348"/>
      <c r="U33" s="347"/>
      <c r="V33" s="359"/>
      <c r="W33" s="376"/>
      <c r="X33" s="377"/>
      <c r="Y33" s="377"/>
      <c r="Z33" s="377"/>
      <c r="AA33" s="377"/>
      <c r="AB33" s="378"/>
    </row>
    <row r="34" spans="2:28" ht="31">
      <c r="B34" s="342"/>
      <c r="C34" s="342"/>
      <c r="D34" s="63"/>
      <c r="E34" s="6"/>
      <c r="F34" s="6"/>
      <c r="G34" s="6"/>
      <c r="H34" s="63"/>
      <c r="I34" s="63"/>
      <c r="J34" s="63"/>
      <c r="K34" s="5"/>
      <c r="L34" s="5"/>
      <c r="M34" s="5"/>
      <c r="N34" s="5"/>
      <c r="O34" s="5"/>
      <c r="P34" s="5"/>
      <c r="Q34" s="5"/>
      <c r="R34" s="347"/>
      <c r="S34" s="347"/>
      <c r="T34" s="348"/>
      <c r="U34" s="347"/>
      <c r="V34" s="350"/>
      <c r="W34" s="370"/>
      <c r="X34" s="379" t="str">
        <f>'SAR and RAR'!AB48</f>
        <v>9/1/25 Bundled
w/Credit</v>
      </c>
      <c r="Y34" s="379" t="str">
        <f>'SAR and RAR'!AC48</f>
        <v>9/1/25 Bundled
w/out Credit</v>
      </c>
      <c r="Z34" s="379"/>
      <c r="AA34" s="379" t="str">
        <f>'SAR and RAR'!AE48</f>
        <v>9/1/25 System
w/Credit</v>
      </c>
      <c r="AB34" s="379" t="str">
        <f>'SAR and RAR'!AF48</f>
        <v>9/1/25 System
w/out Credit</v>
      </c>
    </row>
    <row r="35" spans="2:28" ht="15.5">
      <c r="B35" s="342"/>
      <c r="C35" s="342"/>
      <c r="D35" s="5"/>
      <c r="E35" s="366"/>
      <c r="F35" s="367"/>
      <c r="G35" s="165"/>
      <c r="H35" s="63"/>
      <c r="I35" s="63"/>
      <c r="J35" s="63"/>
      <c r="K35" s="5"/>
      <c r="L35" s="5"/>
      <c r="M35" s="5"/>
      <c r="N35" s="5"/>
      <c r="O35" s="5"/>
      <c r="P35" s="5"/>
      <c r="Q35" s="5"/>
      <c r="R35" s="347"/>
      <c r="S35" s="347"/>
      <c r="T35" s="348"/>
      <c r="U35" s="348"/>
      <c r="V35" s="346"/>
      <c r="W35" s="372"/>
      <c r="X35" s="373"/>
      <c r="Y35" s="373"/>
      <c r="Z35" s="374"/>
      <c r="AA35" s="373"/>
      <c r="AB35" s="373"/>
    </row>
    <row r="36" spans="2:28" ht="15.5">
      <c r="D36" s="5"/>
      <c r="E36" s="366"/>
      <c r="F36" s="367"/>
      <c r="G36" s="165"/>
      <c r="H36" s="63"/>
      <c r="I36" s="63"/>
      <c r="J36" s="63"/>
      <c r="K36" s="5"/>
      <c r="L36" s="5"/>
      <c r="M36" s="5"/>
      <c r="N36" s="5"/>
      <c r="O36" s="5"/>
      <c r="P36" s="5"/>
      <c r="Q36" s="5"/>
      <c r="R36" s="347"/>
      <c r="S36" s="347"/>
      <c r="T36" s="348"/>
      <c r="U36" s="347"/>
      <c r="V36" s="350"/>
      <c r="W36" s="372" t="s">
        <v>389</v>
      </c>
      <c r="X36" s="375">
        <v>43.255570991528394</v>
      </c>
      <c r="Y36" s="375">
        <v>43.261177778073659</v>
      </c>
      <c r="Z36" s="372" t="s">
        <v>389</v>
      </c>
      <c r="AA36" s="375">
        <v>33.291687061124286</v>
      </c>
      <c r="AB36" s="375">
        <v>33.296641131799134</v>
      </c>
    </row>
    <row r="37" spans="2:28" ht="15.5">
      <c r="D37" s="5"/>
      <c r="E37" s="366"/>
      <c r="F37" s="367"/>
      <c r="G37" s="165"/>
      <c r="H37" s="63"/>
      <c r="I37" s="63"/>
      <c r="J37" s="63"/>
      <c r="K37" s="5"/>
      <c r="L37" s="5"/>
      <c r="M37" s="5"/>
      <c r="N37" s="5"/>
      <c r="O37" s="5"/>
      <c r="P37" s="5"/>
      <c r="Q37" s="5"/>
      <c r="R37" s="347"/>
      <c r="S37" s="347"/>
      <c r="T37" s="348"/>
      <c r="U37" s="348"/>
      <c r="V37" s="348"/>
      <c r="W37" s="372" t="s">
        <v>30</v>
      </c>
      <c r="X37" s="375">
        <v>34.778170423848316</v>
      </c>
      <c r="Y37" s="375">
        <v>35.687522480534234</v>
      </c>
      <c r="Z37" s="374" t="s">
        <v>23</v>
      </c>
      <c r="AA37" s="382">
        <v>24.987041940003813</v>
      </c>
      <c r="AB37" s="382">
        <v>25.871802830834145</v>
      </c>
    </row>
    <row r="38" spans="2:28" ht="15.5">
      <c r="D38" s="5"/>
      <c r="E38" s="366"/>
      <c r="F38" s="367"/>
      <c r="G38" s="165"/>
      <c r="H38" s="63"/>
      <c r="I38" s="63"/>
      <c r="J38" s="63"/>
      <c r="K38" s="5"/>
      <c r="L38" s="5"/>
      <c r="M38" s="5"/>
      <c r="N38" s="5"/>
      <c r="O38" s="5"/>
      <c r="P38" s="5"/>
      <c r="Q38" s="5"/>
      <c r="R38" s="347"/>
      <c r="S38" s="347"/>
      <c r="T38" s="454"/>
      <c r="U38" s="454"/>
      <c r="V38" s="348"/>
      <c r="W38" s="348"/>
      <c r="X38" s="348"/>
    </row>
    <row r="39" spans="2:28" ht="15.5">
      <c r="B39" s="342"/>
      <c r="C39" s="342"/>
      <c r="D39" s="5"/>
      <c r="E39" s="366"/>
      <c r="F39" s="367"/>
      <c r="G39" s="165"/>
      <c r="H39" s="63"/>
      <c r="I39" s="63"/>
      <c r="J39" s="63"/>
      <c r="K39" s="5"/>
      <c r="L39" s="5"/>
      <c r="M39" s="5"/>
      <c r="N39" s="5"/>
      <c r="O39" s="5"/>
      <c r="P39" s="5"/>
      <c r="Q39" s="5"/>
      <c r="R39" s="347"/>
      <c r="S39" s="347"/>
      <c r="T39" s="348"/>
      <c r="U39" s="347"/>
      <c r="V39" s="359"/>
      <c r="W39" s="359"/>
      <c r="X39" s="350"/>
    </row>
    <row r="40" spans="2:28" ht="15.5">
      <c r="B40" s="342"/>
      <c r="C40" s="342"/>
      <c r="D40" s="5"/>
      <c r="E40" s="366"/>
      <c r="F40" s="367"/>
      <c r="G40" s="165"/>
      <c r="H40" s="63"/>
      <c r="I40" s="63"/>
      <c r="J40" s="63"/>
      <c r="K40" s="5"/>
      <c r="L40" s="5"/>
      <c r="M40" s="5"/>
      <c r="N40" s="5"/>
      <c r="O40" s="5"/>
      <c r="P40" s="5"/>
      <c r="Q40" s="5"/>
      <c r="R40" s="347"/>
      <c r="S40" s="347"/>
      <c r="T40" s="348"/>
      <c r="U40" s="347"/>
      <c r="V40" s="359"/>
      <c r="W40" s="350"/>
      <c r="X40" s="350"/>
    </row>
    <row r="41" spans="2:28" ht="15.5">
      <c r="B41" s="342"/>
      <c r="C41" s="342"/>
      <c r="D41" s="5"/>
      <c r="E41" s="366"/>
      <c r="F41" s="367"/>
      <c r="G41" s="165"/>
      <c r="H41" s="63"/>
      <c r="I41" s="63"/>
      <c r="J41" s="63"/>
      <c r="K41" s="5"/>
      <c r="L41" s="5"/>
      <c r="M41" s="5"/>
      <c r="N41" s="5"/>
      <c r="O41" s="5"/>
      <c r="P41" s="5"/>
      <c r="Q41" s="5"/>
      <c r="R41" s="347"/>
      <c r="S41" s="347"/>
      <c r="T41" s="348"/>
      <c r="U41" s="347"/>
      <c r="V41" s="5"/>
      <c r="W41" s="5"/>
      <c r="X41" s="5"/>
      <c r="Y41" s="5"/>
      <c r="Z41" s="5"/>
      <c r="AA41" s="5"/>
      <c r="AB41" s="5"/>
    </row>
    <row r="42" spans="2:28" ht="15.5">
      <c r="B42" s="342"/>
      <c r="C42" s="342"/>
      <c r="D42" s="5"/>
      <c r="E42" s="63"/>
      <c r="F42" s="63"/>
      <c r="G42" s="63"/>
      <c r="H42" s="63"/>
      <c r="I42" s="63"/>
      <c r="J42" s="63"/>
      <c r="K42" s="5"/>
      <c r="L42" s="5"/>
      <c r="M42" s="5"/>
      <c r="N42" s="5"/>
      <c r="O42" s="5"/>
      <c r="P42" s="5"/>
      <c r="Q42" s="5"/>
      <c r="R42" s="347"/>
      <c r="S42" s="347"/>
      <c r="T42" s="348"/>
      <c r="U42" s="347"/>
      <c r="V42" s="5"/>
      <c r="W42" s="5"/>
      <c r="X42" s="5"/>
      <c r="Y42" s="5"/>
      <c r="Z42" s="5"/>
      <c r="AA42" s="5"/>
      <c r="AB42" s="5"/>
    </row>
    <row r="43" spans="2:28" ht="15.5">
      <c r="B43" s="342"/>
      <c r="C43" s="342"/>
      <c r="D43" s="5"/>
      <c r="E43" s="367"/>
      <c r="F43" s="63"/>
      <c r="G43" s="63"/>
      <c r="H43" s="63"/>
      <c r="I43" s="63"/>
      <c r="J43" s="63"/>
      <c r="K43" s="367"/>
      <c r="L43" s="5"/>
      <c r="M43" s="5"/>
      <c r="N43" s="5"/>
      <c r="O43" s="5"/>
      <c r="P43" s="5"/>
      <c r="Q43" s="5"/>
      <c r="R43" s="347"/>
      <c r="S43" s="347"/>
      <c r="T43" s="348"/>
      <c r="U43" s="347"/>
      <c r="V43" s="5"/>
      <c r="W43" s="5"/>
      <c r="X43" s="5"/>
      <c r="Y43" s="5"/>
      <c r="Z43" s="5"/>
      <c r="AA43" s="5"/>
      <c r="AB43" s="5"/>
    </row>
    <row r="44" spans="2:28" ht="15.5">
      <c r="B44" s="342"/>
      <c r="C44" s="342"/>
      <c r="D44" s="5"/>
      <c r="E44" s="63"/>
      <c r="F44" s="63"/>
      <c r="G44" s="63"/>
      <c r="H44" s="63"/>
      <c r="I44" s="63"/>
      <c r="J44" s="63"/>
      <c r="K44" s="5"/>
      <c r="L44" s="5"/>
      <c r="M44" s="5"/>
      <c r="N44" s="5"/>
      <c r="O44" s="5"/>
      <c r="P44" s="5"/>
      <c r="Q44" s="5"/>
      <c r="R44" s="347"/>
      <c r="S44" s="347"/>
      <c r="T44" s="348"/>
      <c r="U44" s="347"/>
      <c r="V44" s="5"/>
      <c r="W44" s="5"/>
      <c r="X44" s="5"/>
      <c r="Y44" s="5"/>
      <c r="Z44" s="5"/>
      <c r="AA44" s="5"/>
      <c r="AB44" s="5"/>
    </row>
    <row r="45" spans="2:28" ht="15.5">
      <c r="B45" s="342"/>
      <c r="C45" s="342"/>
      <c r="D45" s="5"/>
      <c r="E45" s="63"/>
      <c r="F45" s="63"/>
      <c r="G45" s="63"/>
      <c r="H45" s="63"/>
      <c r="I45" s="63"/>
      <c r="J45" s="63"/>
      <c r="K45" s="5"/>
      <c r="L45" s="5"/>
      <c r="M45" s="5"/>
      <c r="N45" s="5"/>
      <c r="O45" s="5"/>
      <c r="P45" s="5"/>
      <c r="Q45" s="5"/>
      <c r="R45" s="347"/>
      <c r="S45" s="347"/>
      <c r="T45" s="348"/>
      <c r="U45" s="348"/>
      <c r="V45" s="5"/>
      <c r="W45" s="5"/>
      <c r="X45" s="5"/>
      <c r="Y45" s="5"/>
      <c r="Z45" s="5"/>
      <c r="AA45" s="5"/>
      <c r="AB45" s="5"/>
    </row>
    <row r="46" spans="2:28" ht="15.5">
      <c r="B46" s="342"/>
      <c r="C46" s="342"/>
      <c r="D46" s="5"/>
      <c r="E46" s="367"/>
      <c r="F46" s="63"/>
      <c r="G46" s="63"/>
      <c r="H46" s="63"/>
      <c r="I46" s="63"/>
      <c r="J46" s="63"/>
      <c r="K46" s="367"/>
      <c r="L46" s="5"/>
      <c r="M46" s="5"/>
      <c r="N46" s="5"/>
      <c r="O46" s="5"/>
      <c r="P46" s="5"/>
      <c r="Q46" s="5"/>
      <c r="R46" s="347"/>
      <c r="S46" s="347"/>
      <c r="T46" s="348"/>
      <c r="U46" s="347"/>
      <c r="V46" s="5"/>
      <c r="W46" s="5"/>
      <c r="X46" s="5"/>
      <c r="Y46" s="5"/>
      <c r="Z46" s="5"/>
      <c r="AA46" s="5"/>
      <c r="AB46" s="5"/>
    </row>
    <row r="47" spans="2:28" ht="15.5">
      <c r="B47" s="342"/>
      <c r="C47" s="342"/>
      <c r="D47" s="5"/>
      <c r="E47" s="63"/>
      <c r="F47" s="63"/>
      <c r="G47" s="63"/>
      <c r="H47" s="63"/>
      <c r="I47" s="63"/>
      <c r="J47" s="63"/>
      <c r="K47" s="5"/>
      <c r="L47" s="5"/>
      <c r="M47" s="5"/>
      <c r="N47" s="5"/>
      <c r="O47" s="5"/>
      <c r="P47" s="5"/>
      <c r="Q47" s="5"/>
      <c r="R47" s="347"/>
      <c r="S47" s="347"/>
      <c r="T47" s="348"/>
      <c r="U47" s="348"/>
      <c r="V47" s="5"/>
      <c r="W47" s="5"/>
      <c r="X47" s="5"/>
      <c r="Y47" s="5"/>
      <c r="Z47" s="5"/>
      <c r="AA47" s="5"/>
      <c r="AB47" s="5"/>
    </row>
    <row r="48" spans="2:28" ht="15.5">
      <c r="B48" s="342"/>
      <c r="C48" s="342"/>
      <c r="D48" s="5"/>
      <c r="E48" s="63"/>
      <c r="F48" s="63"/>
      <c r="G48" s="63"/>
      <c r="H48" s="63"/>
      <c r="I48" s="63"/>
      <c r="J48" s="63"/>
      <c r="K48" s="5"/>
      <c r="L48" s="5"/>
      <c r="M48" s="5"/>
      <c r="N48" s="5"/>
      <c r="O48" s="5"/>
      <c r="P48" s="5"/>
      <c r="Q48" s="5"/>
      <c r="R48" s="347"/>
      <c r="S48" s="347"/>
      <c r="T48" s="454"/>
      <c r="U48" s="454"/>
      <c r="V48" s="5"/>
      <c r="W48" s="5"/>
      <c r="X48" s="5"/>
      <c r="Y48" s="5"/>
      <c r="Z48" s="5"/>
      <c r="AA48" s="5"/>
      <c r="AB48" s="5"/>
    </row>
    <row r="49" spans="2:24" ht="15.5">
      <c r="B49" s="342"/>
      <c r="C49" s="342"/>
      <c r="D49" s="5"/>
      <c r="E49" s="63"/>
      <c r="F49" s="63"/>
      <c r="G49" s="63"/>
      <c r="H49" s="63"/>
      <c r="I49" s="63"/>
      <c r="J49" s="63"/>
      <c r="K49" s="5"/>
      <c r="L49" s="5"/>
      <c r="M49" s="5"/>
      <c r="N49" s="5"/>
      <c r="O49" s="5"/>
      <c r="P49" s="5"/>
      <c r="Q49" s="5"/>
      <c r="R49" s="347"/>
      <c r="S49" s="347"/>
      <c r="T49" s="348"/>
      <c r="U49" s="347"/>
      <c r="V49" s="359"/>
      <c r="W49" s="350"/>
      <c r="X49" s="350"/>
    </row>
    <row r="50" spans="2:24" ht="15.5">
      <c r="B50" s="342"/>
      <c r="C50" s="342"/>
      <c r="D50" s="5"/>
      <c r="E50" s="63"/>
      <c r="F50" s="63"/>
      <c r="G50" s="63"/>
      <c r="H50" s="63"/>
      <c r="I50" s="63"/>
      <c r="J50" s="63"/>
      <c r="K50" s="5"/>
      <c r="L50" s="5"/>
      <c r="M50" s="5"/>
      <c r="N50" s="5"/>
      <c r="O50" s="5"/>
      <c r="P50" s="5"/>
      <c r="Q50" s="5"/>
      <c r="R50" s="347"/>
      <c r="S50" s="347"/>
      <c r="T50" s="348"/>
      <c r="U50" s="347"/>
      <c r="V50" s="359"/>
      <c r="W50" s="350"/>
      <c r="X50" s="350"/>
    </row>
    <row r="51" spans="2:24" ht="15.5">
      <c r="B51" s="342"/>
      <c r="C51" s="342"/>
      <c r="D51" s="5"/>
      <c r="E51" s="63"/>
      <c r="F51" s="63"/>
      <c r="G51" s="63"/>
      <c r="H51" s="63"/>
      <c r="I51" s="63"/>
      <c r="J51" s="63"/>
      <c r="K51" s="5"/>
      <c r="L51" s="5"/>
      <c r="M51" s="5"/>
      <c r="N51" s="5"/>
      <c r="O51" s="5"/>
      <c r="P51" s="5"/>
      <c r="Q51" s="5"/>
      <c r="R51" s="347"/>
      <c r="S51" s="347"/>
      <c r="T51" s="348"/>
      <c r="U51" s="348"/>
      <c r="V51" s="346"/>
      <c r="W51" s="359"/>
      <c r="X51" s="350"/>
    </row>
    <row r="52" spans="2:24" ht="15.5">
      <c r="B52" s="342"/>
      <c r="C52" s="342"/>
      <c r="D52" s="5"/>
      <c r="E52" s="63"/>
      <c r="F52" s="63"/>
      <c r="G52" s="63"/>
      <c r="H52" s="63"/>
      <c r="I52" s="63"/>
      <c r="J52" s="63"/>
      <c r="K52" s="5"/>
      <c r="L52" s="5"/>
      <c r="M52" s="5"/>
      <c r="N52" s="5"/>
      <c r="O52" s="5"/>
      <c r="P52" s="5"/>
      <c r="Q52" s="5"/>
      <c r="R52" s="347"/>
      <c r="S52" s="347"/>
      <c r="T52" s="348"/>
      <c r="U52" s="347"/>
      <c r="V52" s="359"/>
      <c r="W52" s="359"/>
      <c r="X52" s="350"/>
    </row>
    <row r="53" spans="2:24" ht="15.5">
      <c r="B53" s="342"/>
      <c r="C53" s="342"/>
      <c r="D53" s="5"/>
      <c r="E53" s="63"/>
      <c r="F53" s="63"/>
      <c r="G53" s="63"/>
      <c r="H53" s="63"/>
      <c r="I53" s="63"/>
      <c r="J53" s="63"/>
      <c r="K53" s="5"/>
      <c r="L53" s="5"/>
      <c r="M53" s="5"/>
      <c r="N53" s="5"/>
      <c r="O53" s="5"/>
      <c r="P53" s="5"/>
      <c r="Q53" s="5"/>
      <c r="R53" s="347"/>
      <c r="S53" s="347"/>
      <c r="T53" s="348"/>
      <c r="U53" s="348"/>
      <c r="V53" s="348"/>
      <c r="W53" s="350"/>
      <c r="X53" s="350"/>
    </row>
    <row r="54" spans="2:24" ht="15.5">
      <c r="B54" s="342"/>
      <c r="C54" s="342"/>
      <c r="D54" s="5"/>
      <c r="E54" s="63"/>
      <c r="F54" s="63"/>
      <c r="G54" s="63"/>
      <c r="H54" s="63"/>
      <c r="I54" s="63"/>
      <c r="J54" s="63"/>
      <c r="K54" s="5"/>
      <c r="L54" s="5"/>
      <c r="M54" s="5"/>
      <c r="N54" s="5"/>
      <c r="O54" s="5"/>
      <c r="P54" s="5"/>
      <c r="Q54" s="5"/>
      <c r="R54" s="347"/>
      <c r="S54" s="347"/>
      <c r="T54" s="454"/>
      <c r="U54" s="454"/>
      <c r="V54" s="348"/>
      <c r="W54" s="346"/>
      <c r="X54" s="346"/>
    </row>
    <row r="55" spans="2:24" ht="15.5">
      <c r="B55" s="5"/>
      <c r="C55" s="5"/>
      <c r="D55" s="5"/>
      <c r="E55" s="63"/>
      <c r="F55" s="63"/>
      <c r="G55" s="63"/>
      <c r="H55" s="63"/>
      <c r="I55" s="63"/>
      <c r="J55" s="63"/>
      <c r="K55" s="5"/>
      <c r="L55" s="5"/>
      <c r="M55" s="5"/>
      <c r="N55" s="5"/>
      <c r="O55" s="5"/>
      <c r="P55" s="5"/>
      <c r="Q55" s="5"/>
      <c r="R55" s="347"/>
      <c r="S55" s="347"/>
      <c r="T55" s="348"/>
      <c r="U55" s="347"/>
      <c r="V55" s="359"/>
      <c r="W55" s="350"/>
      <c r="X55" s="350"/>
    </row>
    <row r="56" spans="2:24" ht="15.5">
      <c r="B56" s="5"/>
      <c r="C56" s="5"/>
      <c r="D56" s="5"/>
      <c r="E56" s="63"/>
      <c r="F56" s="63"/>
      <c r="G56" s="63"/>
      <c r="H56" s="63"/>
      <c r="I56" s="63"/>
      <c r="J56" s="63"/>
      <c r="K56" s="5"/>
      <c r="L56" s="5"/>
      <c r="M56" s="5"/>
      <c r="N56" s="5"/>
      <c r="O56" s="5"/>
      <c r="P56" s="5"/>
      <c r="Q56" s="5"/>
      <c r="R56" s="347"/>
      <c r="S56" s="347"/>
      <c r="T56" s="348"/>
      <c r="U56" s="347"/>
      <c r="V56" s="359"/>
      <c r="W56" s="348"/>
      <c r="X56" s="348"/>
    </row>
    <row r="57" spans="2:24" ht="15.5">
      <c r="B57" s="5"/>
      <c r="C57" s="5"/>
      <c r="D57" s="5"/>
      <c r="E57" s="63"/>
      <c r="F57" s="63"/>
      <c r="G57" s="63"/>
      <c r="H57" s="63"/>
      <c r="I57" s="63"/>
      <c r="J57" s="63"/>
      <c r="K57" s="5"/>
      <c r="L57" s="5"/>
      <c r="M57" s="5"/>
      <c r="N57" s="5"/>
      <c r="O57" s="5"/>
      <c r="P57" s="5"/>
      <c r="Q57" s="5"/>
      <c r="R57" s="347"/>
      <c r="S57" s="347"/>
      <c r="T57" s="348"/>
      <c r="U57" s="347"/>
      <c r="V57" s="350"/>
      <c r="W57" s="348"/>
      <c r="X57" s="348"/>
    </row>
    <row r="58" spans="2:24" ht="15.5">
      <c r="B58" s="5"/>
      <c r="C58" s="5"/>
      <c r="D58" s="5"/>
      <c r="E58" s="63"/>
      <c r="F58" s="63"/>
      <c r="G58" s="63"/>
      <c r="H58" s="63"/>
      <c r="I58" s="63"/>
      <c r="J58" s="63"/>
      <c r="K58" s="5"/>
      <c r="L58" s="5"/>
      <c r="M58" s="5"/>
      <c r="N58" s="5"/>
      <c r="O58" s="5"/>
      <c r="P58" s="5"/>
      <c r="Q58" s="5"/>
      <c r="R58" s="347"/>
      <c r="S58" s="347"/>
      <c r="T58" s="348"/>
      <c r="U58" s="347"/>
      <c r="V58" s="359"/>
      <c r="W58" s="359"/>
      <c r="X58" s="350"/>
    </row>
    <row r="59" spans="2:24" ht="15.5">
      <c r="B59" s="5"/>
      <c r="C59" s="5"/>
      <c r="D59" s="5"/>
      <c r="E59" s="63"/>
      <c r="F59" s="63"/>
      <c r="G59" s="63"/>
      <c r="H59" s="63"/>
      <c r="I59" s="63"/>
      <c r="J59" s="63"/>
      <c r="K59" s="5"/>
      <c r="L59" s="5"/>
      <c r="M59" s="5"/>
      <c r="N59" s="5"/>
      <c r="O59" s="5"/>
      <c r="P59" s="5"/>
      <c r="Q59" s="5"/>
      <c r="R59" s="347"/>
      <c r="S59" s="347"/>
      <c r="T59" s="348"/>
      <c r="U59" s="347"/>
      <c r="V59" s="359"/>
      <c r="W59" s="359"/>
      <c r="X59" s="350"/>
    </row>
    <row r="60" spans="2:24" ht="15.5">
      <c r="B60" s="5"/>
      <c r="C60" s="5"/>
      <c r="D60" s="5"/>
      <c r="E60" s="63"/>
      <c r="F60" s="63"/>
      <c r="G60" s="63"/>
      <c r="H60" s="63"/>
      <c r="I60" s="63"/>
      <c r="J60" s="63"/>
      <c r="K60" s="5"/>
      <c r="L60" s="5"/>
      <c r="M60" s="5"/>
      <c r="N60" s="5"/>
      <c r="O60" s="5"/>
      <c r="P60" s="5"/>
      <c r="Q60" s="5"/>
      <c r="R60" s="347"/>
      <c r="S60" s="347"/>
      <c r="T60" s="348"/>
      <c r="U60" s="348"/>
      <c r="V60" s="346"/>
      <c r="W60" s="346"/>
      <c r="X60" s="346"/>
    </row>
    <row r="61" spans="2:24" ht="15.5">
      <c r="B61" s="5"/>
      <c r="C61" s="5"/>
      <c r="D61" s="5"/>
      <c r="E61" s="63"/>
      <c r="F61" s="63"/>
      <c r="G61" s="63"/>
      <c r="H61" s="63"/>
      <c r="I61" s="63"/>
      <c r="J61" s="63"/>
      <c r="K61" s="5"/>
      <c r="L61" s="5"/>
      <c r="M61" s="5"/>
      <c r="N61" s="5"/>
      <c r="O61" s="5"/>
      <c r="P61" s="5"/>
      <c r="Q61" s="5"/>
      <c r="R61" s="347"/>
      <c r="S61" s="347"/>
      <c r="T61" s="348"/>
      <c r="U61" s="347"/>
      <c r="V61" s="350"/>
      <c r="W61" s="359"/>
      <c r="X61" s="350"/>
    </row>
    <row r="62" spans="2:24" ht="15.5">
      <c r="B62" s="5"/>
      <c r="C62" s="5"/>
      <c r="D62" s="5"/>
      <c r="E62" s="63"/>
      <c r="F62" s="63"/>
      <c r="G62" s="63"/>
      <c r="H62" s="63"/>
      <c r="I62" s="63"/>
      <c r="J62" s="63"/>
      <c r="K62" s="5"/>
      <c r="L62" s="5"/>
      <c r="M62" s="5"/>
      <c r="N62" s="5"/>
      <c r="O62" s="5"/>
      <c r="P62" s="5"/>
      <c r="Q62" s="5"/>
      <c r="R62" s="347"/>
      <c r="S62" s="347"/>
      <c r="T62" s="348"/>
      <c r="U62" s="348"/>
      <c r="V62" s="348"/>
      <c r="W62" s="348"/>
      <c r="X62" s="348"/>
    </row>
    <row r="63" spans="2:24" ht="15.5">
      <c r="B63" s="5"/>
      <c r="C63" s="5"/>
      <c r="D63" s="5"/>
      <c r="E63" s="63"/>
      <c r="F63" s="63"/>
      <c r="G63" s="63"/>
      <c r="H63" s="63"/>
      <c r="I63" s="63"/>
      <c r="J63" s="63"/>
      <c r="K63" s="5"/>
      <c r="L63" s="5"/>
      <c r="M63" s="5"/>
      <c r="N63" s="5"/>
      <c r="O63" s="5"/>
      <c r="P63" s="5"/>
      <c r="Q63" s="5"/>
      <c r="R63" s="347"/>
      <c r="S63" s="347"/>
      <c r="T63" s="348"/>
      <c r="U63" s="348"/>
      <c r="V63" s="348"/>
      <c r="W63" s="348"/>
      <c r="X63" s="348"/>
    </row>
    <row r="64" spans="2:24" ht="15.5">
      <c r="B64" s="5"/>
      <c r="C64" s="5"/>
      <c r="D64" s="5"/>
      <c r="E64" s="63"/>
      <c r="F64" s="63"/>
      <c r="G64" s="63"/>
      <c r="H64" s="63"/>
      <c r="I64" s="63"/>
      <c r="J64" s="63"/>
      <c r="K64" s="5"/>
      <c r="L64" s="5"/>
      <c r="M64" s="5"/>
      <c r="N64" s="5"/>
      <c r="O64" s="5"/>
      <c r="P64" s="5"/>
      <c r="Q64" s="5"/>
      <c r="R64" s="347"/>
      <c r="S64" s="347"/>
      <c r="T64" s="348"/>
      <c r="U64" s="347"/>
      <c r="V64" s="350"/>
      <c r="W64" s="359"/>
      <c r="X64" s="350"/>
    </row>
    <row r="65" spans="2:24" ht="15.5">
      <c r="B65" s="5"/>
      <c r="C65" s="5"/>
      <c r="D65" s="5"/>
      <c r="E65" s="63"/>
      <c r="F65" s="63"/>
      <c r="G65" s="63"/>
      <c r="H65" s="63"/>
      <c r="I65" s="63"/>
      <c r="J65" s="63"/>
      <c r="K65" s="5"/>
      <c r="L65" s="5"/>
      <c r="M65" s="5"/>
      <c r="N65" s="5"/>
      <c r="O65" s="5"/>
      <c r="P65" s="5"/>
      <c r="Q65" s="5"/>
      <c r="R65" s="347"/>
      <c r="S65" s="347"/>
      <c r="T65" s="348"/>
      <c r="U65" s="348"/>
      <c r="V65" s="346"/>
      <c r="W65" s="359"/>
      <c r="X65" s="350"/>
    </row>
    <row r="66" spans="2:24" ht="15.5">
      <c r="B66" s="5"/>
      <c r="C66" s="5"/>
      <c r="D66" s="5"/>
      <c r="E66" s="63"/>
      <c r="F66" s="63"/>
      <c r="G66" s="63"/>
      <c r="H66" s="63"/>
      <c r="I66" s="63"/>
      <c r="J66" s="63"/>
      <c r="K66" s="5"/>
      <c r="L66" s="5"/>
      <c r="M66" s="5"/>
      <c r="N66" s="5"/>
      <c r="O66" s="5"/>
      <c r="P66" s="5"/>
      <c r="Q66" s="5"/>
      <c r="R66" s="347"/>
      <c r="S66" s="347"/>
      <c r="T66" s="454"/>
      <c r="U66" s="454"/>
      <c r="V66" s="348"/>
      <c r="W66" s="359"/>
      <c r="X66" s="350"/>
    </row>
    <row r="67" spans="2:24" ht="15.5">
      <c r="B67" s="5"/>
      <c r="C67" s="5"/>
      <c r="D67" s="5"/>
      <c r="E67" s="63"/>
      <c r="F67" s="63"/>
      <c r="G67" s="63"/>
      <c r="H67" s="63"/>
      <c r="I67" s="63"/>
      <c r="J67" s="63"/>
      <c r="K67" s="5"/>
      <c r="L67" s="5"/>
      <c r="M67" s="5"/>
      <c r="N67" s="5"/>
      <c r="O67" s="5"/>
      <c r="P67" s="5"/>
      <c r="Q67" s="5"/>
      <c r="R67" s="347"/>
      <c r="S67" s="347"/>
      <c r="T67" s="348"/>
      <c r="U67" s="348"/>
      <c r="V67" s="348"/>
      <c r="W67" s="359"/>
      <c r="X67" s="359"/>
    </row>
    <row r="68" spans="2:24" ht="15.5">
      <c r="B68" s="5"/>
      <c r="C68" s="5"/>
      <c r="D68" s="5"/>
      <c r="E68" s="63"/>
      <c r="F68" s="63"/>
      <c r="G68" s="63"/>
      <c r="H68" s="63"/>
      <c r="I68" s="63"/>
      <c r="J68" s="63"/>
      <c r="K68" s="5"/>
      <c r="L68" s="5"/>
      <c r="M68" s="5"/>
      <c r="N68" s="5"/>
      <c r="O68" s="5"/>
      <c r="P68" s="5"/>
      <c r="Q68" s="5"/>
      <c r="R68" s="347"/>
      <c r="S68" s="347"/>
      <c r="T68" s="348"/>
      <c r="U68" s="347"/>
      <c r="V68" s="348"/>
      <c r="W68" s="359"/>
      <c r="X68" s="359"/>
    </row>
    <row r="69" spans="2:24" ht="15.5">
      <c r="B69" s="5"/>
      <c r="C69" s="5"/>
      <c r="D69" s="5"/>
      <c r="E69" s="63"/>
      <c r="F69" s="63"/>
      <c r="G69" s="63"/>
      <c r="H69" s="63"/>
      <c r="I69" s="63"/>
      <c r="J69" s="63"/>
      <c r="K69" s="5"/>
      <c r="L69" s="5"/>
      <c r="M69" s="5"/>
      <c r="N69" s="5"/>
      <c r="O69" s="5"/>
      <c r="P69" s="5"/>
      <c r="Q69" s="5"/>
      <c r="R69" s="347"/>
      <c r="S69" s="347"/>
      <c r="T69" s="348"/>
      <c r="U69" s="348"/>
      <c r="V69" s="346"/>
      <c r="W69" s="346"/>
      <c r="X69" s="346"/>
    </row>
    <row r="70" spans="2:24" ht="15.5">
      <c r="B70" s="5"/>
      <c r="C70" s="5"/>
      <c r="D70" s="5"/>
      <c r="E70" s="63"/>
      <c r="F70" s="63"/>
      <c r="G70" s="63"/>
      <c r="H70" s="63"/>
      <c r="I70" s="63"/>
      <c r="J70" s="63"/>
      <c r="K70" s="5"/>
      <c r="L70" s="5"/>
      <c r="M70" s="5"/>
      <c r="N70" s="5"/>
      <c r="O70" s="5"/>
      <c r="P70" s="5"/>
      <c r="Q70" s="5"/>
      <c r="R70" s="347"/>
      <c r="S70" s="347"/>
      <c r="T70" s="348"/>
      <c r="U70" s="347"/>
      <c r="V70" s="348"/>
      <c r="W70" s="359"/>
      <c r="X70" s="350"/>
    </row>
    <row r="71" spans="2:24" ht="15.5">
      <c r="B71" s="5"/>
      <c r="C71" s="5"/>
      <c r="D71" s="5"/>
      <c r="E71" s="63"/>
      <c r="F71" s="63"/>
      <c r="G71" s="63"/>
      <c r="H71" s="63"/>
      <c r="I71" s="63"/>
      <c r="J71" s="63"/>
      <c r="K71" s="5"/>
      <c r="L71" s="5"/>
      <c r="M71" s="5"/>
      <c r="N71" s="5"/>
      <c r="O71" s="5"/>
      <c r="P71" s="5"/>
      <c r="Q71" s="5"/>
      <c r="R71" s="347"/>
      <c r="S71" s="347"/>
      <c r="T71" s="348"/>
      <c r="U71" s="348"/>
      <c r="V71" s="348"/>
      <c r="W71" s="348"/>
      <c r="X71" s="348"/>
    </row>
    <row r="72" spans="2:24" ht="15.5">
      <c r="B72" s="5"/>
      <c r="C72" s="5"/>
      <c r="D72" s="5"/>
      <c r="E72" s="63"/>
      <c r="F72" s="63"/>
      <c r="G72" s="63"/>
      <c r="H72" s="63"/>
      <c r="I72" s="63"/>
      <c r="J72" s="63"/>
      <c r="K72" s="5"/>
      <c r="L72" s="5"/>
      <c r="M72" s="5"/>
      <c r="N72" s="5"/>
      <c r="O72" s="5"/>
      <c r="P72" s="5"/>
      <c r="Q72" s="5"/>
      <c r="R72" s="347"/>
      <c r="S72" s="347"/>
      <c r="T72" s="348"/>
      <c r="U72" s="348"/>
      <c r="V72" s="346"/>
      <c r="W72" s="348"/>
      <c r="X72" s="348"/>
    </row>
    <row r="73" spans="2:24" ht="15.5">
      <c r="B73" s="5"/>
      <c r="C73" s="5"/>
      <c r="D73" s="5"/>
      <c r="E73" s="63"/>
      <c r="F73" s="63"/>
      <c r="G73" s="63"/>
      <c r="H73" s="63"/>
      <c r="I73" s="63"/>
      <c r="J73" s="63"/>
      <c r="K73" s="5"/>
      <c r="L73" s="5"/>
      <c r="M73" s="5"/>
      <c r="N73" s="5"/>
      <c r="O73" s="5"/>
      <c r="P73" s="5"/>
      <c r="Q73" s="5"/>
      <c r="R73" s="347"/>
      <c r="S73" s="347"/>
      <c r="T73" s="454"/>
      <c r="U73" s="454"/>
      <c r="V73" s="350"/>
      <c r="W73" s="350"/>
      <c r="X73" s="350"/>
    </row>
    <row r="74" spans="2:24" ht="15.5">
      <c r="B74" s="5"/>
      <c r="C74" s="5"/>
      <c r="D74" s="5"/>
      <c r="E74" s="63"/>
      <c r="F74" s="63"/>
      <c r="G74" s="63"/>
      <c r="H74" s="63"/>
      <c r="I74" s="63"/>
      <c r="J74" s="63"/>
      <c r="K74" s="5"/>
      <c r="L74" s="5"/>
      <c r="M74" s="5"/>
      <c r="N74" s="5"/>
      <c r="O74" s="5"/>
      <c r="P74" s="5"/>
      <c r="Q74" s="5"/>
      <c r="R74" s="5"/>
      <c r="S74" s="5"/>
      <c r="T74" s="5"/>
      <c r="U74" s="5"/>
      <c r="V74" s="5"/>
      <c r="W74" s="346"/>
      <c r="X74" s="346"/>
    </row>
    <row r="75" spans="2:24" ht="15.5">
      <c r="B75" s="5"/>
      <c r="C75" s="5"/>
      <c r="W75" s="348"/>
      <c r="X75" s="348"/>
    </row>
    <row r="76" spans="2:24" ht="15.5">
      <c r="B76" s="5"/>
      <c r="C76" s="5"/>
      <c r="W76" s="348"/>
      <c r="X76" s="348"/>
    </row>
    <row r="77" spans="2:24" ht="15.5">
      <c r="B77" s="5"/>
      <c r="C77" s="5"/>
      <c r="W77" s="348"/>
      <c r="X77" s="348"/>
    </row>
    <row r="78" spans="2:24" ht="15.5">
      <c r="B78" s="5"/>
      <c r="C78" s="5"/>
      <c r="W78" s="346"/>
      <c r="X78" s="346"/>
    </row>
    <row r="79" spans="2:24" ht="15.5">
      <c r="B79" s="5"/>
      <c r="C79" s="5"/>
      <c r="W79" s="348"/>
      <c r="X79" s="348"/>
    </row>
    <row r="80" spans="2:24" ht="15.5">
      <c r="B80" s="5"/>
      <c r="C80" s="5"/>
      <c r="W80" s="348"/>
      <c r="X80" s="348"/>
    </row>
    <row r="81" spans="2:24" ht="15.5">
      <c r="B81" s="5"/>
      <c r="C81" s="5"/>
      <c r="W81" s="346"/>
      <c r="X81" s="346"/>
    </row>
    <row r="82" spans="2:24" ht="15.5">
      <c r="B82" s="5"/>
      <c r="C82" s="5"/>
      <c r="W82" s="350"/>
      <c r="X82" s="350"/>
    </row>
    <row r="83" spans="2:24" ht="15.5">
      <c r="B83" s="5"/>
      <c r="C83" s="5"/>
      <c r="W83" s="5"/>
      <c r="X83" s="5"/>
    </row>
  </sheetData>
  <mergeCells count="14">
    <mergeCell ref="T66:U66"/>
    <mergeCell ref="T73:U73"/>
    <mergeCell ref="E27:H27"/>
    <mergeCell ref="O27:R27"/>
    <mergeCell ref="E33:G33"/>
    <mergeCell ref="T38:U38"/>
    <mergeCell ref="T48:U48"/>
    <mergeCell ref="T54:U54"/>
    <mergeCell ref="B1:W1"/>
    <mergeCell ref="F4:O4"/>
    <mergeCell ref="F8:Q8"/>
    <mergeCell ref="T16:U16"/>
    <mergeCell ref="F18:P18"/>
    <mergeCell ref="T18:U18"/>
  </mergeCells>
  <pageMargins left="0.7" right="0.7" top="0.75" bottom="0.75" header="0.3" footer="0.3"/>
  <pageSetup orientation="portrait" r:id="rId1"/>
  <headerFooter>
    <oddFooter>&amp;C&amp;1#&amp;"Calibri"&amp;10&amp;K000000Internal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3F45A-901C-48E5-9095-64F704AD7F41}">
  <sheetPr codeName="Sheet16">
    <tabColor rgb="FF92D050"/>
  </sheetPr>
  <dimension ref="A1:AD41"/>
  <sheetViews>
    <sheetView workbookViewId="0">
      <selection activeCell="I25" sqref="I25"/>
    </sheetView>
  </sheetViews>
  <sheetFormatPr defaultColWidth="8.81640625" defaultRowHeight="14.5"/>
  <cols>
    <col min="1" max="1" width="7.453125" style="39" customWidth="1"/>
    <col min="2" max="2" width="14.453125" style="39" customWidth="1"/>
    <col min="3" max="4" width="13" style="39" customWidth="1"/>
    <col min="5" max="5" width="18" style="39" bestFit="1" customWidth="1"/>
    <col min="6" max="6" width="13.54296875" style="39" customWidth="1"/>
    <col min="7" max="7" width="18.54296875" style="39" bestFit="1" customWidth="1"/>
    <col min="8" max="8" width="14.1796875" style="39" customWidth="1"/>
    <col min="9" max="9" width="17" style="39" bestFit="1" customWidth="1"/>
    <col min="10" max="10" width="14" style="39" customWidth="1"/>
    <col min="11" max="11" width="15" style="39" bestFit="1" customWidth="1"/>
    <col min="12" max="12" width="13" style="39" customWidth="1"/>
    <col min="13" max="14" width="14.1796875" style="39" customWidth="1"/>
    <col min="15" max="15" width="14.54296875" style="39" customWidth="1"/>
    <col min="16" max="16" width="14.26953125" style="39" customWidth="1"/>
    <col min="17" max="17" width="9.1796875" style="39" customWidth="1"/>
    <col min="18" max="18" width="11.1796875" style="39" bestFit="1" customWidth="1"/>
    <col min="19" max="19" width="10.1796875" style="39" bestFit="1" customWidth="1"/>
    <col min="20" max="20" width="11.1796875" style="39" bestFit="1" customWidth="1"/>
    <col min="21" max="21" width="10.1796875" style="39" bestFit="1" customWidth="1"/>
    <col min="22" max="22" width="14.1796875" style="39" bestFit="1" customWidth="1"/>
    <col min="23" max="23" width="14" style="39" customWidth="1"/>
    <col min="24" max="24" width="9.453125" style="39" hidden="1" customWidth="1"/>
    <col min="25" max="28" width="15.7265625" style="39" bestFit="1" customWidth="1"/>
    <col min="29" max="29" width="12.26953125" style="39" customWidth="1"/>
    <col min="30" max="30" width="18.26953125" style="39" customWidth="1"/>
    <col min="31" max="32" width="8.81640625" style="39"/>
    <col min="33" max="33" width="28.54296875" style="39" customWidth="1"/>
    <col min="34" max="16384" width="8.81640625" style="39"/>
  </cols>
  <sheetData>
    <row r="1" spans="1:25">
      <c r="A1" s="30"/>
      <c r="B1" s="30"/>
      <c r="C1" s="30"/>
      <c r="D1" s="30"/>
      <c r="E1" s="30"/>
      <c r="F1" s="30"/>
      <c r="G1" s="30"/>
      <c r="H1" s="30"/>
      <c r="I1" s="30"/>
    </row>
    <row r="2" spans="1:25">
      <c r="A2" s="17"/>
      <c r="B2" s="473"/>
      <c r="C2" s="473"/>
      <c r="D2" s="473"/>
      <c r="F2" s="17"/>
    </row>
    <row r="3" spans="1:25">
      <c r="E3" s="474" t="s">
        <v>390</v>
      </c>
      <c r="F3" s="474"/>
      <c r="G3" s="474"/>
      <c r="H3" s="474"/>
      <c r="I3" s="474"/>
      <c r="J3" s="474"/>
      <c r="K3" s="474"/>
      <c r="M3" s="65"/>
      <c r="N3" s="65"/>
      <c r="O3" s="65"/>
      <c r="P3" s="397"/>
      <c r="Q3" s="397"/>
      <c r="R3" s="397"/>
      <c r="S3" s="397"/>
      <c r="T3" s="397"/>
      <c r="U3" s="397"/>
      <c r="V3" s="397"/>
    </row>
    <row r="4" spans="1:25" ht="15.75" customHeight="1">
      <c r="D4" s="5"/>
      <c r="E4" s="97">
        <f>'Hypothetical Summary'!L4</f>
        <v>2025</v>
      </c>
      <c r="F4" s="94">
        <f>Summary!L3</f>
        <v>45901</v>
      </c>
      <c r="G4" s="386">
        <f>Summary!L3</f>
        <v>45901</v>
      </c>
      <c r="H4" s="14" t="s">
        <v>21</v>
      </c>
      <c r="I4" s="14" t="s">
        <v>21</v>
      </c>
      <c r="J4"/>
      <c r="K4"/>
      <c r="L4" s="63"/>
      <c r="O4" s="5"/>
      <c r="P4" s="97"/>
      <c r="Q4" s="94"/>
      <c r="R4" s="386"/>
      <c r="S4" s="14"/>
      <c r="T4" s="14"/>
      <c r="U4" s="14"/>
      <c r="V4" s="14"/>
    </row>
    <row r="5" spans="1:25" ht="30.65" customHeight="1">
      <c r="D5" s="5"/>
      <c r="E5" s="14" t="s">
        <v>41</v>
      </c>
      <c r="F5" s="14" t="s">
        <v>26</v>
      </c>
      <c r="G5" s="14" t="s">
        <v>42</v>
      </c>
      <c r="H5" s="14" t="s">
        <v>26</v>
      </c>
      <c r="I5" s="14" t="s">
        <v>42</v>
      </c>
      <c r="J5"/>
      <c r="K5"/>
      <c r="L5" s="6"/>
      <c r="M5" s="74"/>
      <c r="N5" s="74"/>
      <c r="O5" s="6"/>
      <c r="P5" s="14"/>
      <c r="Q5" s="14"/>
      <c r="R5" s="14"/>
      <c r="S5" s="14"/>
      <c r="T5" s="14"/>
      <c r="U5" s="14"/>
      <c r="V5" s="14"/>
    </row>
    <row r="6" spans="1:25" ht="42" customHeight="1">
      <c r="B6" s="7"/>
      <c r="D6" s="7"/>
      <c r="E6" s="5"/>
      <c r="F6" s="5"/>
      <c r="G6" s="5"/>
      <c r="J6"/>
      <c r="K6"/>
      <c r="L6" s="63"/>
      <c r="O6" s="7"/>
      <c r="P6" s="5"/>
      <c r="Q6" s="5"/>
      <c r="R6" s="5"/>
      <c r="U6" s="63"/>
      <c r="V6" s="63"/>
    </row>
    <row r="7" spans="1:25" ht="15.5">
      <c r="D7" s="398" t="s">
        <v>375</v>
      </c>
      <c r="E7" s="101">
        <f>HLOOKUP($E$4,$Y$33:$AB$41,2,FALSE)</f>
        <v>164227.76070798401</v>
      </c>
      <c r="F7" s="9">
        <v>0.50050000000000006</v>
      </c>
      <c r="G7" s="168">
        <f t="shared" ref="G7:G12" si="0">F7*E7</f>
        <v>82195.994234345999</v>
      </c>
      <c r="H7" s="15">
        <f t="shared" ref="H7:H12" si="1">F7+I$15/SUM($E$7:$E$12)</f>
        <v>0.50050000000000006</v>
      </c>
      <c r="I7" s="168">
        <f t="shared" ref="I7:I12" si="2">H7*E7</f>
        <v>82195.994234345999</v>
      </c>
      <c r="J7"/>
      <c r="K7"/>
      <c r="L7" s="399"/>
      <c r="O7" s="8"/>
      <c r="P7" s="147"/>
      <c r="Q7" s="9"/>
      <c r="R7" s="146"/>
      <c r="S7" s="15"/>
      <c r="T7" s="146"/>
      <c r="U7" s="15"/>
      <c r="V7" s="146"/>
      <c r="W7" s="41"/>
    </row>
    <row r="8" spans="1:25" ht="15.5">
      <c r="D8" s="12" t="s">
        <v>373</v>
      </c>
      <c r="E8" s="101">
        <f>HLOOKUP($E$4,$Y$33:$AB$41,3,FALSE)</f>
        <v>114890.37430075801</v>
      </c>
      <c r="F8" s="9">
        <v>0.45127</v>
      </c>
      <c r="G8" s="168">
        <f t="shared" si="0"/>
        <v>51846.579210703065</v>
      </c>
      <c r="H8" s="15">
        <f t="shared" si="1"/>
        <v>0.45127</v>
      </c>
      <c r="I8" s="168">
        <f t="shared" si="2"/>
        <v>51846.579210703065</v>
      </c>
      <c r="J8"/>
      <c r="K8"/>
      <c r="L8" s="399"/>
      <c r="O8" s="12"/>
      <c r="P8" s="147"/>
      <c r="Q8" s="9"/>
      <c r="R8" s="146"/>
      <c r="S8" s="15"/>
      <c r="T8" s="146"/>
      <c r="U8" s="15"/>
      <c r="V8" s="146"/>
      <c r="W8" s="41"/>
      <c r="Y8" s="19"/>
    </row>
    <row r="9" spans="1:25" ht="15.5">
      <c r="D9" s="398" t="s">
        <v>372</v>
      </c>
      <c r="E9" s="101">
        <f>HLOOKUP($E$4,$Y$33:$AB$41,4,FALSE)</f>
        <v>378411.76724420895</v>
      </c>
      <c r="F9" s="9">
        <v>0.43046000000000001</v>
      </c>
      <c r="G9" s="168">
        <f t="shared" si="0"/>
        <v>162891.12932794218</v>
      </c>
      <c r="H9" s="15">
        <f t="shared" si="1"/>
        <v>0.43046000000000001</v>
      </c>
      <c r="I9" s="168">
        <f t="shared" si="2"/>
        <v>162891.12932794218</v>
      </c>
      <c r="J9"/>
      <c r="K9"/>
      <c r="L9" s="399"/>
      <c r="O9" s="8"/>
      <c r="P9" s="147"/>
      <c r="Q9" s="9"/>
      <c r="R9" s="146"/>
      <c r="S9" s="15"/>
      <c r="T9" s="146"/>
      <c r="U9" s="15"/>
      <c r="V9" s="146"/>
      <c r="W9" s="41"/>
      <c r="Y9" s="19"/>
    </row>
    <row r="10" spans="1:25" ht="15.5">
      <c r="D10" s="12" t="s">
        <v>371</v>
      </c>
      <c r="E10" s="101">
        <f>HLOOKUP($E$4,$Y$33:$AB$41,5,FALSE)</f>
        <v>259532.52884888198</v>
      </c>
      <c r="F10" s="9">
        <v>0.42507999999999996</v>
      </c>
      <c r="G10" s="168">
        <f t="shared" si="0"/>
        <v>110322.08736308274</v>
      </c>
      <c r="H10" s="15">
        <f t="shared" si="1"/>
        <v>0.42507999999999996</v>
      </c>
      <c r="I10" s="168">
        <f t="shared" si="2"/>
        <v>110322.08736308274</v>
      </c>
      <c r="J10"/>
      <c r="K10"/>
      <c r="L10" s="399"/>
      <c r="O10" s="12"/>
      <c r="P10" s="147"/>
      <c r="Q10" s="9"/>
      <c r="R10" s="146"/>
      <c r="S10" s="15"/>
      <c r="T10" s="146"/>
      <c r="U10" s="15"/>
      <c r="V10" s="146"/>
      <c r="W10" s="41"/>
      <c r="Y10" s="19"/>
    </row>
    <row r="11" spans="1:25" ht="15.5">
      <c r="D11" s="398" t="s">
        <v>370</v>
      </c>
      <c r="E11" s="101">
        <f>HLOOKUP($E$4,$Y$33:$AB$41,6,FALSE)</f>
        <v>773980.50218370289</v>
      </c>
      <c r="F11" s="9">
        <v>0.40895999999999993</v>
      </c>
      <c r="G11" s="168">
        <f t="shared" si="0"/>
        <v>316527.06617304706</v>
      </c>
      <c r="H11" s="15">
        <f t="shared" si="1"/>
        <v>0.40895999999999993</v>
      </c>
      <c r="I11" s="168">
        <f t="shared" si="2"/>
        <v>316527.06617304706</v>
      </c>
      <c r="J11"/>
      <c r="K11"/>
      <c r="L11" s="399"/>
      <c r="O11" s="8"/>
      <c r="P11" s="147"/>
      <c r="Q11" s="9"/>
      <c r="R11" s="146"/>
      <c r="S11" s="15"/>
      <c r="T11" s="146"/>
      <c r="U11" s="15"/>
      <c r="V11" s="146"/>
      <c r="W11" s="11"/>
      <c r="Y11" s="19"/>
    </row>
    <row r="12" spans="1:25" ht="15.5">
      <c r="D12" s="398" t="s">
        <v>385</v>
      </c>
      <c r="E12" s="101">
        <f>HLOOKUP($E$4,$Y$33:$AB$41,7,FALSE)</f>
        <v>91561.710181789007</v>
      </c>
      <c r="F12" s="9">
        <v>0.39253999999999994</v>
      </c>
      <c r="G12" s="168">
        <f t="shared" si="0"/>
        <v>35941.633714759453</v>
      </c>
      <c r="H12" s="15">
        <f t="shared" si="1"/>
        <v>0.39253999999999994</v>
      </c>
      <c r="I12" s="168">
        <f t="shared" si="2"/>
        <v>35941.633714759453</v>
      </c>
      <c r="J12"/>
      <c r="K12"/>
      <c r="L12" s="399"/>
      <c r="O12" s="12"/>
      <c r="P12" s="147"/>
      <c r="Q12" s="9"/>
      <c r="R12" s="146"/>
      <c r="S12" s="15"/>
      <c r="T12" s="146"/>
      <c r="U12" s="15"/>
      <c r="V12" s="146"/>
      <c r="W12" s="11"/>
      <c r="Y12" s="19"/>
    </row>
    <row r="13" spans="1:25" ht="15.5">
      <c r="F13" s="9"/>
      <c r="J13"/>
      <c r="K13"/>
      <c r="L13" s="11"/>
      <c r="O13" s="12"/>
      <c r="P13" s="10"/>
      <c r="Q13" s="9"/>
      <c r="R13" s="168"/>
      <c r="S13" s="388"/>
      <c r="T13" s="13"/>
      <c r="U13" s="5"/>
      <c r="V13" s="13"/>
      <c r="X13" s="19"/>
      <c r="Y13" s="19"/>
    </row>
    <row r="14" spans="1:25" ht="15.5">
      <c r="D14" s="12" t="s">
        <v>387</v>
      </c>
      <c r="E14" s="101">
        <f>HLOOKUP($E$4,$Y$33:$AB$41,9,FALSE)</f>
        <v>904.07420694299992</v>
      </c>
      <c r="F14" s="9">
        <v>0.32854</v>
      </c>
      <c r="G14" s="168">
        <f>F14*E14*365/12</f>
        <v>9034.4964234503677</v>
      </c>
      <c r="H14" s="9">
        <f>F14</f>
        <v>0.32854</v>
      </c>
      <c r="I14" s="168">
        <f>H14*E14*365/12</f>
        <v>9034.4964234503677</v>
      </c>
      <c r="J14"/>
      <c r="K14"/>
      <c r="L14" s="11"/>
      <c r="O14" s="12"/>
      <c r="P14" s="10"/>
      <c r="Q14" s="9"/>
      <c r="R14" s="10"/>
      <c r="S14" s="388"/>
      <c r="T14" s="10"/>
      <c r="U14" s="10"/>
      <c r="V14" s="10"/>
      <c r="Y14" s="19"/>
    </row>
    <row r="15" spans="1:25" ht="15.5">
      <c r="D15" s="400" t="s">
        <v>411</v>
      </c>
      <c r="E15" s="75"/>
      <c r="F15" s="9"/>
      <c r="G15" s="168">
        <f>SUM(G7:G14)</f>
        <v>768758.98644733091</v>
      </c>
      <c r="H15" s="10"/>
      <c r="I15" s="168">
        <f>'Hypothetical SAR and RAR (B-1)'!U20</f>
        <v>0</v>
      </c>
      <c r="J15"/>
      <c r="K15"/>
      <c r="L15" s="11"/>
      <c r="O15" s="76"/>
      <c r="P15" s="10"/>
      <c r="Q15" s="9"/>
      <c r="R15" s="10"/>
      <c r="S15" s="388"/>
      <c r="T15" s="10"/>
      <c r="U15" s="10"/>
      <c r="V15" s="10"/>
    </row>
    <row r="16" spans="1:25" ht="15.5">
      <c r="P16" s="10"/>
      <c r="Q16" s="9"/>
      <c r="S16" s="388"/>
    </row>
    <row r="17" spans="2:30" ht="15.5">
      <c r="O17" s="18"/>
      <c r="S17" s="388"/>
    </row>
    <row r="18" spans="2:30" ht="15.5">
      <c r="S18" s="388"/>
    </row>
    <row r="19" spans="2:30">
      <c r="B19" s="20"/>
      <c r="E19" s="389"/>
      <c r="P19" s="39" t="str">
        <f>'Bill Impact (B-1)'!P19</f>
        <v>2024 Recorded Data</v>
      </c>
    </row>
    <row r="20" spans="2:30">
      <c r="B20" s="21" t="s">
        <v>391</v>
      </c>
      <c r="C20" s="21"/>
      <c r="E20" s="22" t="s">
        <v>21</v>
      </c>
      <c r="F20" s="22"/>
      <c r="H20" s="21"/>
      <c r="I20" s="21"/>
      <c r="J20" s="21"/>
      <c r="K20" s="21"/>
      <c r="L20" s="21"/>
      <c r="M20" s="21"/>
      <c r="N20" s="21"/>
      <c r="P20" s="29" t="s">
        <v>382</v>
      </c>
      <c r="Q20" s="475" t="s">
        <v>147</v>
      </c>
      <c r="R20" s="476"/>
      <c r="S20" s="477"/>
      <c r="T20" s="475" t="s">
        <v>148</v>
      </c>
      <c r="U20" s="476"/>
      <c r="V20" s="477"/>
      <c r="X20" s="120"/>
      <c r="Y20" s="401"/>
      <c r="Z20" s="401"/>
      <c r="AA20" s="401"/>
      <c r="AB20" s="401"/>
      <c r="AC20" s="468"/>
      <c r="AD20" s="468"/>
    </row>
    <row r="21" spans="2:30">
      <c r="B21" s="23" t="s">
        <v>26</v>
      </c>
      <c r="C21" s="78">
        <v>45658</v>
      </c>
      <c r="D21" s="78">
        <f>Summary!L3</f>
        <v>45901</v>
      </c>
      <c r="E21" s="79" t="s">
        <v>173</v>
      </c>
      <c r="F21"/>
      <c r="P21" s="402" t="s">
        <v>381</v>
      </c>
      <c r="Q21" s="403" t="s">
        <v>380</v>
      </c>
      <c r="R21" s="404" t="s">
        <v>379</v>
      </c>
      <c r="S21" s="403" t="s">
        <v>378</v>
      </c>
      <c r="T21" s="404" t="s">
        <v>379</v>
      </c>
      <c r="U21" s="403" t="s">
        <v>378</v>
      </c>
      <c r="V21" s="403" t="s">
        <v>386</v>
      </c>
      <c r="W21" s="403" t="s">
        <v>136</v>
      </c>
      <c r="Y21" s="468"/>
      <c r="Z21" s="468"/>
      <c r="AA21" s="468"/>
      <c r="AB21" s="468"/>
      <c r="AC21" s="60"/>
      <c r="AD21" s="60"/>
    </row>
    <row r="22" spans="2:30">
      <c r="B22" s="398" t="s">
        <v>375</v>
      </c>
      <c r="C22" s="80">
        <v>0.50368999999999986</v>
      </c>
      <c r="D22" s="80">
        <f t="shared" ref="D22:D27" si="3">F7</f>
        <v>0.50050000000000006</v>
      </c>
      <c r="E22" s="80">
        <f t="shared" ref="E22:E27" si="4">H7</f>
        <v>0.50050000000000006</v>
      </c>
      <c r="F22"/>
      <c r="I22" s="19"/>
      <c r="J22" s="19"/>
      <c r="M22" s="19"/>
      <c r="N22" s="19"/>
      <c r="P22" s="329" t="s">
        <v>377</v>
      </c>
      <c r="Q22" s="169">
        <f>'Bill Impact (B-1)'!Q22</f>
        <v>253.26005479163373</v>
      </c>
      <c r="R22" s="169">
        <f>'Bill Impact (B-1)'!R22</f>
        <v>203.24535061377168</v>
      </c>
      <c r="S22" s="169">
        <f>'Bill Impact (B-1)'!S22</f>
        <v>616.11055265792106</v>
      </c>
      <c r="T22" s="169">
        <f>'Bill Impact (B-1)'!T22</f>
        <v>210.69843400682512</v>
      </c>
      <c r="U22" s="169">
        <f>'Bill Impact (B-1)'!U22</f>
        <v>655.09949481548813</v>
      </c>
      <c r="V22" s="169">
        <f>'Bill Impact (B-1)'!V22</f>
        <v>73.307124861750722</v>
      </c>
      <c r="W22" s="169">
        <f>'Bill Impact (B-1)'!W22</f>
        <v>2011.7210117473905</v>
      </c>
      <c r="Y22" s="405"/>
      <c r="Z22" s="405"/>
      <c r="AA22" s="405"/>
      <c r="AB22" s="405"/>
      <c r="AC22" s="143"/>
      <c r="AD22" s="143"/>
    </row>
    <row r="23" spans="2:30">
      <c r="B23" s="12" t="s">
        <v>373</v>
      </c>
      <c r="C23" s="80">
        <v>0.45445999999999992</v>
      </c>
      <c r="D23" s="80">
        <f t="shared" si="3"/>
        <v>0.45127</v>
      </c>
      <c r="E23" s="80">
        <f t="shared" si="4"/>
        <v>0.45127</v>
      </c>
      <c r="F23"/>
      <c r="I23" s="19"/>
      <c r="J23" s="19"/>
      <c r="M23" s="19"/>
      <c r="N23" s="19"/>
      <c r="P23" s="329" t="s">
        <v>376</v>
      </c>
      <c r="Q23" s="169">
        <f>'Bill Impact (B-1)'!Q23</f>
        <v>328.91245973645681</v>
      </c>
      <c r="R23" s="169">
        <f>'Bill Impact (B-1)'!R23</f>
        <v>287.45257686676428</v>
      </c>
      <c r="S23" s="169">
        <f>'Bill Impact (B-1)'!S23</f>
        <v>824.1323718887262</v>
      </c>
      <c r="T23" s="169">
        <f>'Bill Impact (B-1)'!T23</f>
        <v>221.50181384629926</v>
      </c>
      <c r="U23" s="169">
        <f>'Bill Impact (B-1)'!U23</f>
        <v>750.2864423167797</v>
      </c>
      <c r="V23" s="169">
        <f>'Bill Impact (B-1)'!V23</f>
        <v>125.74213575858033</v>
      </c>
      <c r="W23" s="169">
        <f>'Bill Impact (B-1)'!W23</f>
        <v>2538.0278004136067</v>
      </c>
      <c r="Y23" s="405"/>
      <c r="Z23" s="405"/>
      <c r="AA23" s="405"/>
      <c r="AB23" s="405"/>
      <c r="AC23" s="143"/>
      <c r="AD23" s="143"/>
    </row>
    <row r="24" spans="2:30">
      <c r="B24" s="398" t="s">
        <v>372</v>
      </c>
      <c r="C24" s="80">
        <v>0.43364999999999992</v>
      </c>
      <c r="D24" s="80">
        <f t="shared" si="3"/>
        <v>0.43046000000000001</v>
      </c>
      <c r="E24" s="80">
        <f t="shared" si="4"/>
        <v>0.43046000000000001</v>
      </c>
      <c r="F24"/>
      <c r="I24" s="19"/>
      <c r="J24" s="19"/>
      <c r="M24" s="19"/>
      <c r="N24" s="19"/>
      <c r="P24" s="407" t="s">
        <v>374</v>
      </c>
      <c r="Q24" s="169">
        <f>'Bill Impact (B-1)'!Q24</f>
        <v>1024.5283476898983</v>
      </c>
      <c r="R24" s="169">
        <f>'Bill Impact (B-1)'!R24</f>
        <v>688.0103926613715</v>
      </c>
      <c r="S24" s="169">
        <f>'Bill Impact (B-1)'!S24</f>
        <v>1887.6541783197226</v>
      </c>
      <c r="T24" s="169">
        <f>'Bill Impact (B-1)'!T24</f>
        <v>767.30921757172814</v>
      </c>
      <c r="U24" s="169">
        <f>'Bill Impact (B-1)'!U24</f>
        <v>1748.6497255811878</v>
      </c>
      <c r="V24" s="169">
        <f>'Bill Impact (B-1)'!V24</f>
        <v>280.83766342421131</v>
      </c>
      <c r="W24" s="169">
        <f>'Bill Impact (B-1)'!W24</f>
        <v>6396.9895252481192</v>
      </c>
      <c r="Y24" s="405"/>
      <c r="Z24" s="405"/>
      <c r="AA24" s="405"/>
      <c r="AB24" s="405"/>
      <c r="AC24" s="143"/>
      <c r="AD24" s="143"/>
    </row>
    <row r="25" spans="2:30">
      <c r="B25" s="12" t="s">
        <v>371</v>
      </c>
      <c r="C25" s="80">
        <v>0.42827000000000004</v>
      </c>
      <c r="D25" s="80">
        <f t="shared" si="3"/>
        <v>0.42507999999999996</v>
      </c>
      <c r="E25" s="80">
        <f t="shared" si="4"/>
        <v>0.42507999999999996</v>
      </c>
      <c r="F25"/>
      <c r="I25" s="19"/>
      <c r="J25" s="19"/>
      <c r="M25" s="19"/>
      <c r="N25" s="19"/>
      <c r="P25" s="408"/>
      <c r="Q25" s="409"/>
      <c r="R25" s="409"/>
      <c r="S25" s="409"/>
      <c r="T25" s="409"/>
      <c r="U25" s="145"/>
      <c r="V25" s="145"/>
      <c r="Y25" s="405"/>
      <c r="Z25" s="405"/>
      <c r="AA25" s="405"/>
      <c r="AB25" s="405"/>
      <c r="AC25" s="143"/>
      <c r="AD25" s="143"/>
    </row>
    <row r="26" spans="2:30">
      <c r="B26" s="398" t="s">
        <v>370</v>
      </c>
      <c r="C26" s="80">
        <v>0.41215000000000007</v>
      </c>
      <c r="D26" s="80">
        <f t="shared" si="3"/>
        <v>0.40895999999999993</v>
      </c>
      <c r="E26" s="80">
        <f t="shared" si="4"/>
        <v>0.40895999999999993</v>
      </c>
      <c r="F26"/>
      <c r="I26" s="19"/>
      <c r="J26" s="19"/>
      <c r="M26" s="19"/>
      <c r="N26" s="19"/>
      <c r="Q26" s="405"/>
      <c r="R26" s="405"/>
      <c r="S26" s="405"/>
      <c r="T26" s="405"/>
      <c r="U26" s="143"/>
      <c r="V26" s="143"/>
      <c r="Y26" s="405"/>
      <c r="Z26" s="405"/>
      <c r="AA26" s="405"/>
      <c r="AB26" s="405"/>
      <c r="AC26" s="143"/>
      <c r="AD26" s="143"/>
    </row>
    <row r="27" spans="2:30">
      <c r="B27" s="398" t="s">
        <v>385</v>
      </c>
      <c r="C27" s="80">
        <v>0.39573000000000003</v>
      </c>
      <c r="D27" s="80">
        <f t="shared" si="3"/>
        <v>0.39253999999999994</v>
      </c>
      <c r="E27" s="80">
        <f t="shared" si="4"/>
        <v>0.39253999999999994</v>
      </c>
      <c r="F27"/>
      <c r="I27" s="19"/>
      <c r="J27" s="19"/>
      <c r="M27" s="19"/>
      <c r="N27" s="19"/>
      <c r="Q27" s="405"/>
      <c r="R27" s="405"/>
      <c r="S27" s="405"/>
      <c r="T27" s="405"/>
      <c r="U27" s="143"/>
      <c r="V27" s="143"/>
      <c r="Y27" s="405"/>
      <c r="Z27" s="405"/>
      <c r="AA27" s="405"/>
      <c r="AB27" s="405"/>
      <c r="AC27" s="143"/>
      <c r="AD27" s="143"/>
    </row>
    <row r="28" spans="2:30">
      <c r="B28" s="12" t="s">
        <v>387</v>
      </c>
      <c r="C28" s="80">
        <v>0.32854</v>
      </c>
      <c r="D28" s="80">
        <f>F14</f>
        <v>0.32854</v>
      </c>
      <c r="E28" s="80">
        <f>H14</f>
        <v>0.32854</v>
      </c>
      <c r="F28"/>
      <c r="Q28" s="41"/>
    </row>
    <row r="29" spans="2:30">
      <c r="B29" s="20"/>
      <c r="C29" s="83"/>
      <c r="D29" s="80"/>
      <c r="E29" s="108"/>
      <c r="F29" s="108"/>
      <c r="N29" s="41"/>
    </row>
    <row r="30" spans="2:30">
      <c r="B30" s="20"/>
      <c r="C30" s="468" t="s">
        <v>389</v>
      </c>
      <c r="D30" s="468"/>
      <c r="E30" s="468"/>
      <c r="F30" s="468"/>
      <c r="G30" s="468"/>
      <c r="H30" s="468"/>
      <c r="I30" s="468"/>
      <c r="J30" s="468"/>
      <c r="L30" s="20"/>
    </row>
    <row r="31" spans="2:30">
      <c r="B31" s="20"/>
      <c r="C31" s="469">
        <f>C21</f>
        <v>45658</v>
      </c>
      <c r="D31" s="470"/>
      <c r="E31" s="469">
        <f>D21</f>
        <v>45901</v>
      </c>
      <c r="F31" s="470"/>
      <c r="G31" s="471" t="s">
        <v>21</v>
      </c>
      <c r="H31" s="471"/>
      <c r="I31"/>
      <c r="J31"/>
      <c r="L31" s="20"/>
      <c r="M31" s="148"/>
      <c r="N31" s="149"/>
      <c r="O31" s="148"/>
      <c r="P31" s="149"/>
      <c r="Q31" s="150"/>
      <c r="R31" s="150"/>
      <c r="S31" s="128"/>
      <c r="T31" s="150"/>
    </row>
    <row r="32" spans="2:30">
      <c r="B32" s="20"/>
      <c r="C32" s="83" t="s">
        <v>147</v>
      </c>
      <c r="D32" s="83" t="s">
        <v>148</v>
      </c>
      <c r="E32" s="83" t="s">
        <v>147</v>
      </c>
      <c r="F32" s="83" t="s">
        <v>148</v>
      </c>
      <c r="G32" s="83" t="s">
        <v>147</v>
      </c>
      <c r="H32" s="83" t="s">
        <v>148</v>
      </c>
      <c r="I32"/>
      <c r="J32"/>
      <c r="L32" s="20"/>
      <c r="M32" s="83"/>
      <c r="N32" s="83"/>
      <c r="O32" s="83"/>
      <c r="P32" s="83"/>
      <c r="Q32" s="83"/>
      <c r="R32" s="83"/>
      <c r="S32" s="83"/>
      <c r="T32" s="83"/>
    </row>
    <row r="33" spans="2:28">
      <c r="B33" s="39" t="s">
        <v>377</v>
      </c>
      <c r="C33" s="83">
        <f>SUM(SUM($C$22*$Q22,$C$23*$R22,$C$24*$S22),($C$28*365.25/12))</f>
        <v>497.10771644804004</v>
      </c>
      <c r="D33" s="83">
        <f>SUM(SUM($C$25*$T22,$C$26*$U22,$C$27*$V22),($C$28*365.25/12))</f>
        <v>399.24483989184711</v>
      </c>
      <c r="E33" s="83">
        <f>SUM(SUM($D$22*$Q22,$D$23*$R22,$D$24*$S22),($D$28*365.25/12))</f>
        <v>493.68607154181814</v>
      </c>
      <c r="F33" s="83">
        <f>SUM(SUM($D$25*$T22,$D$26*$U22,$D$27*$V22),($D$28*365.25/12))</f>
        <v>396.24909477059481</v>
      </c>
      <c r="G33" s="83">
        <f>SUM(SUM($E$22*$Q22,$E$23*$R22,$E$24*$S22),($E$28*365.25/12))</f>
        <v>493.68607154181814</v>
      </c>
      <c r="H33" s="83">
        <f>SUM(SUM($E$25*$T22,$E$26*$U22,$E$27*$V22),($E$28*365.25/12))</f>
        <v>396.24909477059481</v>
      </c>
      <c r="I33"/>
      <c r="J33"/>
      <c r="M33" s="83"/>
      <c r="N33" s="83"/>
      <c r="O33" s="83"/>
      <c r="P33" s="83"/>
      <c r="Q33" s="83"/>
      <c r="R33" s="83"/>
      <c r="S33" s="83"/>
      <c r="T33" s="83"/>
      <c r="W33" s="39" t="s">
        <v>285</v>
      </c>
      <c r="X33" s="39" t="s">
        <v>389</v>
      </c>
      <c r="Y33" s="39">
        <f>'Bill Impact (B-1)'!Y33</f>
        <v>2025</v>
      </c>
      <c r="Z33" s="39">
        <f>'Bill Impact (B-1)'!Z33</f>
        <v>2026</v>
      </c>
      <c r="AA33" s="39">
        <f>'Bill Impact (B-1)'!AA33</f>
        <v>2027</v>
      </c>
      <c r="AB33" s="39">
        <f>'Bill Impact (B-1)'!AB33</f>
        <v>2028</v>
      </c>
    </row>
    <row r="34" spans="2:28" ht="15.5">
      <c r="B34" s="39" t="s">
        <v>376</v>
      </c>
      <c r="C34" s="83">
        <f>SUM(SUM($C$22*$Q23,$C$23*$R23,$C$24*$S23),($C$28*365.25/12))</f>
        <v>663.69055424707153</v>
      </c>
      <c r="D34" s="83">
        <f>SUM(SUM($C$25*$T23,$C$26*$U23,$C$27*$V23),($C$28*365.25/12))</f>
        <v>463.85301065055842</v>
      </c>
      <c r="E34" s="83">
        <f>SUM(SUM($D$22*$Q23,$D$23*$R23,$D$24*$S23),($D$28*365.25/12))</f>
        <v>659.09536751398241</v>
      </c>
      <c r="F34" s="83">
        <f>SUM(SUM($D$25*$T23,$D$26*$U23,$D$27*$V23),($D$28*365.25/12))</f>
        <v>460.35188870032817</v>
      </c>
      <c r="G34" s="83">
        <f>SUM(SUM($E$22*$Q23,$E$23*$R23,$E$24*$S23),($E$28*365.25/12))</f>
        <v>659.09536751398241</v>
      </c>
      <c r="H34" s="83">
        <f>SUM(SUM($E$25*$T23,$E$26*$U23,$E$27*$V23),($E$28*365.25/12))</f>
        <v>460.35188870032817</v>
      </c>
      <c r="I34"/>
      <c r="J34"/>
      <c r="M34" s="83"/>
      <c r="N34" s="83"/>
      <c r="O34" s="83"/>
      <c r="P34" s="83"/>
      <c r="Q34" s="83"/>
      <c r="R34" s="83"/>
      <c r="S34" s="83"/>
      <c r="T34" s="83"/>
      <c r="V34" s="41" t="s">
        <v>147</v>
      </c>
      <c r="W34" s="41" t="s">
        <v>380</v>
      </c>
      <c r="X34" s="41" t="s">
        <v>380</v>
      </c>
      <c r="Y34" s="101">
        <v>164227.76070798401</v>
      </c>
      <c r="Z34" s="101">
        <f>'Bill Impact (B-1)'!Z34</f>
        <v>146605.677329142</v>
      </c>
      <c r="AA34" s="101">
        <f>$Z34</f>
        <v>146605.677329142</v>
      </c>
      <c r="AB34" s="101">
        <f>$Z34</f>
        <v>146605.677329142</v>
      </c>
    </row>
    <row r="35" spans="2:28" ht="15.5">
      <c r="B35" s="39" t="s">
        <v>374</v>
      </c>
      <c r="C35" s="83">
        <f>SUM(SUM($C$22*$Q24,$C$23*$R24,$C$24*$S24),($C$28*365.25/12))</f>
        <v>1657.2990571751591</v>
      </c>
      <c r="D35" s="83">
        <f>SUM(SUM($C$25*$T24,$C$26*$U24,$C$27*$V24),($C$28*365.25/12))</f>
        <v>1170.4573278045939</v>
      </c>
      <c r="E35" s="83">
        <f>SUM(SUM($D$22*$Q24,$D$23*$R24,$D$24*$S24),($D$28*365.25/12))</f>
        <v>1645.8144417645992</v>
      </c>
      <c r="F35" s="83">
        <f>SUM(SUM($D$25*$T24,$D$26*$U24,$D$27*$V24),($D$28*365.25/12))</f>
        <v>1161.5355466296126</v>
      </c>
      <c r="G35" s="83">
        <f>SUM(SUM($E$22*$Q24,$E$23*$R24,$E$24*$S24),($E$28*365.25/12))</f>
        <v>1645.8144417645992</v>
      </c>
      <c r="H35" s="83">
        <f>SUM(SUM($E$25*$T24,$E$26*$U24,$E$27*$V24),($E$28*365.25/12))</f>
        <v>1161.5355466296126</v>
      </c>
      <c r="I35"/>
      <c r="J35"/>
      <c r="M35" s="83"/>
      <c r="N35" s="83"/>
      <c r="O35" s="83"/>
      <c r="P35" s="83"/>
      <c r="Q35" s="83"/>
      <c r="R35" s="83"/>
      <c r="S35" s="83"/>
      <c r="T35" s="83"/>
      <c r="V35" s="41" t="s">
        <v>147</v>
      </c>
      <c r="W35" s="41" t="s">
        <v>392</v>
      </c>
      <c r="X35" s="41" t="s">
        <v>392</v>
      </c>
      <c r="Y35" s="101">
        <v>114890.37430075801</v>
      </c>
      <c r="Z35" s="101">
        <f>'Bill Impact (B-1)'!Z35</f>
        <v>100931.25260386498</v>
      </c>
      <c r="AA35" s="101">
        <f t="shared" ref="AA35:AB39" si="5">$Z35</f>
        <v>100931.25260386498</v>
      </c>
      <c r="AB35" s="101">
        <f t="shared" si="5"/>
        <v>100931.25260386498</v>
      </c>
    </row>
    <row r="36" spans="2:28" ht="15.5">
      <c r="C36" s="83"/>
      <c r="D36" s="83"/>
      <c r="E36" s="83"/>
      <c r="F36" s="83"/>
      <c r="G36" s="83"/>
      <c r="H36" s="83"/>
      <c r="I36" s="83"/>
      <c r="J36" s="83"/>
      <c r="M36" s="83"/>
      <c r="N36" s="83"/>
      <c r="O36" s="83"/>
      <c r="P36" s="83"/>
      <c r="Q36" s="83"/>
      <c r="R36" s="83"/>
      <c r="S36" s="83"/>
      <c r="T36" s="83"/>
      <c r="V36" s="41" t="s">
        <v>147</v>
      </c>
      <c r="W36" s="41" t="s">
        <v>393</v>
      </c>
      <c r="X36" s="41" t="s">
        <v>393</v>
      </c>
      <c r="Y36" s="101">
        <v>378411.76724420895</v>
      </c>
      <c r="Z36" s="101">
        <f>'Bill Impact (B-1)'!Z36</f>
        <v>327463.57863626804</v>
      </c>
      <c r="AA36" s="101">
        <f t="shared" si="5"/>
        <v>327463.57863626804</v>
      </c>
      <c r="AB36" s="101">
        <f t="shared" si="5"/>
        <v>327463.57863626804</v>
      </c>
    </row>
    <row r="37" spans="2:28" ht="15.5">
      <c r="C37" s="83"/>
      <c r="D37" s="83"/>
      <c r="E37" s="83"/>
      <c r="F37" s="83"/>
      <c r="G37" s="159"/>
      <c r="H37" s="159"/>
      <c r="I37" s="83"/>
      <c r="J37" s="83"/>
      <c r="M37" s="83"/>
      <c r="N37" s="83"/>
      <c r="O37" s="83"/>
      <c r="P37" s="83"/>
      <c r="Q37" s="83"/>
      <c r="R37" s="83"/>
      <c r="S37" s="83"/>
      <c r="T37" s="83"/>
      <c r="V37" s="41" t="s">
        <v>148</v>
      </c>
      <c r="W37" s="41" t="s">
        <v>380</v>
      </c>
      <c r="X37" s="41" t="s">
        <v>392</v>
      </c>
      <c r="Y37" s="101">
        <v>259532.52884888198</v>
      </c>
      <c r="Z37" s="101">
        <f>'Bill Impact (B-1)'!Z37</f>
        <v>218631.32489041702</v>
      </c>
      <c r="AA37" s="101">
        <f t="shared" si="5"/>
        <v>218631.32489041702</v>
      </c>
      <c r="AB37" s="101">
        <f t="shared" si="5"/>
        <v>218631.32489041702</v>
      </c>
    </row>
    <row r="38" spans="2:28" ht="15" customHeight="1">
      <c r="C38" s="83"/>
      <c r="D38" s="83"/>
      <c r="E38" s="83"/>
      <c r="F38" s="83"/>
      <c r="G38" s="159"/>
      <c r="H38" s="159"/>
      <c r="I38" s="83"/>
      <c r="J38" s="83"/>
      <c r="M38" s="83"/>
      <c r="N38" s="83"/>
      <c r="O38" s="83"/>
      <c r="P38" s="83"/>
      <c r="Q38" s="83"/>
      <c r="R38" s="83"/>
      <c r="S38" s="83"/>
      <c r="T38" s="83"/>
      <c r="V38" s="41" t="s">
        <v>148</v>
      </c>
      <c r="W38" s="41" t="s">
        <v>393</v>
      </c>
      <c r="X38" s="41" t="s">
        <v>393</v>
      </c>
      <c r="Y38" s="101">
        <v>773980.50218370289</v>
      </c>
      <c r="Z38" s="101">
        <f>'Bill Impact (B-1)'!Z38</f>
        <v>627500.59973076393</v>
      </c>
      <c r="AA38" s="101">
        <f t="shared" si="5"/>
        <v>627500.59973076393</v>
      </c>
      <c r="AB38" s="101">
        <f t="shared" si="5"/>
        <v>627500.59973076393</v>
      </c>
    </row>
    <row r="39" spans="2:28" ht="15" customHeight="1">
      <c r="C39" s="83"/>
      <c r="D39" s="83"/>
      <c r="E39" s="83"/>
      <c r="F39" s="83"/>
      <c r="G39" s="159"/>
      <c r="H39" s="159"/>
      <c r="I39" s="83"/>
      <c r="J39" s="83"/>
      <c r="M39" s="83"/>
      <c r="N39" s="83"/>
      <c r="O39" s="83"/>
      <c r="P39" s="83"/>
      <c r="Q39" s="83"/>
      <c r="R39" s="83"/>
      <c r="S39" s="83"/>
      <c r="T39" s="83"/>
      <c r="V39" s="41" t="s">
        <v>148</v>
      </c>
      <c r="W39" s="41" t="s">
        <v>394</v>
      </c>
      <c r="X39" s="41" t="s">
        <v>395</v>
      </c>
      <c r="Y39" s="101">
        <v>91561.710181789007</v>
      </c>
      <c r="Z39" s="101">
        <f>'Bill Impact (B-1)'!Z39</f>
        <v>71782.163739511001</v>
      </c>
      <c r="AA39" s="101">
        <f t="shared" si="5"/>
        <v>71782.163739511001</v>
      </c>
      <c r="AB39" s="101">
        <f t="shared" si="5"/>
        <v>71782.163739511001</v>
      </c>
    </row>
    <row r="40" spans="2:28" ht="15" customHeight="1">
      <c r="C40" s="83"/>
      <c r="D40" s="83"/>
      <c r="E40" s="83"/>
      <c r="F40" s="83"/>
      <c r="G40" s="83"/>
      <c r="H40" s="83"/>
      <c r="I40" s="83"/>
      <c r="J40" s="83"/>
      <c r="M40" s="83"/>
      <c r="N40" s="83"/>
      <c r="O40" s="83"/>
      <c r="P40" s="83"/>
      <c r="Q40" s="83"/>
      <c r="R40" s="83"/>
      <c r="S40" s="83"/>
      <c r="T40" s="83"/>
      <c r="Y40" s="39">
        <v>0</v>
      </c>
      <c r="Z40" s="101">
        <f>'Bill Impact (B-1)'!Z40</f>
        <v>0</v>
      </c>
    </row>
    <row r="41" spans="2:28" ht="15.5">
      <c r="V41" s="39" t="s">
        <v>460</v>
      </c>
      <c r="W41" s="39" t="s">
        <v>396</v>
      </c>
      <c r="Y41" s="101">
        <v>904.07420694299992</v>
      </c>
      <c r="Z41" s="101">
        <f>'Bill Impact (B-1)'!Z41</f>
        <v>823.34589711300009</v>
      </c>
      <c r="AA41" s="101">
        <f>$Z41</f>
        <v>823.34589711300009</v>
      </c>
      <c r="AB41" s="101">
        <f>$Z41</f>
        <v>823.34589711300009</v>
      </c>
    </row>
  </sheetData>
  <mergeCells count="11">
    <mergeCell ref="C30:J30"/>
    <mergeCell ref="C31:D31"/>
    <mergeCell ref="E31:F31"/>
    <mergeCell ref="G31:H31"/>
    <mergeCell ref="B2:D2"/>
    <mergeCell ref="E3:K3"/>
    <mergeCell ref="Q20:S20"/>
    <mergeCell ref="T20:V20"/>
    <mergeCell ref="AC20:AD20"/>
    <mergeCell ref="Y21:Z21"/>
    <mergeCell ref="AA21:AB21"/>
  </mergeCells>
  <pageMargins left="0.7" right="0.7" top="0.75" bottom="0.75" header="0.3" footer="0.3"/>
  <pageSetup orientation="portrait" r:id="rId1"/>
  <headerFooter>
    <oddFooter>&amp;C&amp;1#&amp;"Calibri"&amp;10&amp;K000000Internal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ACBB4-8781-43BB-9FA5-206F860E16C8}">
  <sheetPr codeName="Sheet10"/>
  <dimension ref="A1:AU75"/>
  <sheetViews>
    <sheetView tabSelected="1" zoomScale="90" zoomScaleNormal="90" workbookViewId="0">
      <selection activeCell="A35" sqref="A35:XFD1048576"/>
    </sheetView>
  </sheetViews>
  <sheetFormatPr defaultColWidth="8.7265625" defaultRowHeight="14.5"/>
  <cols>
    <col min="1" max="1" width="3.81640625" customWidth="1"/>
    <col min="2" max="2" width="5.26953125" customWidth="1"/>
    <col min="3" max="3" width="17.26953125" customWidth="1"/>
    <col min="4" max="4" width="8.7265625" customWidth="1"/>
    <col min="17" max="17" width="13.26953125" bestFit="1" customWidth="1"/>
    <col min="18" max="18" width="10.54296875" bestFit="1" customWidth="1"/>
    <col min="19" max="19" width="10" bestFit="1" customWidth="1"/>
    <col min="20" max="20" width="9.54296875" bestFit="1" customWidth="1"/>
    <col min="21" max="21" width="9.81640625" bestFit="1" customWidth="1"/>
    <col min="22" max="23" width="9.81640625" customWidth="1"/>
    <col min="24" max="24" width="9.453125" customWidth="1"/>
    <col min="25" max="25" width="11.26953125" bestFit="1" customWidth="1"/>
    <col min="26" max="26" width="9.54296875" bestFit="1" customWidth="1"/>
    <col min="27" max="27" width="11.26953125" customWidth="1"/>
    <col min="43" max="43" width="14.54296875" bestFit="1" customWidth="1"/>
  </cols>
  <sheetData>
    <row r="1" spans="1:43">
      <c r="A1" t="s">
        <v>343</v>
      </c>
      <c r="Q1" s="248"/>
    </row>
    <row r="2" spans="1:43">
      <c r="Q2" s="248" t="s">
        <v>42</v>
      </c>
    </row>
    <row r="3" spans="1:43">
      <c r="Q3" s="248" t="s">
        <v>344</v>
      </c>
    </row>
    <row r="4" spans="1:43">
      <c r="Q4" s="249" t="s">
        <v>345</v>
      </c>
      <c r="AQ4" s="250"/>
    </row>
    <row r="5" spans="1:43">
      <c r="A5">
        <v>1</v>
      </c>
      <c r="B5" s="142" t="s">
        <v>346</v>
      </c>
      <c r="Q5" s="188">
        <f>'Incremental Rev Req'!C5</f>
        <v>19079592.832516689</v>
      </c>
      <c r="AQ5" s="251"/>
    </row>
    <row r="6" spans="1:43">
      <c r="B6" s="252" t="s">
        <v>347</v>
      </c>
      <c r="C6" t="s">
        <v>348</v>
      </c>
      <c r="Q6" s="105">
        <f>Q5*0.01</f>
        <v>190795.9283251669</v>
      </c>
      <c r="AQ6" s="251"/>
    </row>
    <row r="7" spans="1:43">
      <c r="B7" s="252"/>
      <c r="Q7" s="105"/>
    </row>
    <row r="8" spans="1:43">
      <c r="A8">
        <v>2</v>
      </c>
      <c r="B8" s="142" t="s">
        <v>349</v>
      </c>
      <c r="Q8" s="105"/>
    </row>
    <row r="9" spans="1:43">
      <c r="B9" s="252" t="s">
        <v>347</v>
      </c>
      <c r="C9" s="253" t="str">
        <f>'Incremental Rev Req'!C107</f>
        <v>A.22-12-009</v>
      </c>
      <c r="D9" t="str">
        <f>'Incremental Rev Req'!B107</f>
        <v>2022 WMCE</v>
      </c>
      <c r="Q9" s="93">
        <f>'Incremental Rev Req'!G107+'Incremental Rev Req'!G108</f>
        <v>211594.4366088032</v>
      </c>
      <c r="AQ9" s="250"/>
    </row>
    <row r="10" spans="1:43">
      <c r="B10" s="252" t="s">
        <v>350</v>
      </c>
      <c r="C10" s="253" t="str">
        <f>'Incremental Rev Req'!C109</f>
        <v>A.23-12-001</v>
      </c>
      <c r="D10" s="253" t="str">
        <f>'Incremental Rev Req'!B109</f>
        <v>2023 WMCE</v>
      </c>
      <c r="Q10" s="93">
        <f>SUM('Incremental Rev Req'!H109:H111)</f>
        <v>873469.10428748373</v>
      </c>
      <c r="AQ10" s="250"/>
    </row>
    <row r="11" spans="1:43">
      <c r="B11" s="252" t="s">
        <v>351</v>
      </c>
      <c r="C11" s="253" t="s">
        <v>477</v>
      </c>
      <c r="D11" s="253" t="str">
        <f>'Incremental Rev Req'!B114</f>
        <v>Wildfire Gas and Safety Costs</v>
      </c>
      <c r="Q11" s="93">
        <f>'Incremental Rev Req'!G114+'Incremental Rev Req'!G115</f>
        <v>205307.40071701724</v>
      </c>
      <c r="AQ11" s="250"/>
    </row>
    <row r="12" spans="1:43">
      <c r="B12" s="252" t="s">
        <v>612</v>
      </c>
      <c r="C12" t="s">
        <v>501</v>
      </c>
      <c r="D12" t="s">
        <v>500</v>
      </c>
      <c r="Q12" s="93">
        <f>SUM('Incremental Rev Req'!H116:H117)</f>
        <v>262697.76917727542</v>
      </c>
      <c r="AQ12" s="250"/>
    </row>
    <row r="13" spans="1:43">
      <c r="B13" s="252" t="s">
        <v>499</v>
      </c>
      <c r="C13" t="s">
        <v>512</v>
      </c>
      <c r="D13" t="s">
        <v>511</v>
      </c>
      <c r="Q13" s="93">
        <f>SUM('Incremental Rev Req'!H120:H122)</f>
        <v>170072.39544802136</v>
      </c>
      <c r="AQ13" s="250"/>
    </row>
    <row r="14" spans="1:43">
      <c r="B14" s="252" t="s">
        <v>517</v>
      </c>
      <c r="C14" t="s">
        <v>592</v>
      </c>
      <c r="D14" s="254" t="s">
        <v>589</v>
      </c>
      <c r="Q14" s="255">
        <f>'Incremental Rev Req'!H123+'Incremental Rev Req'!H124</f>
        <v>351252.5866053538</v>
      </c>
      <c r="AQ14" s="250"/>
    </row>
    <row r="15" spans="1:43">
      <c r="B15" s="252" t="s">
        <v>518</v>
      </c>
      <c r="C15" t="s">
        <v>606</v>
      </c>
      <c r="D15" t="s">
        <v>597</v>
      </c>
      <c r="Q15" s="255">
        <f>SUM('Incremental Rev Req'!H125:H133)</f>
        <v>2118724.3605407039</v>
      </c>
      <c r="AQ15" s="250"/>
    </row>
    <row r="16" spans="1:43">
      <c r="B16" s="252" t="s">
        <v>519</v>
      </c>
      <c r="C16" t="s">
        <v>604</v>
      </c>
      <c r="D16" t="s">
        <v>598</v>
      </c>
      <c r="Q16" s="255">
        <f>SUM('Incremental Rev Req'!I134:I136)</f>
        <v>10944835.195781427</v>
      </c>
      <c r="AQ16" s="250"/>
    </row>
    <row r="17" spans="1:43">
      <c r="B17" s="252" t="s">
        <v>610</v>
      </c>
      <c r="C17" t="s">
        <v>483</v>
      </c>
      <c r="D17" t="s">
        <v>601</v>
      </c>
      <c r="Q17" s="255">
        <f>'Incremental Rev Req'!I137</f>
        <v>463000</v>
      </c>
      <c r="AQ17" s="250"/>
    </row>
    <row r="18" spans="1:43">
      <c r="B18" s="252" t="s">
        <v>611</v>
      </c>
      <c r="C18" t="s">
        <v>591</v>
      </c>
      <c r="D18" s="256" t="s">
        <v>600</v>
      </c>
      <c r="Q18" s="255">
        <f>'Incremental Rev Req'!H140</f>
        <v>257326.98916120577</v>
      </c>
      <c r="AQ18" s="250"/>
    </row>
    <row r="19" spans="1:43">
      <c r="B19" s="252"/>
      <c r="D19" s="256"/>
      <c r="Q19" s="255"/>
      <c r="AQ19" s="250"/>
    </row>
    <row r="20" spans="1:43">
      <c r="B20" s="252"/>
      <c r="Q20" s="255"/>
      <c r="AQ20" s="250"/>
    </row>
    <row r="21" spans="1:43">
      <c r="A21">
        <v>3</v>
      </c>
      <c r="B21" s="257" t="s">
        <v>353</v>
      </c>
      <c r="Q21" s="105"/>
      <c r="AQ21" s="250"/>
    </row>
    <row r="22" spans="1:43">
      <c r="B22" s="258" t="s">
        <v>347</v>
      </c>
      <c r="C22" t="str">
        <f t="shared" ref="C22:D24" si="0">C9</f>
        <v>A.22-12-009</v>
      </c>
      <c r="D22" t="str">
        <f t="shared" si="0"/>
        <v>2022 WMCE</v>
      </c>
      <c r="Q22" s="93">
        <f>Q9</f>
        <v>211594.4366088032</v>
      </c>
    </row>
    <row r="23" spans="1:43">
      <c r="B23" s="258" t="s">
        <v>350</v>
      </c>
      <c r="C23" s="253" t="str">
        <f t="shared" si="0"/>
        <v>A.23-12-001</v>
      </c>
      <c r="D23" s="253" t="str">
        <f t="shared" si="0"/>
        <v>2023 WMCE</v>
      </c>
      <c r="F23" s="253"/>
      <c r="Q23" s="93">
        <f>Q10</f>
        <v>873469.10428748373</v>
      </c>
    </row>
    <row r="24" spans="1:43">
      <c r="B24" s="258" t="s">
        <v>351</v>
      </c>
      <c r="C24" s="253" t="str">
        <f t="shared" si="0"/>
        <v>A.23-06-008</v>
      </c>
      <c r="D24" t="str">
        <f t="shared" si="0"/>
        <v>Wildfire Gas and Safety Costs</v>
      </c>
      <c r="Q24" s="93">
        <f>Q11</f>
        <v>205307.40071701724</v>
      </c>
      <c r="AQ24" s="250"/>
    </row>
    <row r="25" spans="1:43">
      <c r="B25" s="258" t="s">
        <v>612</v>
      </c>
      <c r="C25" t="str">
        <f t="shared" ref="C25:D25" si="1">C12</f>
        <v>A.24-09-015</v>
      </c>
      <c r="D25" t="str">
        <f t="shared" si="1"/>
        <v>TRRRMA</v>
      </c>
      <c r="Q25" s="93">
        <f t="shared" ref="Q25:Q29" si="2">Q12</f>
        <v>262697.76917727542</v>
      </c>
      <c r="AQ25" s="250"/>
    </row>
    <row r="26" spans="1:43">
      <c r="B26" s="258" t="s">
        <v>499</v>
      </c>
      <c r="C26" t="s">
        <v>512</v>
      </c>
      <c r="D26" t="s">
        <v>511</v>
      </c>
      <c r="Q26" s="93">
        <f t="shared" si="2"/>
        <v>170072.39544802136</v>
      </c>
      <c r="AQ26" s="250"/>
    </row>
    <row r="27" spans="1:43">
      <c r="B27" s="258" t="s">
        <v>517</v>
      </c>
      <c r="C27" t="s">
        <v>592</v>
      </c>
      <c r="D27" s="254" t="s">
        <v>589</v>
      </c>
      <c r="Q27" s="93">
        <f t="shared" si="2"/>
        <v>351252.5866053538</v>
      </c>
      <c r="AQ27" s="250"/>
    </row>
    <row r="28" spans="1:43">
      <c r="B28" s="252" t="s">
        <v>518</v>
      </c>
      <c r="C28" t="s">
        <v>606</v>
      </c>
      <c r="D28" t="s">
        <v>597</v>
      </c>
      <c r="Q28" s="93">
        <f t="shared" si="2"/>
        <v>2118724.3605407039</v>
      </c>
      <c r="AQ28" s="250"/>
    </row>
    <row r="29" spans="1:43">
      <c r="B29" s="252" t="s">
        <v>519</v>
      </c>
      <c r="C29" t="s">
        <v>604</v>
      </c>
      <c r="D29" t="s">
        <v>598</v>
      </c>
      <c r="Q29" s="93">
        <f t="shared" si="2"/>
        <v>10944835.195781427</v>
      </c>
      <c r="AQ29" s="250"/>
    </row>
    <row r="30" spans="1:43">
      <c r="Q30" s="105"/>
      <c r="AQ30" s="250"/>
    </row>
    <row r="31" spans="1:43">
      <c r="Q31" s="105"/>
      <c r="AQ31" s="250"/>
    </row>
    <row r="32" spans="1:43">
      <c r="A32">
        <v>4</v>
      </c>
      <c r="B32" t="s">
        <v>354</v>
      </c>
      <c r="Q32" s="105"/>
      <c r="AQ32" s="250"/>
    </row>
    <row r="33" spans="1:43">
      <c r="B33" s="258" t="s">
        <v>347</v>
      </c>
      <c r="C33" s="253" t="s">
        <v>468</v>
      </c>
      <c r="D33" s="253" t="s">
        <v>467</v>
      </c>
      <c r="Q33" s="255">
        <f>SUM('Incremental Rev Req'!G112:G113)</f>
        <v>21157.677863279772</v>
      </c>
      <c r="AQ33" s="250"/>
    </row>
    <row r="34" spans="1:43">
      <c r="B34" s="252" t="s">
        <v>350</v>
      </c>
      <c r="C34" s="253" t="s">
        <v>507</v>
      </c>
      <c r="D34" t="s">
        <v>510</v>
      </c>
      <c r="Q34" s="255">
        <f>SUM('Incremental Rev Req'!H118:H119)</f>
        <v>45193.242026227585</v>
      </c>
    </row>
    <row r="35" spans="1:43">
      <c r="B35" s="252" t="s">
        <v>351</v>
      </c>
      <c r="C35" t="s">
        <v>616</v>
      </c>
      <c r="D35" s="254" t="s">
        <v>684</v>
      </c>
      <c r="Q35" s="255">
        <f>'Incremental Rev Req'!I141</f>
        <v>18245.09659158059</v>
      </c>
      <c r="AQ35" s="250"/>
    </row>
    <row r="36" spans="1:43">
      <c r="B36" s="252"/>
      <c r="C36" s="253"/>
      <c r="Q36" s="259"/>
      <c r="AQ36" s="250"/>
    </row>
    <row r="37" spans="1:43" ht="15" customHeight="1">
      <c r="A37">
        <v>5</v>
      </c>
      <c r="B37" s="423" t="s">
        <v>355</v>
      </c>
      <c r="C37" s="423"/>
      <c r="D37" s="423"/>
      <c r="E37" s="423"/>
      <c r="F37" s="423"/>
      <c r="G37" s="423"/>
      <c r="H37" s="423"/>
      <c r="I37" s="423"/>
      <c r="J37" s="423"/>
      <c r="K37" s="423"/>
      <c r="L37" s="423"/>
      <c r="M37" s="423"/>
      <c r="N37" s="423"/>
      <c r="O37" s="423"/>
      <c r="P37" s="423"/>
      <c r="Q37" s="105"/>
      <c r="AQ37" s="250"/>
    </row>
    <row r="38" spans="1:43" ht="15" customHeight="1">
      <c r="B38" s="258" t="s">
        <v>347</v>
      </c>
      <c r="C38" s="258" t="s">
        <v>613</v>
      </c>
      <c r="D38" s="155"/>
      <c r="E38" s="155"/>
      <c r="F38" s="155"/>
      <c r="G38" s="155"/>
      <c r="H38" s="155"/>
      <c r="I38" s="155"/>
      <c r="J38" s="155"/>
      <c r="K38" s="155"/>
      <c r="L38" s="155"/>
      <c r="M38" s="155"/>
      <c r="N38" s="155"/>
      <c r="O38" s="155"/>
      <c r="P38" s="155"/>
      <c r="Q38" s="105">
        <v>19670607.087141689</v>
      </c>
      <c r="AQ38" s="250"/>
    </row>
    <row r="39" spans="1:43">
      <c r="B39" s="258" t="s">
        <v>350</v>
      </c>
      <c r="C39" s="258" t="s">
        <v>356</v>
      </c>
      <c r="Q39" s="105">
        <f>'Incremental Rev Req'!S120</f>
        <v>19515776.538597636</v>
      </c>
      <c r="AQ39" s="250"/>
    </row>
    <row r="40" spans="1:43">
      <c r="B40" s="258" t="s">
        <v>351</v>
      </c>
      <c r="C40" s="258" t="s">
        <v>360</v>
      </c>
      <c r="Q40" s="105">
        <f>'Incremental Rev Req'!T120</f>
        <v>18607013.983514149</v>
      </c>
    </row>
    <row r="41" spans="1:43">
      <c r="B41" s="258" t="s">
        <v>352</v>
      </c>
      <c r="C41" s="258" t="s">
        <v>462</v>
      </c>
      <c r="Q41" s="105">
        <f>'Incremental Rev Req'!U120</f>
        <v>19027626.5382233</v>
      </c>
    </row>
    <row r="42" spans="1:43">
      <c r="B42" s="258" t="s">
        <v>612</v>
      </c>
      <c r="C42" s="258" t="s">
        <v>583</v>
      </c>
      <c r="Q42" s="105">
        <f>'Incremental Rev Req'!V120</f>
        <v>19598821.101462323</v>
      </c>
    </row>
    <row r="43" spans="1:43">
      <c r="R43" s="260"/>
      <c r="S43" s="260"/>
      <c r="T43" s="260"/>
      <c r="AB43" s="155"/>
    </row>
    <row r="44" spans="1:43">
      <c r="A44">
        <v>6</v>
      </c>
      <c r="B44" s="424" t="s">
        <v>357</v>
      </c>
      <c r="C44" s="424"/>
      <c r="D44" s="424"/>
      <c r="E44" s="424"/>
      <c r="F44" s="424"/>
      <c r="G44" s="424"/>
      <c r="H44" s="424"/>
      <c r="I44" s="424"/>
      <c r="J44" s="424"/>
      <c r="K44" s="424"/>
      <c r="L44" s="424"/>
      <c r="M44" s="424"/>
      <c r="N44" s="424"/>
      <c r="O44" s="424"/>
      <c r="R44" s="261" t="s">
        <v>358</v>
      </c>
      <c r="S44" s="248"/>
      <c r="AQ44" s="251"/>
    </row>
    <row r="45" spans="1:43">
      <c r="B45" s="258" t="s">
        <v>347</v>
      </c>
      <c r="C45" s="258" t="s">
        <v>613</v>
      </c>
      <c r="D45" s="62"/>
      <c r="E45" s="62"/>
      <c r="F45" s="62"/>
      <c r="G45" s="62"/>
      <c r="H45" s="62"/>
      <c r="I45" s="62"/>
      <c r="J45" s="62"/>
      <c r="K45" s="62"/>
      <c r="L45" s="62"/>
      <c r="M45" s="62"/>
      <c r="N45" s="62"/>
      <c r="O45" s="62"/>
      <c r="R45" s="262">
        <v>35.656709684711373</v>
      </c>
      <c r="S45" s="248"/>
      <c r="AQ45" s="251"/>
    </row>
    <row r="46" spans="1:43">
      <c r="B46" s="258" t="s">
        <v>350</v>
      </c>
      <c r="C46" s="258" t="str">
        <f>C39</f>
        <v>YE 2025</v>
      </c>
      <c r="R46" s="262">
        <v>35.922626526402077</v>
      </c>
      <c r="S46" s="262"/>
      <c r="AQ46" s="251"/>
    </row>
    <row r="47" spans="1:43">
      <c r="B47" s="258" t="s">
        <v>351</v>
      </c>
      <c r="C47" s="258" t="str">
        <f>C40</f>
        <v>YE 2026</v>
      </c>
      <c r="R47" s="262">
        <v>32.535545333414888</v>
      </c>
      <c r="S47" s="262"/>
      <c r="AQ47" s="251"/>
    </row>
    <row r="48" spans="1:43">
      <c r="B48" s="258" t="s">
        <v>352</v>
      </c>
      <c r="C48" s="258" t="str">
        <f>C41</f>
        <v>YE 2027</v>
      </c>
      <c r="R48" s="262">
        <v>33.05659323168485</v>
      </c>
      <c r="S48" s="262"/>
      <c r="AQ48" s="251"/>
    </row>
    <row r="49" spans="1:46">
      <c r="B49" s="258" t="s">
        <v>612</v>
      </c>
      <c r="C49" s="258" t="str">
        <f>C42</f>
        <v>YE 2028</v>
      </c>
      <c r="R49" s="262">
        <v>33.854910264416489</v>
      </c>
      <c r="S49" s="262"/>
    </row>
    <row r="51" spans="1:46">
      <c r="A51">
        <v>7</v>
      </c>
      <c r="B51" s="62" t="s">
        <v>359</v>
      </c>
      <c r="S51" s="261" t="s">
        <v>49</v>
      </c>
      <c r="T51" s="261" t="s">
        <v>50</v>
      </c>
    </row>
    <row r="52" spans="1:46">
      <c r="B52" s="258" t="s">
        <v>347</v>
      </c>
      <c r="C52" s="258" t="s">
        <v>613</v>
      </c>
      <c r="S52" s="263">
        <v>210.01267121239243</v>
      </c>
      <c r="T52" s="263">
        <v>125.91287870301009</v>
      </c>
      <c r="V52" s="264"/>
      <c r="W52" s="264"/>
    </row>
    <row r="53" spans="1:46">
      <c r="B53" s="258" t="s">
        <v>350</v>
      </c>
      <c r="C53" s="258" t="str">
        <f>C39</f>
        <v>YE 2025</v>
      </c>
      <c r="D53" s="258"/>
      <c r="E53" s="258"/>
      <c r="F53" s="258"/>
      <c r="G53" s="258"/>
      <c r="H53" s="258"/>
      <c r="S53" s="263">
        <v>213.74505492465184</v>
      </c>
      <c r="T53" s="263">
        <v>128.21664041681828</v>
      </c>
      <c r="V53" s="264"/>
      <c r="W53" s="264"/>
      <c r="X53" s="264"/>
      <c r="Y53" s="264"/>
    </row>
    <row r="54" spans="1:46">
      <c r="B54" s="258" t="s">
        <v>351</v>
      </c>
      <c r="C54" s="258" t="str">
        <f>C40</f>
        <v>YE 2026</v>
      </c>
      <c r="D54" s="258"/>
      <c r="E54" s="258"/>
      <c r="F54" s="258"/>
      <c r="G54" s="258"/>
      <c r="H54" s="258"/>
      <c r="S54" s="263">
        <v>194.25646562635868</v>
      </c>
      <c r="T54" s="263">
        <v>116.18758088200396</v>
      </c>
    </row>
    <row r="55" spans="1:46">
      <c r="B55" s="258" t="s">
        <v>352</v>
      </c>
      <c r="C55" s="258" t="str">
        <f>C41</f>
        <v>YE 2027</v>
      </c>
      <c r="D55" s="258"/>
      <c r="E55" s="258"/>
      <c r="F55" s="258"/>
      <c r="G55" s="258"/>
      <c r="H55" s="258"/>
      <c r="S55" s="263">
        <v>197.34586159109298</v>
      </c>
      <c r="T55" s="263">
        <v>118.09446738967227</v>
      </c>
    </row>
    <row r="56" spans="1:46">
      <c r="B56" s="258" t="s">
        <v>612</v>
      </c>
      <c r="C56" s="258" t="str">
        <f>C42</f>
        <v>YE 2028</v>
      </c>
      <c r="D56" s="258"/>
      <c r="E56" s="258"/>
      <c r="F56" s="258"/>
      <c r="G56" s="258"/>
      <c r="H56" s="258"/>
      <c r="S56" s="263">
        <v>202.07924105138588</v>
      </c>
      <c r="T56" s="263">
        <v>121.01607974740803</v>
      </c>
    </row>
    <row r="58" spans="1:46">
      <c r="A58">
        <v>8</v>
      </c>
      <c r="B58" s="62" t="s">
        <v>420</v>
      </c>
      <c r="C58" s="62"/>
      <c r="D58" s="62"/>
      <c r="E58" s="62"/>
      <c r="F58" s="62"/>
      <c r="G58" s="62"/>
      <c r="H58" s="62"/>
      <c r="I58" s="62"/>
      <c r="J58" s="62"/>
      <c r="K58" s="62"/>
      <c r="R58" s="261" t="s">
        <v>358</v>
      </c>
      <c r="S58" s="248"/>
      <c r="AS58" s="265"/>
      <c r="AT58" s="265"/>
    </row>
    <row r="59" spans="1:46">
      <c r="B59" s="258" t="s">
        <v>347</v>
      </c>
      <c r="C59" s="258" t="s">
        <v>613</v>
      </c>
      <c r="D59" s="62"/>
      <c r="E59" s="62"/>
      <c r="F59" s="62"/>
      <c r="G59" s="62"/>
      <c r="H59" s="62"/>
      <c r="I59" s="62"/>
      <c r="J59" s="62"/>
      <c r="K59" s="62"/>
      <c r="L59" s="62"/>
      <c r="M59" s="62"/>
      <c r="N59" s="62"/>
      <c r="O59" s="62"/>
      <c r="R59" s="262">
        <v>43.255570991528394</v>
      </c>
      <c r="S59" s="248"/>
      <c r="T59" s="266"/>
      <c r="AQ59" s="251"/>
    </row>
    <row r="60" spans="1:46">
      <c r="B60" s="258" t="s">
        <v>350</v>
      </c>
      <c r="C60" s="258" t="str">
        <f>C39</f>
        <v>YE 2025</v>
      </c>
      <c r="R60" s="262">
        <v>44.153829013144005</v>
      </c>
      <c r="S60" s="262"/>
      <c r="AS60" s="265"/>
      <c r="AT60" s="265"/>
    </row>
    <row r="61" spans="1:46">
      <c r="B61" s="258" t="s">
        <v>351</v>
      </c>
      <c r="C61" s="258" t="str">
        <f>C40</f>
        <v>YE 2026</v>
      </c>
      <c r="R61" s="262">
        <v>39.858127163685516</v>
      </c>
      <c r="S61" s="262"/>
      <c r="AS61" s="265"/>
      <c r="AT61" s="265"/>
    </row>
    <row r="62" spans="1:46">
      <c r="B62" s="258" t="s">
        <v>352</v>
      </c>
      <c r="C62" s="258" t="str">
        <f>C41</f>
        <v>YE 2027</v>
      </c>
      <c r="R62" s="262">
        <v>40.606437471622556</v>
      </c>
      <c r="S62" s="262"/>
      <c r="AS62" s="265"/>
      <c r="AT62" s="265"/>
    </row>
    <row r="63" spans="1:46">
      <c r="B63" s="258" t="s">
        <v>612</v>
      </c>
      <c r="C63" s="258" t="str">
        <f>C42</f>
        <v>YE 2028</v>
      </c>
      <c r="R63" s="262">
        <v>41.697308134665903</v>
      </c>
      <c r="S63" s="262"/>
    </row>
    <row r="65" spans="1:47">
      <c r="A65">
        <v>9</v>
      </c>
      <c r="B65" s="62" t="s">
        <v>421</v>
      </c>
      <c r="S65" s="267" t="s">
        <v>377</v>
      </c>
      <c r="T65" s="267" t="s">
        <v>376</v>
      </c>
      <c r="U65" s="267" t="s">
        <v>374</v>
      </c>
    </row>
    <row r="66" spans="1:47">
      <c r="B66" s="258" t="s">
        <v>347</v>
      </c>
      <c r="C66" s="258" t="s">
        <v>613</v>
      </c>
      <c r="D66" s="62"/>
      <c r="E66" s="62"/>
      <c r="F66" s="62"/>
      <c r="G66" s="62"/>
      <c r="H66" s="62"/>
      <c r="I66" s="62"/>
      <c r="J66" s="62"/>
      <c r="K66" s="62"/>
      <c r="L66" s="62"/>
      <c r="M66" s="62"/>
      <c r="N66" s="62"/>
      <c r="O66" s="62"/>
      <c r="R66" s="248"/>
      <c r="S66" s="263">
        <v>428.72808702766923</v>
      </c>
      <c r="T66" s="263">
        <v>526.59971497154629</v>
      </c>
      <c r="U66" s="263">
        <v>1322.9618450079415</v>
      </c>
      <c r="W66" s="264"/>
      <c r="X66" s="264"/>
      <c r="Y66" s="264"/>
      <c r="AQ66" s="251"/>
    </row>
    <row r="67" spans="1:47">
      <c r="B67" s="258" t="s">
        <v>350</v>
      </c>
      <c r="C67" s="258" t="str">
        <f>C39</f>
        <v>YE 2025</v>
      </c>
      <c r="S67" s="263">
        <v>439.84113641304822</v>
      </c>
      <c r="T67" s="263">
        <v>540.2915208723233</v>
      </c>
      <c r="U67" s="263">
        <v>1357.5863864265314</v>
      </c>
      <c r="X67" s="264"/>
      <c r="Y67" s="264"/>
      <c r="Z67" s="264"/>
      <c r="AA67" s="264"/>
      <c r="AB67" s="264"/>
    </row>
    <row r="68" spans="1:47">
      <c r="B68" s="258" t="s">
        <v>351</v>
      </c>
      <c r="C68" s="258" t="str">
        <f>C40</f>
        <v>YE 2026</v>
      </c>
      <c r="S68" s="263">
        <v>396.13242751533426</v>
      </c>
      <c r="T68" s="263">
        <v>486.44031067357952</v>
      </c>
      <c r="U68" s="263">
        <v>1221.4046824584821</v>
      </c>
    </row>
    <row r="69" spans="1:47">
      <c r="B69" s="258" t="s">
        <v>352</v>
      </c>
      <c r="C69" s="258" t="str">
        <f>C41</f>
        <v>YE 2027</v>
      </c>
      <c r="S69" s="263">
        <v>403.50927073420661</v>
      </c>
      <c r="T69" s="263">
        <v>495.5289327079733</v>
      </c>
      <c r="U69" s="263">
        <v>1244.3884562826436</v>
      </c>
    </row>
    <row r="70" spans="1:47">
      <c r="B70" s="258" t="s">
        <v>612</v>
      </c>
      <c r="C70" s="258" t="str">
        <f>C42</f>
        <v>YE 2028</v>
      </c>
      <c r="S70" s="263">
        <v>414.26307402675053</v>
      </c>
      <c r="T70" s="263">
        <v>508.77813031977956</v>
      </c>
      <c r="U70" s="263">
        <v>1277.8937071456464</v>
      </c>
    </row>
    <row r="72" spans="1:47">
      <c r="AS72" s="265"/>
      <c r="AT72" s="265"/>
      <c r="AU72" s="265"/>
    </row>
    <row r="73" spans="1:47">
      <c r="AS73" s="265"/>
      <c r="AT73" s="265"/>
      <c r="AU73" s="265"/>
    </row>
    <row r="74" spans="1:47">
      <c r="AS74" s="265"/>
      <c r="AT74" s="265"/>
      <c r="AU74" s="265"/>
    </row>
    <row r="75" spans="1:47">
      <c r="AS75" s="265"/>
      <c r="AT75" s="265"/>
      <c r="AU75" s="265"/>
    </row>
  </sheetData>
  <mergeCells count="2">
    <mergeCell ref="B37:P37"/>
    <mergeCell ref="B44:O44"/>
  </mergeCells>
  <phoneticPr fontId="34" type="noConversion"/>
  <pageMargins left="0.7" right="0.7" top="0.75" bottom="0.75" header="0.3" footer="0.3"/>
  <pageSetup orientation="portrait" r:id="rId1"/>
  <headerFooter>
    <oddFooter xml:space="preserve">&amp;C
</oddFooter>
  </headerFooter>
  <ignoredErrors>
    <ignoredError sqref="Q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114A5-23CA-4D29-8133-0310149FE819}">
  <sheetPr codeName="Sheet11"/>
  <dimension ref="A1:B22"/>
  <sheetViews>
    <sheetView showGridLines="0" tabSelected="1" workbookViewId="0">
      <selection activeCell="A35" sqref="A35:XFD1048576"/>
    </sheetView>
  </sheetViews>
  <sheetFormatPr defaultColWidth="0" defaultRowHeight="14.5" zeroHeight="1"/>
  <cols>
    <col min="1" max="1" width="150.54296875" customWidth="1"/>
    <col min="2" max="2" width="9.1796875" customWidth="1"/>
    <col min="3" max="16384" width="9.1796875" hidden="1"/>
  </cols>
  <sheetData>
    <row r="1" spans="1:1"/>
    <row r="2" spans="1:1" ht="18.5">
      <c r="A2" s="178" t="s">
        <v>614</v>
      </c>
    </row>
    <row r="3" spans="1:1">
      <c r="A3" s="179" t="s">
        <v>498</v>
      </c>
    </row>
    <row r="4" spans="1:1">
      <c r="A4" s="179" t="s">
        <v>493</v>
      </c>
    </row>
    <row r="5" spans="1:1">
      <c r="A5" s="179" t="s">
        <v>497</v>
      </c>
    </row>
    <row r="6" spans="1:1">
      <c r="A6" s="179" t="s">
        <v>687</v>
      </c>
    </row>
    <row r="7" spans="1:1"/>
    <row r="8" spans="1:1"/>
    <row r="9" spans="1:1"/>
    <row r="10" spans="1:1"/>
    <row r="11" spans="1:1"/>
    <row r="12" spans="1:1"/>
    <row r="13" spans="1:1"/>
    <row r="14" spans="1:1"/>
    <row r="15" spans="1:1"/>
    <row r="16" spans="1:1"/>
    <row r="17"/>
    <row r="18"/>
    <row r="19"/>
    <row r="20"/>
    <row r="21"/>
    <row r="22"/>
  </sheetData>
  <pageMargins left="0.7" right="0.7" top="0.75" bottom="0.75" header="0.3" footer="0.3"/>
  <pageSetup orientation="portrait" r:id="rId1"/>
  <headerFooter>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25A53-4286-4165-B034-9FBB5A476044}">
  <sheetPr codeName="Sheet12"/>
  <dimension ref="A1:T196"/>
  <sheetViews>
    <sheetView showGridLines="0" tabSelected="1" topLeftCell="A18" workbookViewId="0">
      <selection activeCell="A35" sqref="A35:XFD1048576"/>
    </sheetView>
  </sheetViews>
  <sheetFormatPr defaultColWidth="0" defaultRowHeight="14.5" zeroHeight="1"/>
  <cols>
    <col min="1" max="6" width="9.1796875" customWidth="1"/>
    <col min="7" max="7" width="13.81640625" customWidth="1"/>
    <col min="8" max="8" width="14" customWidth="1"/>
    <col min="9" max="9" width="11.26953125" customWidth="1"/>
    <col min="10" max="16" width="9.1796875" customWidth="1"/>
    <col min="17" max="17" width="11.26953125" customWidth="1"/>
    <col min="18" max="18" width="52.81640625" customWidth="1"/>
    <col min="19" max="20" width="0" hidden="1" customWidth="1"/>
    <col min="21" max="16384" width="9.1796875" hidden="1"/>
  </cols>
  <sheetData>
    <row r="1" spans="1:12" ht="21">
      <c r="A1" s="208" t="s">
        <v>617</v>
      </c>
      <c r="B1" s="209"/>
      <c r="C1" s="209"/>
      <c r="D1" s="209"/>
      <c r="E1" s="209"/>
      <c r="F1" s="209"/>
      <c r="G1" s="209"/>
      <c r="H1" s="209"/>
      <c r="I1" s="209"/>
      <c r="J1" s="209"/>
      <c r="K1" s="209"/>
      <c r="L1" s="209"/>
    </row>
    <row r="2" spans="1:12">
      <c r="A2" s="209"/>
      <c r="B2" s="209"/>
      <c r="C2" s="209"/>
      <c r="D2" s="209"/>
      <c r="E2" s="209"/>
      <c r="F2" s="209"/>
      <c r="G2" s="209"/>
      <c r="H2" s="209"/>
      <c r="I2" s="209"/>
      <c r="J2" s="209"/>
      <c r="K2" s="209"/>
      <c r="L2" s="209"/>
    </row>
    <row r="3" spans="1:12">
      <c r="A3" s="209"/>
      <c r="B3" s="209"/>
      <c r="C3" s="209"/>
      <c r="D3" s="209"/>
      <c r="E3" s="209"/>
      <c r="F3" s="209"/>
      <c r="G3" s="209"/>
      <c r="H3" s="209"/>
      <c r="I3" s="209"/>
      <c r="J3" s="209"/>
      <c r="K3" s="209"/>
      <c r="L3" s="209"/>
    </row>
    <row r="4" spans="1:12">
      <c r="A4" s="209"/>
      <c r="B4" s="209" t="s">
        <v>618</v>
      </c>
      <c r="C4" s="209"/>
      <c r="D4" s="209"/>
      <c r="E4" s="209"/>
      <c r="F4" s="209"/>
      <c r="G4" s="209"/>
      <c r="H4" s="209"/>
      <c r="I4" s="209"/>
      <c r="J4" s="209"/>
      <c r="K4" s="209"/>
      <c r="L4" s="209"/>
    </row>
    <row r="5" spans="1:12">
      <c r="A5" s="209"/>
      <c r="B5" s="210" t="s">
        <v>619</v>
      </c>
      <c r="C5" s="209"/>
      <c r="D5" s="209"/>
      <c r="E5" s="209"/>
      <c r="F5" s="209"/>
      <c r="G5" s="209"/>
      <c r="H5" s="209"/>
      <c r="I5" s="209"/>
      <c r="J5" s="209"/>
      <c r="K5" s="209"/>
      <c r="L5" s="209"/>
    </row>
    <row r="6" spans="1:12">
      <c r="A6" s="209"/>
      <c r="B6" s="209" t="s">
        <v>620</v>
      </c>
      <c r="C6" s="209"/>
      <c r="D6" s="209"/>
      <c r="E6" s="209"/>
      <c r="F6" s="209"/>
      <c r="G6" s="209"/>
      <c r="H6" s="209"/>
      <c r="I6" s="209"/>
      <c r="J6" s="209"/>
      <c r="K6" s="209"/>
      <c r="L6" s="209"/>
    </row>
    <row r="7" spans="1:12">
      <c r="A7" s="209"/>
      <c r="B7" s="209"/>
      <c r="C7" s="209"/>
      <c r="D7" s="209"/>
      <c r="E7" s="209"/>
      <c r="F7" s="209"/>
      <c r="G7" s="209"/>
      <c r="H7" s="209"/>
      <c r="I7" s="209"/>
      <c r="J7" s="209"/>
      <c r="K7" s="209"/>
      <c r="L7" s="209"/>
    </row>
    <row r="8" spans="1:12">
      <c r="A8" s="209"/>
      <c r="B8" s="220" t="s">
        <v>622</v>
      </c>
      <c r="C8" s="209" t="s">
        <v>628</v>
      </c>
      <c r="D8" s="209"/>
      <c r="E8" s="209"/>
      <c r="F8" s="209"/>
      <c r="G8" s="209"/>
      <c r="H8" s="209"/>
      <c r="I8" s="209"/>
      <c r="J8" s="209"/>
      <c r="K8" s="209"/>
      <c r="L8" s="209"/>
    </row>
    <row r="9" spans="1:12">
      <c r="A9" s="209"/>
      <c r="B9" s="220" t="s">
        <v>623</v>
      </c>
      <c r="C9" s="209" t="s">
        <v>621</v>
      </c>
      <c r="D9" s="209"/>
      <c r="E9" s="209"/>
      <c r="F9" s="209"/>
      <c r="G9" s="209"/>
      <c r="H9" s="209"/>
      <c r="I9" s="209"/>
      <c r="J9" s="209"/>
      <c r="K9" s="209"/>
      <c r="L9" s="209"/>
    </row>
    <row r="10" spans="1:12">
      <c r="A10" s="209"/>
      <c r="B10" s="220" t="s">
        <v>624</v>
      </c>
      <c r="C10" s="209" t="s">
        <v>690</v>
      </c>
      <c r="D10" s="209"/>
      <c r="E10" s="209"/>
      <c r="F10" s="209"/>
      <c r="G10" s="209"/>
      <c r="H10" s="209"/>
      <c r="I10" s="209"/>
      <c r="J10" s="209"/>
      <c r="K10" s="209"/>
      <c r="L10" s="209"/>
    </row>
    <row r="11" spans="1:12">
      <c r="A11" s="209"/>
      <c r="B11" s="220" t="s">
        <v>625</v>
      </c>
      <c r="C11" s="209" t="s">
        <v>691</v>
      </c>
      <c r="D11" s="209"/>
      <c r="E11" s="209"/>
      <c r="F11" s="209"/>
      <c r="G11" s="209"/>
      <c r="H11" s="209"/>
      <c r="I11" s="209"/>
      <c r="J11" s="209"/>
      <c r="K11" s="209"/>
      <c r="L11" s="209"/>
    </row>
    <row r="12" spans="1:12">
      <c r="A12" s="209"/>
      <c r="B12" s="220"/>
      <c r="C12" s="209" t="s">
        <v>697</v>
      </c>
      <c r="D12" s="209"/>
      <c r="E12" s="209"/>
      <c r="F12" s="209"/>
      <c r="G12" s="209"/>
      <c r="H12" s="209"/>
      <c r="I12" s="209"/>
      <c r="J12" s="209"/>
      <c r="K12" s="209"/>
      <c r="L12" s="209"/>
    </row>
    <row r="13" spans="1:12">
      <c r="A13" s="209"/>
      <c r="B13" s="220" t="s">
        <v>626</v>
      </c>
      <c r="C13" s="209" t="s">
        <v>692</v>
      </c>
      <c r="D13" s="209"/>
      <c r="E13" s="209"/>
      <c r="F13" s="209"/>
      <c r="G13" s="209"/>
      <c r="H13" s="209"/>
      <c r="I13" s="209"/>
      <c r="J13" s="209"/>
      <c r="K13" s="209"/>
      <c r="L13" s="209"/>
    </row>
    <row r="14" spans="1:12">
      <c r="A14" s="209"/>
      <c r="B14" s="220" t="s">
        <v>627</v>
      </c>
      <c r="C14" s="209" t="s">
        <v>693</v>
      </c>
      <c r="D14" s="209"/>
      <c r="E14" s="209"/>
      <c r="F14" s="209"/>
      <c r="G14" s="209"/>
      <c r="H14" s="209"/>
      <c r="I14" s="209"/>
      <c r="J14" s="209"/>
      <c r="K14" s="209"/>
      <c r="L14" s="209"/>
    </row>
    <row r="15" spans="1:12">
      <c r="A15" s="209"/>
      <c r="B15" s="220" t="s">
        <v>688</v>
      </c>
      <c r="C15" s="209" t="s">
        <v>631</v>
      </c>
      <c r="D15" s="212"/>
      <c r="E15" s="212"/>
      <c r="F15" s="213"/>
      <c r="G15" s="214"/>
      <c r="H15" s="209"/>
      <c r="I15" s="209"/>
      <c r="J15" s="209"/>
      <c r="K15" s="209"/>
      <c r="L15" s="209"/>
    </row>
    <row r="16" spans="1:12">
      <c r="A16" s="209"/>
      <c r="B16" s="220" t="s">
        <v>689</v>
      </c>
      <c r="C16" s="211" t="s">
        <v>694</v>
      </c>
      <c r="D16" s="212"/>
      <c r="E16" s="212"/>
      <c r="F16" s="213"/>
      <c r="G16" s="214"/>
      <c r="H16" s="209"/>
      <c r="I16" s="209"/>
      <c r="J16" s="209"/>
      <c r="K16" s="209"/>
      <c r="L16" s="209"/>
    </row>
    <row r="17" spans="1:15">
      <c r="A17" s="209"/>
      <c r="B17" s="220" t="s">
        <v>695</v>
      </c>
      <c r="C17" s="211" t="s">
        <v>699</v>
      </c>
      <c r="D17" s="212"/>
      <c r="E17" s="212"/>
      <c r="F17" s="213"/>
      <c r="G17" s="214"/>
      <c r="H17" s="209"/>
      <c r="I17" s="209"/>
      <c r="J17" s="209"/>
      <c r="K17" s="209"/>
      <c r="L17" s="209"/>
    </row>
    <row r="18" spans="1:15">
      <c r="A18" s="209"/>
      <c r="B18" s="219"/>
      <c r="C18" s="211"/>
      <c r="D18" s="212"/>
      <c r="E18" s="212"/>
      <c r="F18" s="213"/>
      <c r="G18" s="214"/>
      <c r="H18" s="209"/>
      <c r="I18" s="209"/>
      <c r="J18" s="209"/>
      <c r="K18" s="209"/>
      <c r="L18" s="209"/>
    </row>
    <row r="19" spans="1:15">
      <c r="A19" s="209"/>
      <c r="B19" s="219"/>
      <c r="C19" s="215" t="s">
        <v>696</v>
      </c>
      <c r="D19" s="209"/>
      <c r="E19" s="213"/>
      <c r="F19" s="214"/>
      <c r="G19" s="216">
        <v>2</v>
      </c>
      <c r="H19" s="218">
        <v>3</v>
      </c>
      <c r="I19" s="218">
        <v>4</v>
      </c>
      <c r="J19" s="209"/>
      <c r="K19" s="209"/>
      <c r="L19" s="218"/>
    </row>
    <row r="20" spans="1:15">
      <c r="A20" s="209"/>
      <c r="B20" s="219"/>
      <c r="D20" s="209"/>
      <c r="E20" s="209"/>
      <c r="F20" s="209"/>
      <c r="G20" s="209"/>
      <c r="H20" s="209"/>
      <c r="I20" s="209"/>
      <c r="J20" s="209"/>
      <c r="K20" s="209"/>
      <c r="L20" s="209"/>
    </row>
    <row r="21" spans="1:15">
      <c r="A21" s="209"/>
      <c r="B21" s="219"/>
      <c r="C21" s="209"/>
      <c r="D21" s="209"/>
      <c r="E21" s="209"/>
      <c r="F21" s="209"/>
      <c r="G21" s="209"/>
      <c r="H21" s="209"/>
      <c r="I21" s="209"/>
      <c r="J21" s="209"/>
      <c r="K21" s="209"/>
      <c r="L21" s="209"/>
    </row>
    <row r="22" spans="1:15">
      <c r="A22" s="209"/>
      <c r="B22" s="219"/>
      <c r="C22" s="209"/>
      <c r="D22" s="209"/>
      <c r="E22" s="209"/>
      <c r="F22" s="209"/>
      <c r="G22" s="209"/>
      <c r="H22" s="209"/>
      <c r="I22" s="209"/>
      <c r="J22" s="209"/>
      <c r="K22" s="209"/>
      <c r="L22" s="209"/>
      <c r="O22" s="218">
        <v>5</v>
      </c>
    </row>
    <row r="23" spans="1:15">
      <c r="A23" s="209"/>
      <c r="B23" s="219"/>
      <c r="C23" s="209"/>
      <c r="D23" s="209"/>
      <c r="E23" s="209"/>
      <c r="F23" s="209"/>
      <c r="G23" s="209"/>
      <c r="H23" s="209"/>
      <c r="I23" s="209"/>
      <c r="J23" s="209"/>
      <c r="K23" s="209"/>
      <c r="L23" s="209"/>
      <c r="O23" s="218">
        <v>6</v>
      </c>
    </row>
    <row r="24" spans="1:15">
      <c r="A24" s="209"/>
      <c r="B24" s="219"/>
      <c r="C24" s="209"/>
      <c r="D24" s="209"/>
      <c r="E24" s="209"/>
      <c r="F24" s="209"/>
      <c r="G24" s="209"/>
      <c r="H24" s="209"/>
      <c r="I24" s="209"/>
      <c r="J24" s="209"/>
      <c r="K24" s="209"/>
      <c r="L24" s="209"/>
    </row>
    <row r="25" spans="1:15">
      <c r="A25" s="209"/>
      <c r="B25" s="219"/>
      <c r="C25" s="209"/>
      <c r="D25" s="209"/>
      <c r="E25" s="209"/>
      <c r="F25" s="209"/>
      <c r="G25" s="209"/>
      <c r="H25" s="209"/>
      <c r="I25" s="209"/>
      <c r="J25" s="209"/>
      <c r="K25" s="209"/>
      <c r="L25" s="209"/>
    </row>
    <row r="26" spans="1:15">
      <c r="A26" s="209"/>
      <c r="B26" s="219"/>
      <c r="C26" s="209"/>
      <c r="D26" s="209"/>
      <c r="E26" s="209"/>
      <c r="F26" s="209"/>
      <c r="G26" s="209"/>
      <c r="H26" s="209"/>
      <c r="I26" s="209"/>
      <c r="J26" s="209"/>
      <c r="K26" s="209"/>
      <c r="L26" s="209"/>
    </row>
    <row r="27" spans="1:15">
      <c r="A27" s="209"/>
      <c r="B27" s="219"/>
      <c r="C27" s="209"/>
      <c r="D27" s="209"/>
      <c r="E27" s="209"/>
      <c r="F27" s="209"/>
      <c r="G27" s="209"/>
      <c r="H27" s="209"/>
      <c r="I27" s="209"/>
      <c r="J27" s="209"/>
      <c r="K27" s="209"/>
      <c r="L27" s="209"/>
    </row>
    <row r="28" spans="1:15">
      <c r="A28" s="209"/>
      <c r="B28" s="219"/>
      <c r="C28" s="209"/>
      <c r="D28" s="209"/>
      <c r="E28" s="209"/>
      <c r="F28" s="209"/>
      <c r="G28" s="209"/>
      <c r="H28" s="209"/>
      <c r="I28" s="209"/>
      <c r="J28" s="209"/>
      <c r="K28" s="209"/>
      <c r="L28" s="209"/>
    </row>
    <row r="29" spans="1:15">
      <c r="A29" s="209"/>
      <c r="B29" s="219"/>
      <c r="C29" s="209"/>
      <c r="D29" s="209"/>
      <c r="E29" s="209"/>
      <c r="F29" s="209"/>
      <c r="G29" s="209"/>
      <c r="H29" s="209"/>
      <c r="I29" s="209"/>
      <c r="J29" s="209"/>
      <c r="K29" s="209"/>
      <c r="L29" s="209"/>
    </row>
    <row r="30" spans="1:15">
      <c r="A30" s="209"/>
      <c r="B30" s="219"/>
      <c r="C30" s="209"/>
      <c r="D30" s="209"/>
      <c r="E30" s="209"/>
      <c r="F30" s="209"/>
      <c r="G30" s="209"/>
      <c r="H30" s="209"/>
      <c r="I30" s="209"/>
      <c r="J30" s="209"/>
      <c r="K30" s="209"/>
      <c r="L30" s="209"/>
    </row>
    <row r="31" spans="1:15">
      <c r="A31" s="209"/>
      <c r="B31" s="219"/>
      <c r="C31" s="209"/>
      <c r="D31" s="209"/>
      <c r="E31" s="209"/>
      <c r="F31" s="209"/>
      <c r="G31" s="209"/>
      <c r="H31" s="209"/>
      <c r="I31" s="209"/>
      <c r="J31" s="209"/>
      <c r="K31" s="209"/>
      <c r="L31" s="209"/>
    </row>
    <row r="32" spans="1:15">
      <c r="A32" s="209"/>
      <c r="B32" s="219"/>
      <c r="C32" s="209"/>
      <c r="D32" s="209"/>
      <c r="E32" s="209"/>
      <c r="F32" s="209"/>
      <c r="G32" s="209"/>
      <c r="H32" s="209"/>
      <c r="I32" s="209"/>
      <c r="J32" s="209"/>
      <c r="K32" s="209"/>
      <c r="L32" s="209"/>
    </row>
    <row r="33" spans="1:12">
      <c r="A33" s="209"/>
      <c r="B33" s="219"/>
      <c r="C33" s="209"/>
      <c r="D33" s="209"/>
      <c r="E33" s="209"/>
      <c r="F33" s="209"/>
      <c r="G33" s="209"/>
      <c r="H33" s="209"/>
      <c r="I33" s="209"/>
      <c r="J33" s="209"/>
      <c r="K33" s="209"/>
      <c r="L33" s="209"/>
    </row>
    <row r="34" spans="1:12">
      <c r="A34" s="209"/>
      <c r="B34" s="219"/>
      <c r="C34" s="209"/>
      <c r="D34" s="209"/>
      <c r="E34" s="209"/>
      <c r="F34" s="209"/>
      <c r="G34" s="209"/>
      <c r="H34" s="209"/>
      <c r="I34" s="209"/>
      <c r="J34" s="209"/>
      <c r="K34" s="209"/>
      <c r="L34" s="209"/>
    </row>
    <row r="35" spans="1:12">
      <c r="A35" s="209"/>
      <c r="B35" s="219"/>
      <c r="C35" s="209"/>
      <c r="D35" s="209"/>
      <c r="E35" s="209"/>
      <c r="F35" s="209"/>
      <c r="G35" s="209"/>
      <c r="H35" s="209"/>
      <c r="I35" s="209"/>
      <c r="J35" s="209"/>
      <c r="K35" s="209"/>
      <c r="L35" s="209"/>
    </row>
    <row r="36" spans="1:12">
      <c r="A36" s="209"/>
      <c r="B36" s="219"/>
      <c r="C36" s="209"/>
      <c r="D36" s="209"/>
      <c r="E36" s="209"/>
      <c r="F36" s="209"/>
      <c r="G36" s="209"/>
      <c r="H36" s="209"/>
      <c r="I36" s="209"/>
      <c r="J36" s="209"/>
      <c r="K36" s="209"/>
      <c r="L36" s="209"/>
    </row>
    <row r="37" spans="1:12">
      <c r="A37" s="209"/>
      <c r="B37" s="219"/>
      <c r="C37" s="209"/>
      <c r="D37" s="209"/>
      <c r="E37" s="209"/>
      <c r="F37" s="209"/>
      <c r="G37" s="209"/>
      <c r="H37" s="209"/>
      <c r="I37" s="209"/>
      <c r="J37" s="209"/>
      <c r="K37" s="209"/>
      <c r="L37" s="209"/>
    </row>
    <row r="38" spans="1:12">
      <c r="A38" s="209"/>
      <c r="B38" s="219"/>
      <c r="C38" s="209"/>
      <c r="D38" s="209"/>
      <c r="E38" s="209"/>
      <c r="F38" s="209"/>
      <c r="G38" s="209"/>
      <c r="H38" s="209"/>
      <c r="I38" s="209"/>
      <c r="J38" s="209"/>
      <c r="K38" s="209"/>
      <c r="L38" s="209"/>
    </row>
    <row r="39" spans="1:12">
      <c r="A39" s="209"/>
      <c r="B39" s="219"/>
      <c r="C39" s="209"/>
      <c r="D39" s="209"/>
      <c r="E39" s="209"/>
      <c r="F39" s="209"/>
      <c r="G39" s="209"/>
      <c r="H39" s="209"/>
      <c r="I39" s="209"/>
      <c r="J39" s="209"/>
      <c r="K39" s="209"/>
      <c r="L39" s="209"/>
    </row>
    <row r="40" spans="1:12">
      <c r="A40" s="209"/>
      <c r="B40" s="219"/>
      <c r="C40" s="209"/>
      <c r="D40" s="209"/>
      <c r="E40" s="209"/>
      <c r="F40" s="209"/>
      <c r="G40" s="209"/>
      <c r="H40" s="209"/>
      <c r="I40" s="209"/>
      <c r="J40" s="209"/>
      <c r="K40" s="209"/>
      <c r="L40" s="209"/>
    </row>
    <row r="41" spans="1:12">
      <c r="A41" s="209"/>
      <c r="B41" s="219"/>
      <c r="C41" s="209"/>
      <c r="D41" s="209"/>
      <c r="E41" s="209"/>
      <c r="F41" s="209"/>
      <c r="G41" s="209"/>
      <c r="H41" s="209"/>
      <c r="I41" s="209"/>
      <c r="J41" s="209"/>
      <c r="K41" s="209"/>
      <c r="L41" s="209"/>
    </row>
    <row r="42" spans="1:12">
      <c r="A42" s="209"/>
      <c r="B42" s="219"/>
      <c r="C42" s="245" t="s">
        <v>698</v>
      </c>
      <c r="D42" s="209"/>
      <c r="E42" s="209"/>
      <c r="F42" s="209"/>
      <c r="G42" s="209"/>
      <c r="H42" s="209"/>
      <c r="I42" s="209"/>
      <c r="J42" s="209"/>
      <c r="K42" s="209"/>
      <c r="L42" s="209"/>
    </row>
    <row r="43" spans="1:12">
      <c r="A43" s="209"/>
      <c r="B43" s="219"/>
      <c r="C43" s="209"/>
      <c r="D43" s="209"/>
      <c r="E43" s="209"/>
      <c r="F43" s="209"/>
      <c r="G43" s="209"/>
      <c r="H43" s="209"/>
      <c r="I43" s="209"/>
      <c r="J43" s="209"/>
      <c r="K43" s="209"/>
      <c r="L43" s="209"/>
    </row>
    <row r="44" spans="1:12">
      <c r="A44" s="209"/>
      <c r="B44" s="219"/>
      <c r="C44" s="209"/>
      <c r="D44" s="209"/>
      <c r="E44" s="209"/>
      <c r="F44" s="209"/>
      <c r="G44" s="209"/>
      <c r="H44" s="209"/>
      <c r="I44" s="209"/>
      <c r="J44" s="209"/>
      <c r="K44" s="209"/>
      <c r="L44" s="209"/>
    </row>
    <row r="45" spans="1:12">
      <c r="A45" s="209"/>
      <c r="B45" s="219"/>
      <c r="C45" s="209"/>
      <c r="D45" s="209"/>
      <c r="E45" s="209"/>
      <c r="F45" s="209"/>
      <c r="G45" s="209"/>
      <c r="H45" s="209"/>
      <c r="I45" s="209"/>
      <c r="J45" s="209"/>
      <c r="K45" s="209"/>
      <c r="L45" s="209"/>
    </row>
    <row r="46" spans="1:12">
      <c r="A46" s="209"/>
      <c r="B46" s="219"/>
      <c r="C46" s="209"/>
      <c r="D46" s="209"/>
      <c r="E46" s="209"/>
      <c r="F46" s="209"/>
      <c r="G46" s="209"/>
      <c r="H46" s="209"/>
      <c r="I46" s="209"/>
      <c r="J46" s="209"/>
      <c r="K46" s="209"/>
      <c r="L46" s="209"/>
    </row>
    <row r="47" spans="1:12">
      <c r="A47" s="209"/>
      <c r="B47" s="219"/>
      <c r="C47" s="209"/>
      <c r="D47" s="209"/>
      <c r="E47" s="209"/>
      <c r="F47" s="209"/>
      <c r="G47" s="209"/>
      <c r="H47" s="209"/>
      <c r="I47" s="209"/>
      <c r="J47" s="209"/>
      <c r="K47" s="209"/>
      <c r="L47" s="209"/>
    </row>
    <row r="48" spans="1:12">
      <c r="A48" s="209"/>
      <c r="B48" s="219"/>
      <c r="C48" s="209"/>
      <c r="D48" s="209"/>
      <c r="E48" s="209"/>
      <c r="F48" s="209"/>
      <c r="G48" s="209"/>
      <c r="H48" s="209"/>
      <c r="I48" s="209"/>
      <c r="J48" s="209"/>
      <c r="K48" s="209"/>
      <c r="L48" s="209"/>
    </row>
    <row r="49" spans="1:12">
      <c r="A49" s="209"/>
      <c r="B49" s="219"/>
      <c r="C49" s="209"/>
      <c r="D49" s="209"/>
      <c r="E49" s="209"/>
      <c r="F49" s="209"/>
      <c r="G49" s="209"/>
      <c r="H49" s="209"/>
      <c r="I49" s="209"/>
      <c r="J49" s="209"/>
      <c r="K49" s="209"/>
      <c r="L49" s="209"/>
    </row>
    <row r="50" spans="1:12">
      <c r="A50" s="209"/>
      <c r="B50" s="219"/>
      <c r="C50" s="209"/>
      <c r="D50" s="209"/>
      <c r="E50" s="209"/>
      <c r="F50" s="209"/>
      <c r="G50" s="209"/>
      <c r="H50" s="209"/>
      <c r="I50" s="209"/>
      <c r="J50" s="209"/>
      <c r="K50" s="209"/>
      <c r="L50" s="209"/>
    </row>
    <row r="51" spans="1:12">
      <c r="A51" s="209"/>
      <c r="B51" s="219"/>
      <c r="C51" s="209"/>
      <c r="D51" s="209"/>
      <c r="E51" s="209"/>
      <c r="F51" s="209"/>
      <c r="G51" s="209"/>
      <c r="H51" s="209"/>
      <c r="I51" s="209"/>
      <c r="J51" s="209"/>
      <c r="K51" s="209"/>
      <c r="L51" s="209"/>
    </row>
    <row r="52" spans="1:12">
      <c r="A52" s="209"/>
      <c r="B52" s="219"/>
      <c r="C52" s="209"/>
      <c r="D52" s="209"/>
      <c r="E52" s="209"/>
      <c r="F52" s="209"/>
      <c r="G52" s="209"/>
      <c r="H52" s="209"/>
      <c r="I52" s="209"/>
      <c r="J52" s="209"/>
      <c r="K52" s="209"/>
      <c r="L52" s="209"/>
    </row>
    <row r="53" spans="1:12">
      <c r="A53" s="209"/>
      <c r="B53" s="219"/>
      <c r="C53" s="209"/>
      <c r="D53" s="209"/>
      <c r="E53" s="209"/>
      <c r="F53" s="209"/>
      <c r="G53" s="209"/>
      <c r="H53" s="209"/>
      <c r="I53" s="209"/>
      <c r="J53" s="209"/>
      <c r="K53" s="209"/>
      <c r="L53" s="209"/>
    </row>
    <row r="54" spans="1:12">
      <c r="A54" s="209"/>
      <c r="B54" s="219"/>
      <c r="C54" s="209"/>
      <c r="D54" s="209"/>
      <c r="E54" s="209"/>
      <c r="F54" s="209"/>
      <c r="G54" s="209"/>
      <c r="H54" s="209"/>
      <c r="I54" s="209"/>
      <c r="J54" s="209"/>
      <c r="K54" s="209"/>
      <c r="L54" s="209"/>
    </row>
    <row r="55" spans="1:12">
      <c r="A55" s="209"/>
      <c r="B55" s="219"/>
      <c r="C55" s="209"/>
      <c r="D55" s="209"/>
      <c r="E55" s="209"/>
      <c r="F55" s="209"/>
      <c r="G55" s="209"/>
      <c r="H55" s="209"/>
      <c r="I55" s="209"/>
      <c r="J55" s="209"/>
      <c r="K55" s="209"/>
      <c r="L55" s="209"/>
    </row>
    <row r="56" spans="1:12">
      <c r="A56" s="209"/>
      <c r="B56" s="219"/>
      <c r="C56" s="209"/>
      <c r="D56" s="209"/>
      <c r="E56" s="209"/>
      <c r="F56" s="209"/>
      <c r="G56" s="209"/>
      <c r="H56" s="209"/>
      <c r="I56" s="209"/>
      <c r="J56" s="209"/>
      <c r="K56" s="209"/>
      <c r="L56" s="209"/>
    </row>
    <row r="57" spans="1:12">
      <c r="A57" s="209"/>
      <c r="B57" s="219"/>
      <c r="C57" s="209"/>
      <c r="D57" s="209"/>
      <c r="E57" s="209"/>
      <c r="F57" s="209"/>
      <c r="G57" s="209"/>
      <c r="H57" s="209"/>
      <c r="I57" s="209"/>
      <c r="J57" s="209"/>
      <c r="K57" s="209"/>
      <c r="L57" s="209"/>
    </row>
    <row r="58" spans="1:12" ht="21">
      <c r="A58" s="208" t="s">
        <v>634</v>
      </c>
      <c r="B58" s="209"/>
      <c r="C58" s="209"/>
      <c r="D58" s="209"/>
      <c r="E58" s="209"/>
      <c r="F58" s="209"/>
      <c r="G58" s="209"/>
      <c r="H58" s="209"/>
      <c r="I58" s="209"/>
      <c r="J58" s="209"/>
      <c r="K58" s="209"/>
      <c r="L58" s="209"/>
    </row>
    <row r="59" spans="1:12">
      <c r="A59" s="209"/>
      <c r="B59" s="209"/>
      <c r="C59" s="209"/>
      <c r="D59" s="209"/>
      <c r="E59" s="209"/>
      <c r="F59" s="209"/>
      <c r="G59" s="209"/>
      <c r="H59" s="209"/>
      <c r="I59" s="209"/>
      <c r="J59" s="209"/>
      <c r="K59" s="209"/>
      <c r="L59" s="209"/>
    </row>
    <row r="60" spans="1:12">
      <c r="A60" s="209"/>
      <c r="B60" s="220" t="s">
        <v>622</v>
      </c>
      <c r="C60" s="209" t="s">
        <v>682</v>
      </c>
      <c r="D60" s="209"/>
      <c r="E60" s="209"/>
      <c r="F60" s="209"/>
      <c r="G60" s="209"/>
      <c r="H60" s="209"/>
      <c r="I60" s="209"/>
      <c r="J60" s="209"/>
      <c r="K60" s="209"/>
      <c r="L60" s="209"/>
    </row>
    <row r="61" spans="1:12">
      <c r="A61" s="209"/>
      <c r="B61" s="220" t="s">
        <v>623</v>
      </c>
      <c r="C61" s="209" t="s">
        <v>653</v>
      </c>
      <c r="D61" s="209"/>
      <c r="E61" s="209"/>
      <c r="F61" s="209"/>
      <c r="G61" s="209"/>
      <c r="H61" s="209"/>
      <c r="I61" s="209"/>
      <c r="J61" s="209"/>
      <c r="K61" s="209"/>
      <c r="L61" s="209"/>
    </row>
    <row r="62" spans="1:12">
      <c r="A62" s="209"/>
      <c r="B62" s="220" t="s">
        <v>624</v>
      </c>
      <c r="C62" s="209" t="s">
        <v>635</v>
      </c>
      <c r="D62" s="209"/>
      <c r="E62" s="209"/>
      <c r="F62" s="209"/>
      <c r="G62" s="209"/>
      <c r="H62" s="209"/>
      <c r="I62" s="209"/>
      <c r="J62" s="209"/>
      <c r="K62" s="209"/>
      <c r="L62" s="209"/>
    </row>
    <row r="63" spans="1:12"/>
    <row r="64" spans="1:12">
      <c r="B64" s="215"/>
      <c r="C64" s="215" t="s">
        <v>683</v>
      </c>
    </row>
    <row r="65" spans="1:19">
      <c r="A65" s="209"/>
      <c r="B65" s="220"/>
      <c r="C65" s="209"/>
      <c r="D65" s="209"/>
      <c r="E65" s="209"/>
      <c r="F65" s="209"/>
      <c r="G65" s="209"/>
      <c r="H65" s="209"/>
      <c r="I65" s="209"/>
      <c r="J65" s="209"/>
      <c r="K65" s="209"/>
      <c r="L65" s="209"/>
    </row>
    <row r="66" spans="1:19">
      <c r="A66" s="209"/>
      <c r="B66" s="219"/>
      <c r="C66" s="209"/>
      <c r="D66" s="209"/>
      <c r="E66" s="209"/>
      <c r="F66" s="209"/>
      <c r="G66" s="209"/>
      <c r="H66" s="209"/>
      <c r="I66" s="209"/>
      <c r="J66" s="209"/>
      <c r="K66" s="209"/>
      <c r="L66" s="209"/>
    </row>
    <row r="67" spans="1:19">
      <c r="A67" s="209"/>
      <c r="B67" s="219"/>
      <c r="C67" s="209"/>
      <c r="D67" s="209"/>
      <c r="E67" s="209"/>
      <c r="F67" s="209"/>
      <c r="G67" s="209"/>
      <c r="H67" s="209"/>
      <c r="I67" s="209"/>
      <c r="J67" s="209"/>
      <c r="K67" s="209"/>
      <c r="L67" s="209"/>
    </row>
    <row r="68" spans="1:19">
      <c r="A68" s="209"/>
      <c r="B68" s="219"/>
      <c r="C68" s="209"/>
      <c r="D68" s="209"/>
      <c r="E68" s="209"/>
      <c r="F68" s="209"/>
      <c r="G68" s="209"/>
      <c r="H68" s="209"/>
      <c r="I68" s="209"/>
      <c r="J68" s="209"/>
      <c r="K68" s="209"/>
      <c r="L68" s="209"/>
      <c r="O68" s="227">
        <v>1</v>
      </c>
    </row>
    <row r="69" spans="1:19">
      <c r="A69" s="209"/>
      <c r="B69" s="219"/>
      <c r="C69" s="209"/>
      <c r="D69" s="209"/>
      <c r="E69" s="209"/>
      <c r="F69" s="209"/>
      <c r="G69" s="209"/>
      <c r="H69" s="209"/>
      <c r="I69" s="209"/>
      <c r="J69" s="209"/>
      <c r="K69" s="209"/>
      <c r="L69" s="209"/>
    </row>
    <row r="70" spans="1:19">
      <c r="A70" s="209"/>
      <c r="B70" s="219"/>
      <c r="C70" s="209"/>
      <c r="D70" s="209"/>
      <c r="E70" s="209"/>
      <c r="F70" s="209"/>
      <c r="G70" s="209"/>
      <c r="H70" s="209"/>
      <c r="I70" s="209"/>
      <c r="J70" s="209"/>
      <c r="K70" s="209"/>
      <c r="L70" s="209"/>
    </row>
    <row r="71" spans="1:19">
      <c r="A71" s="209"/>
      <c r="B71" s="219"/>
      <c r="C71" s="209"/>
      <c r="D71" s="209"/>
      <c r="E71" s="209"/>
      <c r="F71" s="209"/>
      <c r="G71" s="209"/>
      <c r="H71" s="209"/>
      <c r="I71" s="209"/>
      <c r="J71" s="209"/>
      <c r="K71" s="209"/>
      <c r="L71" s="209"/>
    </row>
    <row r="72" spans="1:19">
      <c r="A72" s="209"/>
      <c r="B72" s="219"/>
      <c r="C72" s="209"/>
      <c r="D72" s="209"/>
      <c r="E72" s="209"/>
      <c r="F72" s="209"/>
      <c r="G72" s="209"/>
      <c r="H72" s="209"/>
      <c r="I72" s="209"/>
      <c r="J72" s="209"/>
      <c r="K72" s="209"/>
      <c r="L72" s="209"/>
    </row>
    <row r="73" spans="1:19">
      <c r="A73" s="209"/>
      <c r="B73" s="219"/>
      <c r="C73" s="209"/>
      <c r="D73" s="209"/>
      <c r="E73" s="209"/>
      <c r="F73" s="209"/>
      <c r="G73" s="209"/>
      <c r="H73" s="209"/>
      <c r="I73" s="209"/>
      <c r="J73" s="209"/>
      <c r="K73" s="209"/>
      <c r="L73" s="209"/>
    </row>
    <row r="74" spans="1:19">
      <c r="A74" s="209"/>
      <c r="B74" s="219"/>
      <c r="C74" s="209"/>
      <c r="D74" s="209"/>
      <c r="E74" s="209"/>
      <c r="F74" s="209"/>
      <c r="G74" s="209"/>
      <c r="H74" s="209"/>
      <c r="I74" s="209"/>
      <c r="J74" s="209"/>
      <c r="K74" s="209"/>
      <c r="L74" s="209"/>
    </row>
    <row r="75" spans="1:19" s="230" customFormat="1">
      <c r="A75" s="228"/>
      <c r="B75" s="229"/>
      <c r="C75" s="228"/>
      <c r="D75" s="228"/>
      <c r="E75" s="228"/>
      <c r="F75" s="228"/>
      <c r="G75" s="228"/>
      <c r="H75" s="228"/>
      <c r="I75" s="228"/>
      <c r="J75" s="228"/>
      <c r="K75" s="228"/>
      <c r="L75" s="228"/>
    </row>
    <row r="76" spans="1:19">
      <c r="A76" s="209"/>
      <c r="B76" s="219"/>
      <c r="C76" s="209"/>
      <c r="D76" s="209"/>
      <c r="E76" s="209"/>
      <c r="F76" s="209"/>
      <c r="G76" s="209"/>
      <c r="H76" s="209"/>
      <c r="I76" s="209"/>
      <c r="J76" s="209"/>
      <c r="K76" s="209"/>
      <c r="L76" s="209"/>
    </row>
    <row r="77" spans="1:19" ht="21">
      <c r="A77" s="208" t="s">
        <v>629</v>
      </c>
      <c r="E77" s="209"/>
      <c r="F77" s="209"/>
      <c r="G77" s="209"/>
      <c r="H77" s="209"/>
      <c r="I77" s="209"/>
      <c r="J77" s="209"/>
      <c r="K77" s="209"/>
      <c r="L77" s="209"/>
      <c r="S77" s="31"/>
    </row>
    <row r="78" spans="1:19" ht="21">
      <c r="A78" s="208"/>
      <c r="E78" s="209"/>
      <c r="F78" s="209"/>
      <c r="G78" s="209"/>
      <c r="H78" s="209"/>
      <c r="I78" s="209"/>
      <c r="J78" s="209"/>
      <c r="K78" s="209"/>
      <c r="L78" s="209"/>
      <c r="S78" s="31"/>
    </row>
    <row r="79" spans="1:19">
      <c r="A79" s="209"/>
      <c r="B79" s="209" t="s">
        <v>652</v>
      </c>
      <c r="C79" s="209"/>
      <c r="D79" s="209"/>
      <c r="E79" s="209"/>
      <c r="F79" s="209"/>
      <c r="G79" s="209"/>
      <c r="H79" s="209"/>
      <c r="I79" s="209"/>
      <c r="J79" s="209"/>
      <c r="K79" s="209"/>
      <c r="L79" s="209"/>
    </row>
    <row r="80" spans="1:19">
      <c r="A80" s="209"/>
      <c r="B80" s="220" t="s">
        <v>622</v>
      </c>
      <c r="C80" s="209" t="s">
        <v>678</v>
      </c>
      <c r="D80" s="209"/>
      <c r="E80" s="209"/>
      <c r="F80" s="209"/>
      <c r="G80" s="209"/>
      <c r="H80" s="209"/>
      <c r="I80" s="209"/>
      <c r="J80" s="209"/>
      <c r="K80" s="209"/>
      <c r="L80" s="209"/>
    </row>
    <row r="81" spans="1:20">
      <c r="A81" s="209"/>
      <c r="B81" s="220" t="s">
        <v>623</v>
      </c>
      <c r="C81" s="209" t="s">
        <v>679</v>
      </c>
      <c r="D81" s="209"/>
      <c r="E81" s="209"/>
      <c r="F81" s="209"/>
      <c r="G81" s="209"/>
      <c r="H81" s="209"/>
      <c r="I81" s="209"/>
      <c r="J81" s="209"/>
      <c r="K81" s="209"/>
      <c r="L81" s="209"/>
    </row>
    <row r="82" spans="1:20">
      <c r="A82" s="209"/>
      <c r="B82" s="220" t="s">
        <v>624</v>
      </c>
      <c r="C82" s="209" t="s">
        <v>680</v>
      </c>
      <c r="D82" s="209"/>
      <c r="E82" s="209"/>
      <c r="F82" s="209"/>
      <c r="G82" s="209"/>
      <c r="H82" s="209"/>
      <c r="I82" s="209"/>
      <c r="J82" s="209"/>
      <c r="K82" s="209"/>
      <c r="L82" s="209"/>
    </row>
    <row r="83" spans="1:20">
      <c r="A83" s="209"/>
      <c r="B83" s="220" t="s">
        <v>625</v>
      </c>
      <c r="C83" t="s">
        <v>681</v>
      </c>
      <c r="E83" s="209"/>
      <c r="F83" s="209"/>
      <c r="G83" s="209"/>
      <c r="H83" s="209"/>
      <c r="I83" s="209"/>
      <c r="J83" s="209"/>
      <c r="K83" s="209"/>
      <c r="L83" s="209"/>
    </row>
    <row r="84" spans="1:20">
      <c r="A84" s="209"/>
      <c r="C84" t="s">
        <v>633</v>
      </c>
      <c r="E84" s="209"/>
      <c r="F84" s="209"/>
      <c r="G84" s="209"/>
      <c r="H84" s="209"/>
      <c r="I84" s="209"/>
      <c r="J84" s="209"/>
      <c r="K84" s="209"/>
      <c r="L84" s="209"/>
    </row>
    <row r="85" spans="1:20">
      <c r="A85" s="209"/>
      <c r="B85" s="220" t="s">
        <v>626</v>
      </c>
      <c r="C85" t="s">
        <v>630</v>
      </c>
      <c r="E85" s="209"/>
      <c r="F85" s="209"/>
      <c r="G85" s="209"/>
      <c r="H85" s="209"/>
      <c r="I85" s="209"/>
      <c r="J85" s="217"/>
      <c r="K85" s="209"/>
      <c r="L85" s="209"/>
    </row>
    <row r="86" spans="1:20">
      <c r="A86" s="209"/>
      <c r="B86" s="220" t="s">
        <v>627</v>
      </c>
      <c r="C86" t="s">
        <v>632</v>
      </c>
      <c r="E86" s="209"/>
      <c r="F86" s="209"/>
      <c r="G86" s="209"/>
      <c r="H86" s="209"/>
      <c r="I86" s="209"/>
      <c r="J86" s="217"/>
      <c r="K86" s="209"/>
      <c r="L86" s="209"/>
    </row>
    <row r="87" spans="1:20">
      <c r="A87" s="209"/>
      <c r="C87" s="31" t="s">
        <v>677</v>
      </c>
      <c r="E87" s="209"/>
      <c r="F87" s="209"/>
      <c r="G87" s="209"/>
      <c r="H87" s="216">
        <v>1</v>
      </c>
      <c r="I87" s="218">
        <v>2</v>
      </c>
      <c r="J87" s="218">
        <v>3</v>
      </c>
      <c r="K87" s="209"/>
      <c r="L87" s="209"/>
      <c r="T87" s="31"/>
    </row>
    <row r="88" spans="1:20">
      <c r="A88" s="209"/>
      <c r="C88" s="31"/>
      <c r="E88" s="209"/>
      <c r="F88" s="209"/>
      <c r="G88" s="209"/>
      <c r="H88" s="209"/>
      <c r="I88" s="209"/>
      <c r="J88" s="209"/>
      <c r="K88" s="209"/>
      <c r="L88" s="209"/>
      <c r="T88" s="31"/>
    </row>
    <row r="89" spans="1:20">
      <c r="A89" s="209"/>
      <c r="C89" s="31"/>
      <c r="E89" s="209"/>
      <c r="F89" s="209"/>
      <c r="G89" s="209"/>
      <c r="H89" s="209"/>
      <c r="I89" s="209"/>
      <c r="J89" s="217"/>
      <c r="K89" s="209"/>
      <c r="L89" s="209"/>
      <c r="T89" s="31"/>
    </row>
    <row r="90" spans="1:20">
      <c r="A90" s="209"/>
      <c r="C90" s="31"/>
      <c r="E90" s="209"/>
      <c r="F90" s="209"/>
      <c r="G90" s="209"/>
      <c r="H90" s="209"/>
      <c r="I90" s="209"/>
      <c r="J90" s="217"/>
      <c r="K90" s="209"/>
      <c r="L90" s="209"/>
      <c r="T90" s="31"/>
    </row>
    <row r="91" spans="1:20">
      <c r="A91" s="209"/>
      <c r="C91" s="31"/>
      <c r="E91" s="209"/>
      <c r="F91" s="209"/>
      <c r="G91" s="209"/>
      <c r="H91" s="209"/>
      <c r="I91" s="209"/>
      <c r="J91" s="217"/>
      <c r="K91" s="209"/>
      <c r="L91" s="209"/>
      <c r="T91" s="31"/>
    </row>
    <row r="92" spans="1:20">
      <c r="A92" s="209"/>
      <c r="C92" s="31"/>
      <c r="E92" s="209"/>
      <c r="F92" s="209"/>
      <c r="G92" s="209"/>
      <c r="H92" s="209"/>
      <c r="I92" s="209"/>
      <c r="J92" s="217"/>
      <c r="K92" s="209"/>
      <c r="L92" s="209"/>
      <c r="T92" s="31"/>
    </row>
    <row r="93" spans="1:20">
      <c r="A93" s="209"/>
      <c r="C93" s="31"/>
      <c r="E93" s="209"/>
      <c r="F93" s="209"/>
      <c r="G93" s="209"/>
      <c r="H93" s="209"/>
      <c r="I93" s="209"/>
      <c r="J93" s="217"/>
      <c r="K93" s="209"/>
      <c r="L93" s="209"/>
      <c r="T93" s="31"/>
    </row>
    <row r="94" spans="1:20">
      <c r="A94" s="209"/>
      <c r="C94" s="31"/>
      <c r="E94" s="209"/>
      <c r="F94" s="209"/>
      <c r="G94" s="209"/>
      <c r="H94" s="209"/>
      <c r="I94" s="209"/>
      <c r="J94" s="217"/>
      <c r="K94" s="209"/>
      <c r="L94" s="209"/>
      <c r="T94" s="31"/>
    </row>
    <row r="95" spans="1:20">
      <c r="A95" s="209"/>
      <c r="C95" s="31"/>
      <c r="E95" s="209"/>
      <c r="F95" s="209"/>
      <c r="G95" s="209"/>
      <c r="H95" s="209"/>
      <c r="I95" s="209"/>
      <c r="J95" s="217"/>
      <c r="K95" s="209"/>
      <c r="L95" s="209"/>
      <c r="T95" s="31"/>
    </row>
    <row r="96" spans="1:20">
      <c r="A96" s="209"/>
      <c r="C96" s="31"/>
      <c r="E96" s="209"/>
      <c r="F96" s="209"/>
      <c r="G96" s="209"/>
      <c r="H96" s="209"/>
      <c r="I96" s="209"/>
      <c r="J96" s="217"/>
      <c r="K96" s="209"/>
      <c r="L96" s="209"/>
      <c r="T96" s="31"/>
    </row>
    <row r="97" spans="1:20">
      <c r="A97" s="209"/>
      <c r="C97" s="31"/>
      <c r="E97" s="209"/>
      <c r="F97" s="209"/>
      <c r="G97" s="209"/>
      <c r="H97" s="209"/>
      <c r="I97" s="209"/>
      <c r="J97" s="217"/>
      <c r="K97" s="209"/>
      <c r="L97" s="209"/>
      <c r="T97" s="31"/>
    </row>
    <row r="98" spans="1:20">
      <c r="A98" s="209"/>
      <c r="C98" s="31"/>
      <c r="E98" s="209"/>
      <c r="F98" s="209"/>
      <c r="G98" s="209"/>
      <c r="H98" s="209"/>
      <c r="I98" s="209"/>
      <c r="J98" s="217"/>
      <c r="K98" s="209"/>
      <c r="L98" s="209"/>
      <c r="T98" s="31"/>
    </row>
    <row r="99" spans="1:20">
      <c r="A99" s="209"/>
      <c r="C99" s="31"/>
      <c r="E99" s="209"/>
      <c r="F99" s="209"/>
      <c r="G99" s="209"/>
      <c r="H99" s="209"/>
      <c r="I99" s="209"/>
      <c r="J99" s="217"/>
      <c r="K99" s="209"/>
      <c r="L99" s="209"/>
      <c r="T99" s="31"/>
    </row>
    <row r="100" spans="1:20">
      <c r="A100" s="209"/>
      <c r="C100" s="31"/>
      <c r="E100" s="209"/>
      <c r="F100" s="209"/>
      <c r="G100" s="209"/>
      <c r="H100" s="209"/>
      <c r="I100" s="209"/>
      <c r="J100" s="217"/>
      <c r="K100" s="209"/>
      <c r="L100" s="209"/>
      <c r="T100" s="31"/>
    </row>
    <row r="101" spans="1:20">
      <c r="A101" s="209"/>
      <c r="C101" s="31"/>
      <c r="E101" s="209"/>
      <c r="F101" s="209"/>
      <c r="G101" s="209"/>
      <c r="H101" s="209"/>
      <c r="I101" s="209"/>
      <c r="J101" s="217"/>
      <c r="K101" s="209"/>
      <c r="L101" s="209"/>
      <c r="T101" s="31"/>
    </row>
    <row r="102" spans="1:20">
      <c r="A102" s="209"/>
      <c r="C102" s="31"/>
      <c r="E102" s="209"/>
      <c r="F102" s="209"/>
      <c r="G102" s="209"/>
      <c r="H102" s="209"/>
      <c r="I102" s="209"/>
      <c r="J102" s="217"/>
      <c r="K102" s="209"/>
      <c r="L102" s="209"/>
      <c r="T102" s="31"/>
    </row>
    <row r="103" spans="1:20">
      <c r="A103" s="209"/>
      <c r="C103" s="31"/>
      <c r="E103" s="209"/>
      <c r="F103" s="209"/>
      <c r="G103" s="209"/>
      <c r="H103" s="209"/>
      <c r="I103" s="209"/>
      <c r="J103" s="217"/>
      <c r="K103" s="209"/>
      <c r="L103" s="209"/>
      <c r="T103" s="31"/>
    </row>
    <row r="104" spans="1:20" ht="18" customHeight="1">
      <c r="A104" s="209"/>
      <c r="C104" s="31"/>
      <c r="E104" s="209"/>
      <c r="F104" s="209"/>
      <c r="G104" s="209"/>
      <c r="H104" s="209"/>
      <c r="I104" s="209"/>
      <c r="J104" s="217"/>
      <c r="K104" s="209"/>
      <c r="L104" s="209"/>
      <c r="T104" s="31"/>
    </row>
    <row r="105" spans="1:20">
      <c r="A105" s="209"/>
      <c r="E105" s="209"/>
      <c r="F105" s="209"/>
      <c r="G105" s="209"/>
      <c r="H105" s="209"/>
      <c r="I105" s="209"/>
      <c r="J105" s="217"/>
      <c r="K105" s="209"/>
      <c r="L105" s="209"/>
      <c r="T105" s="31"/>
    </row>
    <row r="106" spans="1:20">
      <c r="A106" s="209"/>
      <c r="E106" s="209"/>
      <c r="F106" s="209"/>
      <c r="G106" s="209"/>
      <c r="H106" s="209"/>
      <c r="I106" s="209"/>
      <c r="J106" s="217"/>
      <c r="K106" s="209"/>
      <c r="L106" s="209"/>
      <c r="T106" s="31"/>
    </row>
    <row r="107" spans="1:20" hidden="1">
      <c r="A107" s="209"/>
      <c r="C107" s="31"/>
      <c r="E107" s="209"/>
      <c r="F107" s="209"/>
      <c r="G107" s="209"/>
      <c r="H107" s="209"/>
      <c r="I107" s="209"/>
      <c r="J107" s="217"/>
      <c r="K107" s="209"/>
      <c r="L107" s="209"/>
      <c r="T107" s="31"/>
    </row>
    <row r="108" spans="1:20" hidden="1">
      <c r="A108" s="209"/>
      <c r="C108" s="31"/>
      <c r="E108" s="209"/>
      <c r="F108" s="209"/>
      <c r="G108" s="209"/>
      <c r="H108" s="209"/>
      <c r="I108" s="209"/>
      <c r="J108" s="217"/>
      <c r="K108" s="209"/>
      <c r="L108" s="209"/>
      <c r="T108" s="31"/>
    </row>
    <row r="109" spans="1:20" hidden="1">
      <c r="A109" s="209"/>
      <c r="C109" s="31"/>
      <c r="E109" s="209"/>
      <c r="F109" s="209"/>
      <c r="G109" s="209"/>
      <c r="H109" s="209"/>
      <c r="I109" s="209"/>
      <c r="J109" s="217"/>
      <c r="K109" s="209"/>
      <c r="L109" s="209"/>
      <c r="T109" s="31"/>
    </row>
    <row r="110" spans="1:20" hidden="1">
      <c r="A110" s="209"/>
      <c r="C110" s="31"/>
      <c r="E110" s="209"/>
      <c r="F110" s="209"/>
      <c r="G110" s="209"/>
      <c r="H110" s="209"/>
      <c r="I110" s="209"/>
      <c r="J110" s="217"/>
      <c r="K110" s="209"/>
      <c r="L110" s="209"/>
      <c r="T110" s="31"/>
    </row>
    <row r="111" spans="1:20" hidden="1">
      <c r="A111" s="209"/>
      <c r="C111" s="31"/>
      <c r="E111" s="209"/>
      <c r="F111" s="209"/>
      <c r="G111" s="209"/>
      <c r="H111" s="209"/>
      <c r="I111" s="209"/>
      <c r="J111" s="217"/>
      <c r="K111" s="209"/>
      <c r="L111" s="209"/>
      <c r="T111" s="31"/>
    </row>
    <row r="112" spans="1:20" ht="21" hidden="1">
      <c r="A112" s="208"/>
      <c r="B112" s="209"/>
      <c r="C112" s="209"/>
      <c r="D112" s="209"/>
      <c r="E112" s="209"/>
      <c r="F112" s="209"/>
      <c r="G112" s="209"/>
      <c r="H112" s="209"/>
      <c r="I112" s="209"/>
      <c r="J112" s="209"/>
      <c r="K112" s="209"/>
      <c r="L112" s="209"/>
      <c r="M112" s="209"/>
      <c r="N112" s="209"/>
      <c r="O112" s="209"/>
      <c r="R112" s="41"/>
    </row>
    <row r="113" spans="1:15" hidden="1">
      <c r="A113" s="209"/>
      <c r="B113" s="209"/>
      <c r="C113" s="209"/>
      <c r="D113" s="209"/>
      <c r="E113" s="209"/>
      <c r="F113" s="209"/>
      <c r="G113" s="209"/>
      <c r="H113" s="209"/>
      <c r="I113" s="209"/>
      <c r="J113" s="209"/>
      <c r="K113" s="209"/>
      <c r="L113" s="209"/>
      <c r="M113" s="209"/>
      <c r="N113" s="209"/>
      <c r="O113" s="209"/>
    </row>
    <row r="114" spans="1:15" hidden="1">
      <c r="A114" s="209"/>
      <c r="B114" s="220"/>
      <c r="C114" s="209"/>
      <c r="D114" s="209"/>
      <c r="E114" s="209"/>
      <c r="F114" s="209"/>
      <c r="G114" s="209"/>
      <c r="H114" s="209"/>
      <c r="I114" s="209"/>
      <c r="J114" s="209"/>
      <c r="K114" s="209"/>
      <c r="L114" s="209"/>
      <c r="M114" s="209"/>
      <c r="N114" s="209"/>
      <c r="O114" s="209"/>
    </row>
    <row r="115" spans="1:15" hidden="1">
      <c r="A115" s="209"/>
      <c r="B115" s="220"/>
      <c r="C115" s="209"/>
      <c r="D115" s="209"/>
      <c r="E115" s="209"/>
      <c r="F115" s="209"/>
      <c r="G115" s="209"/>
      <c r="H115" s="209"/>
      <c r="I115" s="209"/>
      <c r="J115" s="209"/>
      <c r="K115" s="209"/>
      <c r="L115" s="209"/>
      <c r="M115" s="209"/>
      <c r="N115" s="209"/>
      <c r="O115" s="209"/>
    </row>
    <row r="116" spans="1:15" hidden="1">
      <c r="A116" s="209"/>
      <c r="B116" s="220"/>
      <c r="C116" s="209"/>
      <c r="D116" s="209"/>
      <c r="E116" s="209"/>
      <c r="F116" s="209"/>
      <c r="G116" s="209"/>
      <c r="H116" s="209"/>
      <c r="I116" s="209"/>
      <c r="J116" s="209"/>
      <c r="K116" s="209"/>
      <c r="L116" s="209"/>
      <c r="M116" s="209"/>
      <c r="N116" s="209"/>
      <c r="O116" s="209"/>
    </row>
    <row r="117" spans="1:15" hidden="1">
      <c r="A117" s="209"/>
      <c r="B117" s="209"/>
      <c r="C117" s="209"/>
      <c r="D117" s="209"/>
      <c r="E117" s="209"/>
      <c r="F117" s="209"/>
      <c r="G117" s="209"/>
      <c r="H117" s="209"/>
      <c r="I117" s="209"/>
      <c r="J117" s="214"/>
      <c r="K117" s="209"/>
      <c r="L117" s="209"/>
    </row>
    <row r="118" spans="1:15" hidden="1">
      <c r="A118" s="209"/>
      <c r="B118" s="209"/>
      <c r="C118" s="209"/>
      <c r="D118" s="209"/>
      <c r="E118" s="209"/>
      <c r="F118" s="209"/>
      <c r="G118" s="209"/>
      <c r="H118" s="209"/>
      <c r="I118" s="209"/>
      <c r="J118" s="214"/>
      <c r="K118" s="209"/>
      <c r="L118" s="209"/>
    </row>
    <row r="119" spans="1:15" hidden="1">
      <c r="A119" s="209"/>
      <c r="B119" s="209"/>
      <c r="C119" s="209"/>
      <c r="D119" s="209"/>
      <c r="E119" s="209"/>
      <c r="F119" s="209"/>
      <c r="G119" s="209"/>
      <c r="H119" s="209"/>
      <c r="I119" s="209"/>
      <c r="J119" s="214"/>
      <c r="K119" s="209"/>
      <c r="L119" s="209"/>
    </row>
    <row r="120" spans="1:15" hidden="1">
      <c r="A120" s="209"/>
      <c r="B120" s="209"/>
      <c r="C120" s="209"/>
      <c r="D120" s="209"/>
      <c r="E120" s="209"/>
      <c r="F120" s="209"/>
      <c r="G120" s="209"/>
      <c r="H120" s="209"/>
      <c r="I120" s="209"/>
      <c r="J120" s="214"/>
      <c r="K120" s="209"/>
      <c r="L120" s="209"/>
    </row>
    <row r="121" spans="1:15" hidden="1">
      <c r="A121" s="209"/>
      <c r="B121" s="209"/>
      <c r="C121" s="209"/>
      <c r="D121" s="209"/>
      <c r="E121" s="209"/>
      <c r="F121" s="209"/>
      <c r="G121" s="209"/>
      <c r="H121" s="209"/>
      <c r="I121" s="209"/>
      <c r="J121" s="214"/>
      <c r="K121" s="209"/>
      <c r="L121" s="209"/>
    </row>
    <row r="122" spans="1:15" hidden="1">
      <c r="A122" s="209"/>
      <c r="B122" s="209"/>
      <c r="C122" s="209"/>
      <c r="D122" s="209"/>
      <c r="E122" s="209"/>
      <c r="F122" s="209"/>
      <c r="G122" s="209"/>
      <c r="H122" s="209"/>
      <c r="I122" s="209"/>
      <c r="J122" s="214"/>
      <c r="K122" s="209"/>
      <c r="L122" s="209"/>
    </row>
    <row r="123" spans="1:15" hidden="1">
      <c r="A123" s="209"/>
      <c r="B123" s="209"/>
      <c r="C123" s="209"/>
      <c r="D123" s="209"/>
      <c r="E123" s="209"/>
      <c r="F123" s="209"/>
      <c r="G123" s="209"/>
      <c r="H123" s="209"/>
      <c r="I123" s="209"/>
      <c r="J123" s="214"/>
      <c r="K123" s="209"/>
      <c r="L123" s="209"/>
    </row>
    <row r="124" spans="1:15" hidden="1">
      <c r="A124" s="209"/>
      <c r="B124" s="209"/>
      <c r="C124" s="209"/>
      <c r="D124" s="209"/>
      <c r="E124" s="209"/>
      <c r="F124" s="209"/>
      <c r="G124" s="209"/>
      <c r="H124" s="209"/>
      <c r="I124" s="209"/>
      <c r="J124" s="214"/>
      <c r="K124" s="209"/>
      <c r="L124" s="209"/>
    </row>
    <row r="125" spans="1:15" hidden="1">
      <c r="A125" s="209"/>
      <c r="B125" s="209"/>
      <c r="C125" s="209"/>
      <c r="D125" s="209"/>
      <c r="E125" s="209"/>
      <c r="F125" s="209"/>
      <c r="G125" s="209"/>
      <c r="H125" s="209"/>
      <c r="I125" s="209"/>
      <c r="J125" s="214"/>
      <c r="K125" s="209"/>
      <c r="L125" s="209"/>
    </row>
    <row r="126" spans="1:15" hidden="1">
      <c r="A126" s="209"/>
      <c r="B126" s="209"/>
      <c r="C126" s="209"/>
      <c r="D126" s="209"/>
      <c r="E126" s="209"/>
      <c r="F126" s="209"/>
      <c r="G126" s="209"/>
      <c r="H126" s="209"/>
      <c r="I126" s="209"/>
      <c r="J126" s="214"/>
      <c r="K126" s="209"/>
      <c r="L126" s="209"/>
    </row>
    <row r="127" spans="1:15" hidden="1">
      <c r="A127" s="209"/>
      <c r="B127" s="209"/>
      <c r="C127" s="209"/>
      <c r="D127" s="209"/>
      <c r="E127" s="209"/>
      <c r="F127" s="209"/>
      <c r="G127" s="209"/>
      <c r="H127" s="209"/>
      <c r="I127" s="209"/>
      <c r="J127" s="214"/>
      <c r="K127" s="209"/>
      <c r="L127" s="209"/>
    </row>
    <row r="128" spans="1:15" hidden="1">
      <c r="A128" s="209"/>
      <c r="B128" s="209"/>
      <c r="C128" s="209"/>
      <c r="D128" s="209"/>
      <c r="E128" s="209"/>
      <c r="F128" s="209"/>
      <c r="G128" s="209"/>
      <c r="H128" s="209"/>
      <c r="I128" s="209"/>
      <c r="J128" s="214"/>
      <c r="K128" s="209"/>
      <c r="L128" s="209"/>
    </row>
    <row r="129" spans="1:12" hidden="1">
      <c r="A129" s="209"/>
      <c r="B129" s="209"/>
      <c r="C129" s="209"/>
      <c r="D129" s="209"/>
      <c r="E129" s="209"/>
      <c r="F129" s="209"/>
      <c r="G129" s="209"/>
      <c r="H129" s="209"/>
      <c r="I129" s="209"/>
      <c r="J129" s="214"/>
      <c r="K129" s="209"/>
      <c r="L129" s="209"/>
    </row>
    <row r="130" spans="1:12" hidden="1">
      <c r="A130" s="209"/>
      <c r="B130" s="209"/>
      <c r="C130" s="209"/>
      <c r="D130" s="209"/>
      <c r="E130" s="209"/>
      <c r="F130" s="209"/>
      <c r="G130" s="209"/>
      <c r="H130" s="209"/>
      <c r="I130" s="209"/>
      <c r="J130" s="214"/>
      <c r="K130" s="209"/>
      <c r="L130" s="209"/>
    </row>
    <row r="131" spans="1:12" hidden="1">
      <c r="A131" s="209"/>
      <c r="B131" s="209"/>
      <c r="C131" s="209"/>
      <c r="D131" s="209"/>
      <c r="E131" s="209"/>
      <c r="F131" s="209"/>
      <c r="G131" s="209"/>
      <c r="H131" s="209"/>
      <c r="I131" s="209"/>
      <c r="J131" s="214"/>
      <c r="K131" s="209"/>
      <c r="L131" s="209"/>
    </row>
    <row r="132" spans="1:12" hidden="1">
      <c r="A132" s="209"/>
      <c r="B132" s="209"/>
      <c r="C132" s="209"/>
      <c r="D132" s="209"/>
      <c r="E132" s="209"/>
      <c r="F132" s="209"/>
      <c r="G132" s="209"/>
      <c r="H132" s="209"/>
      <c r="I132" s="209"/>
      <c r="J132" s="214"/>
      <c r="K132" s="209"/>
      <c r="L132" s="209"/>
    </row>
    <row r="133" spans="1:12" hidden="1">
      <c r="A133" s="209"/>
      <c r="B133" s="209"/>
      <c r="C133" s="209"/>
      <c r="D133" s="209"/>
      <c r="E133" s="209"/>
      <c r="F133" s="209"/>
      <c r="G133" s="209"/>
      <c r="H133" s="209"/>
      <c r="I133" s="209"/>
      <c r="J133" s="214"/>
      <c r="K133" s="209"/>
      <c r="L133" s="209"/>
    </row>
    <row r="134" spans="1:12" hidden="1">
      <c r="A134" s="209"/>
      <c r="B134" s="209"/>
      <c r="C134" s="209"/>
      <c r="D134" s="209"/>
      <c r="E134" s="209"/>
      <c r="F134" s="209"/>
      <c r="G134" s="209"/>
      <c r="H134" s="209"/>
      <c r="I134" s="209"/>
      <c r="J134" s="214"/>
      <c r="K134" s="209"/>
      <c r="L134" s="209"/>
    </row>
    <row r="135" spans="1:12" hidden="1">
      <c r="A135" s="209"/>
      <c r="B135" s="209"/>
      <c r="C135" s="209"/>
      <c r="D135" s="209"/>
      <c r="E135" s="209"/>
      <c r="F135" s="209"/>
      <c r="G135" s="209"/>
      <c r="H135" s="209"/>
      <c r="I135" s="209"/>
      <c r="J135" s="214"/>
      <c r="K135" s="209"/>
      <c r="L135" s="209"/>
    </row>
    <row r="136" spans="1:12" hidden="1">
      <c r="A136" s="209"/>
      <c r="B136" s="209"/>
      <c r="C136" s="209"/>
      <c r="D136" s="209"/>
      <c r="E136" s="209"/>
      <c r="F136" s="209"/>
      <c r="G136" s="209"/>
      <c r="H136" s="209"/>
      <c r="I136" s="209"/>
      <c r="J136" s="214"/>
      <c r="K136" s="209"/>
      <c r="L136" s="209"/>
    </row>
    <row r="137" spans="1:12" hidden="1">
      <c r="A137" s="209"/>
      <c r="B137" s="209"/>
      <c r="C137" s="209"/>
      <c r="D137" s="209"/>
      <c r="E137" s="209"/>
      <c r="F137" s="209"/>
      <c r="G137" s="209"/>
      <c r="H137" s="209"/>
      <c r="I137" s="209"/>
      <c r="J137" s="214"/>
      <c r="K137" s="209"/>
      <c r="L137" s="209"/>
    </row>
    <row r="138" spans="1:12" hidden="1">
      <c r="A138" s="209"/>
      <c r="B138" s="209"/>
      <c r="C138" s="209"/>
      <c r="D138" s="209"/>
      <c r="E138" s="209"/>
      <c r="F138" s="209"/>
      <c r="G138" s="209"/>
      <c r="H138" s="209"/>
      <c r="I138" s="209"/>
      <c r="J138" s="214"/>
      <c r="K138" s="209"/>
      <c r="L138" s="209"/>
    </row>
    <row r="139" spans="1:12" hidden="1">
      <c r="A139" s="209"/>
      <c r="B139" s="209"/>
      <c r="C139" s="209"/>
      <c r="D139" s="209"/>
      <c r="E139" s="209"/>
      <c r="F139" s="209"/>
      <c r="G139" s="209"/>
      <c r="H139" s="209"/>
      <c r="I139" s="209"/>
      <c r="J139" s="214"/>
      <c r="K139" s="209"/>
      <c r="L139" s="209"/>
    </row>
    <row r="140" spans="1:12" hidden="1">
      <c r="A140" s="209"/>
      <c r="B140" s="209"/>
      <c r="C140" s="209"/>
      <c r="D140" s="209"/>
      <c r="E140" s="209"/>
      <c r="F140" s="209"/>
      <c r="G140" s="209"/>
      <c r="H140" s="209"/>
      <c r="I140" s="209"/>
      <c r="J140" s="214"/>
      <c r="K140" s="209"/>
      <c r="L140" s="209"/>
    </row>
    <row r="141" spans="1:12" hidden="1">
      <c r="A141" s="209"/>
      <c r="B141" s="209"/>
      <c r="C141" s="209"/>
      <c r="D141" s="209"/>
      <c r="E141" s="209"/>
      <c r="F141" s="209"/>
      <c r="G141" s="209"/>
      <c r="H141" s="209"/>
      <c r="I141" s="209"/>
      <c r="J141" s="214"/>
      <c r="K141" s="209"/>
      <c r="L141" s="209"/>
    </row>
    <row r="142" spans="1:12" hidden="1">
      <c r="A142" s="209"/>
      <c r="B142" s="209"/>
      <c r="C142" s="209"/>
      <c r="D142" s="209"/>
      <c r="E142" s="209"/>
      <c r="F142" s="209"/>
      <c r="G142" s="209"/>
      <c r="H142" s="209"/>
      <c r="I142" s="209"/>
      <c r="J142" s="214"/>
      <c r="K142" s="209"/>
      <c r="L142" s="209"/>
    </row>
    <row r="143" spans="1:12" hidden="1">
      <c r="A143" s="209"/>
      <c r="B143" s="209"/>
      <c r="C143" s="209"/>
      <c r="D143" s="209"/>
      <c r="E143" s="209"/>
      <c r="F143" s="209"/>
      <c r="G143" s="209"/>
      <c r="H143" s="209"/>
      <c r="I143" s="209"/>
      <c r="J143" s="214"/>
      <c r="K143" s="209"/>
      <c r="L143" s="209"/>
    </row>
    <row r="144" spans="1:12" hidden="1">
      <c r="A144" s="209"/>
      <c r="B144" s="209"/>
      <c r="C144" s="209"/>
      <c r="D144" s="209"/>
      <c r="E144" s="209"/>
      <c r="F144" s="209"/>
      <c r="G144" s="209"/>
      <c r="H144" s="209"/>
      <c r="I144" s="209"/>
      <c r="J144" s="214"/>
      <c r="K144" s="209"/>
      <c r="L144" s="209"/>
    </row>
    <row r="145" spans="1:12" hidden="1">
      <c r="A145" s="209"/>
      <c r="B145" s="209"/>
      <c r="C145" s="209"/>
      <c r="D145" s="209"/>
      <c r="E145" s="209"/>
      <c r="F145" s="209"/>
      <c r="G145" s="209"/>
      <c r="H145" s="209"/>
      <c r="I145" s="209"/>
      <c r="J145" s="214"/>
      <c r="K145" s="209"/>
      <c r="L145" s="209"/>
    </row>
    <row r="146" spans="1:12" hidden="1">
      <c r="A146" s="209"/>
      <c r="B146" s="209"/>
      <c r="C146" s="209"/>
      <c r="D146" s="209"/>
      <c r="E146" s="209"/>
      <c r="F146" s="209"/>
      <c r="G146" s="209"/>
      <c r="H146" s="209"/>
      <c r="I146" s="209"/>
      <c r="J146" s="214"/>
      <c r="K146" s="209"/>
      <c r="L146" s="209"/>
    </row>
    <row r="147" spans="1:12" hidden="1">
      <c r="A147" s="209"/>
      <c r="B147" s="209"/>
      <c r="C147" s="209"/>
      <c r="D147" s="209"/>
      <c r="E147" s="209"/>
      <c r="F147" s="209"/>
      <c r="G147" s="209"/>
      <c r="H147" s="209"/>
      <c r="I147" s="209"/>
      <c r="J147" s="214"/>
      <c r="K147" s="209"/>
      <c r="L147" s="209"/>
    </row>
    <row r="148" spans="1:12" hidden="1">
      <c r="A148" s="209"/>
      <c r="B148" s="209"/>
      <c r="C148" s="209"/>
      <c r="D148" s="209"/>
      <c r="E148" s="209"/>
      <c r="F148" s="209"/>
      <c r="G148" s="209"/>
      <c r="H148" s="209"/>
      <c r="I148" s="209"/>
      <c r="J148" s="214"/>
      <c r="K148" s="209"/>
      <c r="L148" s="209"/>
    </row>
    <row r="149" spans="1:12" hidden="1">
      <c r="A149" s="209"/>
      <c r="B149" s="209"/>
      <c r="C149" s="209"/>
      <c r="D149" s="209"/>
      <c r="E149" s="209"/>
      <c r="F149" s="209"/>
      <c r="G149" s="209"/>
      <c r="H149" s="209"/>
      <c r="I149" s="209"/>
      <c r="J149" s="214"/>
      <c r="K149" s="209"/>
      <c r="L149" s="209"/>
    </row>
    <row r="150" spans="1:12" hidden="1">
      <c r="A150" s="209"/>
      <c r="B150" s="209"/>
      <c r="C150" s="209"/>
      <c r="D150" s="209"/>
      <c r="E150" s="209"/>
      <c r="F150" s="209"/>
      <c r="G150" s="209"/>
      <c r="H150" s="209"/>
      <c r="I150" s="209"/>
      <c r="J150" s="214"/>
      <c r="K150" s="209"/>
      <c r="L150" s="209"/>
    </row>
    <row r="151" spans="1:12" hidden="1">
      <c r="A151" s="209"/>
      <c r="B151" s="209"/>
      <c r="C151" s="209"/>
      <c r="D151" s="209"/>
      <c r="E151" s="209"/>
      <c r="F151" s="209"/>
      <c r="G151" s="209"/>
      <c r="H151" s="209"/>
      <c r="I151" s="209"/>
      <c r="J151" s="209"/>
      <c r="K151" s="209"/>
      <c r="L151" s="209"/>
    </row>
    <row r="152" spans="1:12" hidden="1">
      <c r="A152" s="209"/>
      <c r="B152" s="209"/>
      <c r="C152" s="209"/>
      <c r="D152" s="209"/>
      <c r="E152" s="209"/>
      <c r="F152" s="209"/>
      <c r="G152" s="209"/>
      <c r="H152" s="209"/>
      <c r="I152" s="209"/>
      <c r="J152" s="209"/>
      <c r="K152" s="209"/>
      <c r="L152" s="209"/>
    </row>
    <row r="153" spans="1:12" hidden="1">
      <c r="A153" s="209"/>
      <c r="B153" s="209"/>
      <c r="C153" s="209"/>
      <c r="D153" s="209"/>
      <c r="E153" s="209"/>
      <c r="F153" s="209"/>
      <c r="G153" s="209"/>
      <c r="H153" s="209"/>
      <c r="I153" s="209"/>
      <c r="J153" s="209"/>
      <c r="K153" s="209"/>
      <c r="L153" s="209"/>
    </row>
    <row r="154" spans="1:12" hidden="1">
      <c r="A154" s="209"/>
      <c r="B154" s="209"/>
      <c r="C154" s="209"/>
      <c r="D154" s="209"/>
      <c r="E154" s="209"/>
      <c r="F154" s="209"/>
      <c r="G154" s="209"/>
      <c r="H154" s="209"/>
      <c r="I154" s="209"/>
      <c r="J154" s="209"/>
      <c r="K154" s="209"/>
      <c r="L154" s="209"/>
    </row>
    <row r="155" spans="1:12" hidden="1">
      <c r="A155" s="209"/>
      <c r="B155" s="220"/>
      <c r="C155" s="211"/>
      <c r="D155" s="209"/>
      <c r="E155" s="209"/>
      <c r="F155" s="209"/>
      <c r="G155" s="209"/>
      <c r="H155" s="209"/>
      <c r="I155" s="209"/>
      <c r="J155" s="209"/>
      <c r="K155" s="209"/>
      <c r="L155" s="209"/>
    </row>
    <row r="156" spans="1:12" hidden="1">
      <c r="A156" s="209"/>
      <c r="B156" s="209"/>
      <c r="C156" s="211"/>
      <c r="D156" s="209"/>
      <c r="E156" s="209"/>
      <c r="F156" s="209"/>
      <c r="G156" s="209"/>
      <c r="H156" s="209"/>
      <c r="I156" s="209"/>
      <c r="J156" s="209"/>
      <c r="K156" s="209"/>
      <c r="L156" s="209"/>
    </row>
    <row r="157" spans="1:12" hidden="1">
      <c r="A157" s="209"/>
      <c r="B157" s="209"/>
      <c r="C157" s="215"/>
      <c r="D157" s="209"/>
      <c r="E157" s="209"/>
      <c r="F157" s="209"/>
      <c r="G157" s="209"/>
      <c r="H157" s="209"/>
      <c r="I157" s="209"/>
      <c r="J157" s="209"/>
      <c r="K157" s="209"/>
      <c r="L157" s="209"/>
    </row>
    <row r="158" spans="1:12" hidden="1">
      <c r="A158" s="209"/>
      <c r="B158" s="209"/>
      <c r="D158" s="209"/>
      <c r="E158" s="209"/>
      <c r="F158" s="209"/>
      <c r="G158" s="209"/>
      <c r="H158" s="209"/>
      <c r="I158" s="209"/>
      <c r="J158" s="209"/>
      <c r="K158" s="209"/>
      <c r="L158" s="209"/>
    </row>
    <row r="159" spans="1:12" hidden="1">
      <c r="A159" s="209"/>
      <c r="B159" s="209"/>
      <c r="C159" s="209"/>
      <c r="D159" s="209"/>
      <c r="E159" s="209"/>
      <c r="F159" s="209"/>
      <c r="G159" s="209"/>
      <c r="H159" s="209"/>
      <c r="I159" s="209"/>
      <c r="J159" s="209"/>
      <c r="K159" s="209"/>
      <c r="L159" s="209"/>
    </row>
    <row r="160" spans="1:12" hidden="1">
      <c r="A160" s="209"/>
      <c r="B160" s="209"/>
      <c r="C160" s="209"/>
      <c r="D160" s="209"/>
      <c r="E160" s="209"/>
      <c r="F160" s="209"/>
      <c r="G160" s="209"/>
      <c r="H160" s="209"/>
      <c r="I160" s="209"/>
      <c r="J160" s="209"/>
      <c r="K160" s="209"/>
      <c r="L160" s="209"/>
    </row>
    <row r="161" spans="1:12" hidden="1">
      <c r="A161" s="209"/>
      <c r="B161" s="209"/>
      <c r="C161" s="209"/>
      <c r="D161" s="209"/>
      <c r="E161" s="209"/>
      <c r="F161" s="209"/>
      <c r="G161" s="209"/>
      <c r="H161" s="209"/>
      <c r="I161" s="209"/>
      <c r="J161" s="209"/>
      <c r="K161" s="209"/>
      <c r="L161" s="209"/>
    </row>
    <row r="162" spans="1:12" hidden="1">
      <c r="A162" s="209"/>
      <c r="B162" s="209"/>
      <c r="C162" s="209"/>
      <c r="D162" s="209"/>
      <c r="E162" s="209"/>
      <c r="F162" s="209"/>
      <c r="G162" s="209"/>
      <c r="H162" s="209"/>
      <c r="I162" s="209"/>
      <c r="J162" s="209"/>
      <c r="K162" s="209"/>
      <c r="L162" s="209"/>
    </row>
    <row r="163" spans="1:12" hidden="1">
      <c r="A163" s="209"/>
      <c r="B163" s="209"/>
      <c r="C163" s="209"/>
      <c r="D163" s="209"/>
      <c r="E163" s="209"/>
      <c r="F163" s="209"/>
      <c r="G163" s="209"/>
      <c r="H163" s="209"/>
      <c r="I163" s="209"/>
      <c r="J163" s="209"/>
      <c r="K163" s="209"/>
      <c r="L163" s="209"/>
    </row>
    <row r="164" spans="1:12" hidden="1">
      <c r="A164" s="209"/>
      <c r="B164" s="209"/>
      <c r="C164" s="209"/>
      <c r="D164" s="209"/>
      <c r="E164" s="209"/>
      <c r="F164" s="209"/>
      <c r="G164" s="209"/>
      <c r="H164" s="209"/>
      <c r="I164" s="209"/>
      <c r="J164" s="209"/>
      <c r="K164" s="209"/>
      <c r="L164" s="209"/>
    </row>
    <row r="165" spans="1:12" hidden="1">
      <c r="A165" s="209"/>
      <c r="B165" s="209"/>
      <c r="C165" s="209"/>
      <c r="D165" s="209"/>
      <c r="E165" s="209"/>
      <c r="F165" s="209"/>
      <c r="G165" s="209"/>
      <c r="H165" s="209"/>
      <c r="I165" s="209"/>
      <c r="J165" s="209"/>
      <c r="K165" s="209"/>
      <c r="L165" s="209"/>
    </row>
    <row r="166" spans="1:12" hidden="1">
      <c r="A166" s="209"/>
      <c r="B166" s="209"/>
      <c r="C166" s="209"/>
      <c r="D166" s="209"/>
      <c r="E166" s="209"/>
      <c r="F166" s="209"/>
      <c r="G166" s="209"/>
      <c r="H166" s="209"/>
      <c r="I166" s="209"/>
      <c r="J166" s="209"/>
      <c r="K166" s="209"/>
      <c r="L166" s="209"/>
    </row>
    <row r="167" spans="1:12" hidden="1">
      <c r="A167" s="209"/>
      <c r="B167" s="209"/>
      <c r="C167" s="209"/>
      <c r="D167" s="209"/>
      <c r="E167" s="209"/>
      <c r="F167" s="209"/>
      <c r="G167" s="209"/>
      <c r="H167" s="209"/>
      <c r="I167" s="209"/>
      <c r="J167" s="209"/>
      <c r="K167" s="209"/>
      <c r="L167" s="209"/>
    </row>
    <row r="168" spans="1:12" hidden="1">
      <c r="A168" s="209"/>
      <c r="B168" s="209"/>
      <c r="C168" s="209"/>
      <c r="D168" s="209"/>
      <c r="E168" s="209"/>
      <c r="F168" s="209"/>
      <c r="G168" s="209"/>
      <c r="H168" s="209"/>
      <c r="I168" s="209"/>
      <c r="J168" s="209"/>
      <c r="K168" s="209"/>
      <c r="L168" s="209"/>
    </row>
    <row r="169" spans="1:12" hidden="1">
      <c r="A169" s="209"/>
      <c r="B169" s="209"/>
      <c r="C169" s="209"/>
      <c r="D169" s="209"/>
      <c r="E169" s="209"/>
      <c r="F169" s="209"/>
      <c r="G169" s="209"/>
      <c r="H169" s="209"/>
      <c r="I169" s="209"/>
      <c r="J169" s="209"/>
      <c r="K169" s="209"/>
      <c r="L169" s="209"/>
    </row>
    <row r="170" spans="1:12" hidden="1">
      <c r="A170" s="209"/>
      <c r="B170" s="209"/>
      <c r="C170" s="209"/>
      <c r="D170" s="209"/>
      <c r="E170" s="209"/>
      <c r="F170" s="209"/>
      <c r="G170" s="209"/>
      <c r="H170" s="209"/>
      <c r="I170" s="209"/>
      <c r="J170" s="209"/>
      <c r="K170" s="209"/>
      <c r="L170" s="209"/>
    </row>
    <row r="171" spans="1:12" hidden="1">
      <c r="A171" s="209"/>
      <c r="B171" s="209"/>
      <c r="C171" s="209"/>
      <c r="D171" s="209"/>
      <c r="E171" s="209"/>
      <c r="F171" s="209"/>
      <c r="G171" s="209"/>
      <c r="H171" s="209"/>
      <c r="I171" s="209"/>
      <c r="J171" s="209"/>
      <c r="K171" s="209"/>
      <c r="L171" s="209"/>
    </row>
    <row r="172" spans="1:12" hidden="1">
      <c r="A172" s="209"/>
      <c r="B172" s="209"/>
      <c r="C172" s="209"/>
      <c r="D172" s="209"/>
      <c r="E172" s="209"/>
      <c r="F172" s="209"/>
      <c r="G172" s="209"/>
      <c r="H172" s="209"/>
      <c r="I172" s="209"/>
      <c r="J172" s="209"/>
      <c r="K172" s="209"/>
      <c r="L172" s="209"/>
    </row>
    <row r="173" spans="1:12" hidden="1">
      <c r="A173" s="209"/>
      <c r="B173" s="209"/>
      <c r="C173" s="209"/>
      <c r="D173" s="209"/>
      <c r="E173" s="209"/>
      <c r="F173" s="209"/>
      <c r="G173" s="209"/>
      <c r="H173" s="209"/>
      <c r="I173" s="209"/>
      <c r="J173" s="209"/>
      <c r="K173" s="209"/>
      <c r="L173" s="209"/>
    </row>
    <row r="174" spans="1:12" hidden="1">
      <c r="A174" s="209"/>
      <c r="B174" s="209"/>
      <c r="C174" s="209"/>
      <c r="D174" s="209"/>
      <c r="E174" s="209"/>
      <c r="F174" s="209"/>
      <c r="G174" s="209"/>
      <c r="H174" s="209"/>
      <c r="I174" s="209"/>
      <c r="J174" s="209"/>
      <c r="K174" s="209"/>
      <c r="L174" s="209"/>
    </row>
    <row r="175" spans="1:12" hidden="1">
      <c r="A175" s="209"/>
      <c r="B175" s="209"/>
      <c r="C175" s="209"/>
      <c r="D175" s="209"/>
      <c r="E175" s="209"/>
      <c r="F175" s="209"/>
      <c r="G175" s="209"/>
      <c r="H175" s="209"/>
      <c r="I175" s="209"/>
      <c r="J175" s="209"/>
      <c r="K175" s="209"/>
      <c r="L175" s="209"/>
    </row>
    <row r="176" spans="1:12" hidden="1">
      <c r="A176" s="209"/>
      <c r="B176" s="209"/>
      <c r="C176" s="209"/>
      <c r="D176" s="209"/>
      <c r="E176" s="209"/>
      <c r="F176" s="209"/>
      <c r="G176" s="209"/>
      <c r="H176" s="209"/>
      <c r="I176" s="209"/>
      <c r="J176" s="209"/>
      <c r="K176" s="209"/>
      <c r="L176" s="209"/>
    </row>
    <row r="177" spans="1:12" hidden="1">
      <c r="A177" s="209"/>
      <c r="B177" s="209"/>
      <c r="C177" s="209"/>
      <c r="D177" s="209"/>
      <c r="E177" s="209"/>
      <c r="F177" s="209"/>
      <c r="G177" s="209"/>
      <c r="H177" s="209"/>
      <c r="I177" s="209"/>
      <c r="J177" s="209"/>
      <c r="K177" s="209"/>
      <c r="L177" s="209"/>
    </row>
    <row r="178" spans="1:12" hidden="1">
      <c r="A178" s="209"/>
      <c r="B178" s="209"/>
      <c r="C178" s="209"/>
      <c r="D178" s="209"/>
      <c r="E178" s="209"/>
      <c r="F178" s="209"/>
      <c r="G178" s="209"/>
      <c r="H178" s="209"/>
      <c r="I178" s="209"/>
      <c r="J178" s="209"/>
      <c r="K178" s="209"/>
      <c r="L178" s="209"/>
    </row>
    <row r="179" spans="1:12" hidden="1">
      <c r="A179" s="209"/>
      <c r="B179" s="209"/>
      <c r="C179" s="209"/>
      <c r="D179" s="209"/>
      <c r="E179" s="209"/>
      <c r="F179" s="209"/>
      <c r="G179" s="209"/>
      <c r="H179" s="209"/>
      <c r="I179" s="209"/>
      <c r="J179" s="209"/>
      <c r="K179" s="209"/>
      <c r="L179" s="209"/>
    </row>
    <row r="180" spans="1:12" hidden="1">
      <c r="A180" s="209"/>
      <c r="B180" s="209"/>
      <c r="C180" s="209"/>
      <c r="D180" s="209"/>
      <c r="E180" s="209"/>
      <c r="F180" s="209"/>
      <c r="G180" s="209"/>
      <c r="H180" s="209"/>
      <c r="I180" s="209"/>
      <c r="J180" s="209"/>
      <c r="K180" s="209"/>
      <c r="L180" s="209"/>
    </row>
    <row r="181" spans="1:12" hidden="1">
      <c r="A181" s="209"/>
      <c r="B181" s="209"/>
      <c r="C181" s="209"/>
      <c r="D181" s="209"/>
      <c r="E181" s="209"/>
      <c r="F181" s="209"/>
      <c r="G181" s="209"/>
      <c r="H181" s="209"/>
      <c r="I181" s="209"/>
      <c r="J181" s="209"/>
      <c r="K181" s="209"/>
      <c r="L181" s="209"/>
    </row>
    <row r="182" spans="1:12" hidden="1">
      <c r="A182" s="209"/>
      <c r="B182" s="209"/>
      <c r="C182" s="209"/>
      <c r="D182" s="209"/>
      <c r="E182" s="209"/>
      <c r="F182" s="209"/>
      <c r="G182" s="209"/>
      <c r="H182" s="209"/>
      <c r="I182" s="209"/>
      <c r="J182" s="209"/>
      <c r="K182" s="209"/>
      <c r="L182" s="209"/>
    </row>
    <row r="183" spans="1:12" hidden="1">
      <c r="A183" s="209"/>
      <c r="B183" s="209"/>
      <c r="C183" s="209"/>
      <c r="D183" s="209"/>
      <c r="E183" s="209"/>
      <c r="F183" s="209"/>
      <c r="G183" s="209"/>
      <c r="H183" s="209"/>
      <c r="I183" s="209"/>
      <c r="J183" s="209"/>
      <c r="K183" s="209"/>
      <c r="L183" s="209"/>
    </row>
    <row r="184" spans="1:12" hidden="1">
      <c r="A184" s="209"/>
      <c r="B184" s="209"/>
      <c r="C184" s="209"/>
      <c r="D184" s="209"/>
      <c r="E184" s="209"/>
      <c r="F184" s="209"/>
      <c r="G184" s="209"/>
      <c r="H184" s="209"/>
      <c r="I184" s="209"/>
      <c r="J184" s="209"/>
      <c r="K184" s="209"/>
      <c r="L184" s="209"/>
    </row>
    <row r="185" spans="1:12" hidden="1">
      <c r="A185" s="209"/>
      <c r="B185" s="209"/>
      <c r="C185" s="209"/>
      <c r="D185" s="209"/>
      <c r="E185" s="209"/>
      <c r="F185" s="209"/>
      <c r="G185" s="209"/>
      <c r="H185" s="209"/>
      <c r="I185" s="209"/>
      <c r="J185" s="209"/>
      <c r="K185" s="209"/>
      <c r="L185" s="209"/>
    </row>
    <row r="186" spans="1:12" hidden="1">
      <c r="A186" s="209"/>
      <c r="B186" s="209"/>
      <c r="C186" s="209"/>
      <c r="D186" s="209"/>
      <c r="E186" s="209"/>
      <c r="F186" s="209"/>
      <c r="G186" s="209"/>
      <c r="H186" s="209"/>
      <c r="I186" s="209"/>
      <c r="J186" s="209"/>
      <c r="K186" s="209"/>
      <c r="L186" s="209"/>
    </row>
    <row r="187" spans="1:12" hidden="1">
      <c r="A187" s="209"/>
      <c r="B187" s="209"/>
      <c r="C187" s="209"/>
      <c r="D187" s="209"/>
      <c r="E187" s="209"/>
      <c r="F187" s="209"/>
      <c r="G187" s="209"/>
      <c r="H187" s="209"/>
      <c r="I187" s="209"/>
      <c r="J187" s="209"/>
      <c r="K187" s="209"/>
      <c r="L187" s="209"/>
    </row>
    <row r="188" spans="1:12" hidden="1">
      <c r="A188" s="209"/>
      <c r="B188" s="209"/>
      <c r="C188" s="209"/>
      <c r="D188" s="209"/>
      <c r="E188" s="209"/>
      <c r="F188" s="209"/>
      <c r="G188" s="209"/>
      <c r="H188" s="209"/>
      <c r="I188" s="209"/>
      <c r="J188" s="209"/>
      <c r="K188" s="209"/>
      <c r="L188" s="209"/>
    </row>
    <row r="189" spans="1:12" hidden="1">
      <c r="A189" s="209"/>
      <c r="B189" s="209"/>
      <c r="C189" s="209"/>
      <c r="D189" s="209"/>
      <c r="E189" s="209"/>
      <c r="F189" s="209"/>
      <c r="G189" s="209"/>
      <c r="H189" s="209"/>
      <c r="I189" s="209"/>
      <c r="J189" s="209"/>
      <c r="K189" s="209"/>
      <c r="L189" s="209"/>
    </row>
    <row r="190" spans="1:12" ht="21" hidden="1">
      <c r="A190" s="208"/>
      <c r="B190" s="209"/>
      <c r="C190" s="209"/>
      <c r="D190" s="209"/>
      <c r="E190" s="209"/>
      <c r="F190" s="209"/>
      <c r="G190" s="209"/>
      <c r="H190" s="209"/>
      <c r="I190" s="209"/>
      <c r="J190" s="209"/>
      <c r="K190" s="209"/>
      <c r="L190" s="209"/>
    </row>
    <row r="191" spans="1:12" hidden="1">
      <c r="A191" s="209"/>
      <c r="B191" s="209"/>
      <c r="C191" s="209"/>
      <c r="D191" s="209"/>
      <c r="E191" s="209"/>
      <c r="F191" s="209"/>
      <c r="G191" s="209"/>
      <c r="H191" s="209"/>
      <c r="I191" s="209"/>
      <c r="J191" s="209"/>
      <c r="K191" s="209"/>
      <c r="L191" s="209"/>
    </row>
    <row r="192" spans="1:12" hidden="1">
      <c r="A192" s="209"/>
      <c r="B192" s="220"/>
      <c r="C192" s="209"/>
      <c r="D192" s="209"/>
      <c r="E192" s="209"/>
      <c r="F192" s="209"/>
      <c r="G192" s="209"/>
      <c r="H192" s="209"/>
      <c r="I192" s="209"/>
      <c r="J192" s="209"/>
      <c r="K192" s="209"/>
      <c r="L192" s="209"/>
    </row>
    <row r="193" spans="1:12" hidden="1">
      <c r="A193" s="209"/>
      <c r="B193" s="220"/>
      <c r="C193" s="209"/>
      <c r="D193" s="209"/>
      <c r="E193" s="209"/>
      <c r="F193" s="209"/>
      <c r="G193" s="209"/>
      <c r="H193" s="209"/>
      <c r="I193" s="209"/>
      <c r="J193" s="209"/>
      <c r="K193" s="209"/>
      <c r="L193" s="209"/>
    </row>
    <row r="194" spans="1:12" hidden="1">
      <c r="A194" s="209"/>
      <c r="B194" s="220"/>
      <c r="C194" s="209"/>
      <c r="D194" s="209"/>
      <c r="E194" s="209"/>
      <c r="F194" s="209"/>
      <c r="G194" s="209"/>
      <c r="H194" s="209"/>
      <c r="I194" s="209"/>
      <c r="J194" s="209"/>
      <c r="K194" s="209"/>
      <c r="L194" s="209"/>
    </row>
    <row r="195" spans="1:12" hidden="1">
      <c r="A195" s="209"/>
      <c r="B195" s="220"/>
      <c r="C195" s="209"/>
      <c r="D195" s="209"/>
      <c r="E195" s="209"/>
      <c r="F195" s="209"/>
      <c r="G195" s="209"/>
      <c r="H195" s="209"/>
      <c r="I195" s="209"/>
      <c r="J195" s="209"/>
      <c r="K195" s="209"/>
      <c r="L195" s="209"/>
    </row>
    <row r="196" spans="1:12" hidden="1">
      <c r="A196" s="209"/>
      <c r="B196" s="220"/>
      <c r="C196" s="209"/>
      <c r="D196" s="209"/>
      <c r="E196" s="209"/>
      <c r="F196" s="209"/>
      <c r="G196" s="209"/>
      <c r="H196" s="209"/>
      <c r="I196" s="209"/>
      <c r="J196" s="209"/>
      <c r="K196" s="209"/>
      <c r="L196" s="209"/>
    </row>
  </sheetData>
  <pageMargins left="0.7" right="0.7" top="0.75" bottom="0.75" header="0.3" footer="0.3"/>
  <pageSetup orientation="portrait" r:id="rId1"/>
  <headerFooter>
    <oddFooter xml:space="preserve">&amp;C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F5594-86D7-4A74-ADC8-CCFD10B340D6}">
  <sheetPr codeName="Sheet3">
    <pageSetUpPr autoPageBreaks="0"/>
  </sheetPr>
  <dimension ref="A1:T116"/>
  <sheetViews>
    <sheetView tabSelected="1" topLeftCell="A81" workbookViewId="0">
      <selection activeCell="A35" sqref="A35:XFD1048576"/>
    </sheetView>
  </sheetViews>
  <sheetFormatPr defaultColWidth="8.81640625" defaultRowHeight="14.5"/>
  <cols>
    <col min="1" max="1" width="5.54296875" style="39" customWidth="1"/>
    <col min="2" max="2" width="25.54296875" style="39" customWidth="1"/>
    <col min="3" max="3" width="18.1796875" style="39" customWidth="1"/>
    <col min="4" max="4" width="23.26953125" style="39" customWidth="1"/>
    <col min="5" max="5" width="18" style="39" customWidth="1"/>
    <col min="6" max="7" width="13.453125" style="39" customWidth="1"/>
    <col min="8" max="8" width="15" style="39" customWidth="1"/>
    <col min="9" max="9" width="15.1796875" style="39" customWidth="1"/>
    <col min="10" max="10" width="17.81640625" style="39" customWidth="1"/>
    <col min="11" max="11" width="18.26953125" style="39" customWidth="1"/>
    <col min="12" max="12" width="18" style="39" customWidth="1"/>
    <col min="13" max="13" width="18.26953125" style="39" customWidth="1"/>
    <col min="14" max="15" width="13.453125" style="39" customWidth="1"/>
    <col min="16" max="16" width="14.81640625" style="39" bestFit="1" customWidth="1"/>
    <col min="17" max="17" width="15" style="39" bestFit="1" customWidth="1"/>
    <col min="18" max="19" width="15.81640625" style="39" customWidth="1"/>
    <col min="20" max="24" width="15.54296875" style="39" customWidth="1"/>
    <col min="25" max="16384" width="8.81640625" style="39"/>
  </cols>
  <sheetData>
    <row r="1" spans="2:18">
      <c r="B1" s="3"/>
    </row>
    <row r="2" spans="2:18">
      <c r="B2" s="34" t="s">
        <v>139</v>
      </c>
      <c r="J2" s="34" t="s">
        <v>22</v>
      </c>
      <c r="K2" s="35"/>
      <c r="L2" s="35"/>
    </row>
    <row r="3" spans="2:18">
      <c r="B3" s="35"/>
      <c r="C3" s="58" t="str">
        <f>"Rate Impact for Year ("&amp;'Incremental Rev Req'!$G$9&amp;" - "&amp;'Incremental Rev Req'!$J$9&amp;")"</f>
        <v>Rate Impact for Year (2025 - 2028)</v>
      </c>
      <c r="D3" s="42">
        <v>2025</v>
      </c>
      <c r="E3" s="35"/>
      <c r="H3" s="41" t="s">
        <v>486</v>
      </c>
      <c r="I3" s="158" t="s">
        <v>143</v>
      </c>
      <c r="J3" s="35" t="s">
        <v>140</v>
      </c>
      <c r="K3" s="37"/>
      <c r="L3" s="199">
        <v>45901</v>
      </c>
    </row>
    <row r="4" spans="2:18">
      <c r="B4" s="38"/>
      <c r="C4" s="59" t="s">
        <v>141</v>
      </c>
      <c r="D4" s="42" t="s">
        <v>206</v>
      </c>
      <c r="H4" s="41" t="s">
        <v>487</v>
      </c>
      <c r="I4" s="42">
        <v>500</v>
      </c>
      <c r="J4" s="35" t="s">
        <v>41</v>
      </c>
      <c r="K4" s="37"/>
      <c r="L4" s="102">
        <f>D3</f>
        <v>2025</v>
      </c>
    </row>
    <row r="5" spans="2:18">
      <c r="J5" s="38" t="s">
        <v>35</v>
      </c>
      <c r="L5" s="40">
        <v>4</v>
      </c>
      <c r="M5" s="38" t="s">
        <v>36</v>
      </c>
    </row>
    <row r="6" spans="2:18" ht="15" thickBot="1">
      <c r="F6" s="60"/>
      <c r="J6" s="38" t="s">
        <v>37</v>
      </c>
      <c r="L6" s="90">
        <v>8</v>
      </c>
      <c r="M6" s="38" t="s">
        <v>36</v>
      </c>
    </row>
    <row r="7" spans="2:18" ht="15" customHeight="1">
      <c r="B7" s="237" t="s">
        <v>188</v>
      </c>
      <c r="C7" s="238"/>
      <c r="D7" s="231" t="s">
        <v>142</v>
      </c>
      <c r="E7" s="232" t="s">
        <v>154</v>
      </c>
      <c r="J7" s="38" t="s">
        <v>34</v>
      </c>
      <c r="L7" s="116" t="s">
        <v>236</v>
      </c>
      <c r="M7" s="43"/>
      <c r="N7" s="35"/>
    </row>
    <row r="8" spans="2:18">
      <c r="B8" s="136" t="s">
        <v>319</v>
      </c>
      <c r="D8" s="60" t="s">
        <v>143</v>
      </c>
      <c r="E8" s="239" t="s">
        <v>361</v>
      </c>
      <c r="F8" s="61"/>
      <c r="J8" s="39" t="s">
        <v>274</v>
      </c>
      <c r="L8" s="198">
        <v>-58.226628459800274</v>
      </c>
      <c r="P8" s="39" t="s">
        <v>383</v>
      </c>
      <c r="Q8" s="39" t="s">
        <v>383</v>
      </c>
    </row>
    <row r="9" spans="2:18">
      <c r="B9" s="136" t="s">
        <v>365</v>
      </c>
      <c r="D9" s="60" t="s">
        <v>143</v>
      </c>
      <c r="E9" s="239" t="s">
        <v>369</v>
      </c>
      <c r="F9" s="61"/>
      <c r="N9" s="39" t="s">
        <v>239</v>
      </c>
      <c r="O9" s="39" t="s">
        <v>240</v>
      </c>
      <c r="P9" s="39" t="s">
        <v>239</v>
      </c>
      <c r="Q9" s="39" t="s">
        <v>240</v>
      </c>
    </row>
    <row r="10" spans="2:18">
      <c r="B10" s="136" t="s">
        <v>515</v>
      </c>
      <c r="D10" s="60" t="s">
        <v>143</v>
      </c>
      <c r="E10" s="239" t="s">
        <v>398</v>
      </c>
      <c r="F10" s="61"/>
      <c r="J10" s="38" t="s">
        <v>51</v>
      </c>
      <c r="N10" s="121">
        <f>IF($D$4="ALL",SUMPRODUCT('Res Bill Impact'!Q$22:Q$31,'Res Bill Impact'!$U$22:$U$31),VLOOKUP(D$4,'Res Bill Impact'!$P$22:$T$31,2,FALSE))</f>
        <v>481.75</v>
      </c>
      <c r="O10" s="121">
        <f>IF($D$4="ALL",SUMPRODUCT('Res Bill Impact'!Y$22:Y$31,'Res Bill Impact'!$AC$22:$AC$31),VLOOKUP($D$4,'Res Bill Impact'!$X$22:$AB$31,2,FALSE))</f>
        <v>463</v>
      </c>
      <c r="P10" s="121">
        <f>VLOOKUP($D$4,'Res Bill Impact'!$H$22:$J$31,2,FALSE)</f>
        <v>298.28750000000002</v>
      </c>
      <c r="Q10" s="121">
        <f>VLOOKUP($D$4,'Res Bill Impact'!$L$22:$N$31,2,FALSE)</f>
        <v>258.71875</v>
      </c>
      <c r="R10" s="38" t="s">
        <v>31</v>
      </c>
    </row>
    <row r="11" spans="2:18">
      <c r="B11" s="136" t="s">
        <v>511</v>
      </c>
      <c r="D11" s="60" t="s">
        <v>143</v>
      </c>
      <c r="E11" s="239" t="s">
        <v>524</v>
      </c>
      <c r="F11" s="61"/>
      <c r="J11" s="38" t="s">
        <v>52</v>
      </c>
      <c r="N11" s="121">
        <f>IF($D$4="ALL",SUMPRODUCT('Res Bill Impact'!R$22:R$31,'Res Bill Impact'!$U$22:$U$31),VLOOKUP(D$4,'Res Bill Impact'!$P$22:$T$31,3,FALSE))</f>
        <v>402.875</v>
      </c>
      <c r="O11" s="121">
        <f>IF($D$4="ALL",SUMPRODUCT('Res Bill Impact'!Y$22:Y$31,'Res Bill Impact'!$AC$22:$AC$31),VLOOKUP($D$4,'Res Bill Impact'!$X$22:$AB$31,3,FALSE))</f>
        <v>462.875</v>
      </c>
      <c r="P11" s="121">
        <f>VLOOKUP($D$4,'Res Bill Impact'!$H$22:$J$31,3,FALSE)</f>
        <v>295.24374999999998</v>
      </c>
      <c r="Q11" s="121">
        <f>VLOOKUP($D$4,'Res Bill Impact'!$L$22:$N$31,3,FALSE)</f>
        <v>444.38749999999999</v>
      </c>
      <c r="R11" s="38" t="s">
        <v>31</v>
      </c>
    </row>
    <row r="12" spans="2:18">
      <c r="B12" s="136" t="s">
        <v>467</v>
      </c>
      <c r="D12" s="60" t="s">
        <v>143</v>
      </c>
      <c r="E12" s="239" t="s">
        <v>398</v>
      </c>
      <c r="F12" s="61"/>
      <c r="J12" s="38" t="s">
        <v>237</v>
      </c>
      <c r="N12" s="121">
        <f>(N10*4)+(N11*8)</f>
        <v>5150</v>
      </c>
      <c r="O12" s="121">
        <f>(O10*4)+(O11*8)</f>
        <v>5555</v>
      </c>
      <c r="P12" s="121">
        <f>(P10*4)+(P11*8)</f>
        <v>3555.1</v>
      </c>
      <c r="Q12" s="121">
        <f>(Q10*4)+(Q11*8)</f>
        <v>4589.9750000000004</v>
      </c>
      <c r="R12" s="38" t="s">
        <v>251</v>
      </c>
    </row>
    <row r="13" spans="2:18">
      <c r="B13" s="136" t="s">
        <v>482</v>
      </c>
      <c r="D13" s="60" t="s">
        <v>143</v>
      </c>
      <c r="E13" s="239" t="s">
        <v>474</v>
      </c>
      <c r="F13" s="61"/>
      <c r="J13" s="38" t="s">
        <v>53</v>
      </c>
      <c r="N13" s="121">
        <f>IF(D$4="ALL",SUMPRODUCT('Res Bill Impact'!S$22:S$31,'Res Bill Impact'!$V$22:$V$31),VLOOKUP(D$4,'Res Bill Impact'!$P$22:$T$31,4,FALSE))</f>
        <v>438.25</v>
      </c>
      <c r="O13" s="121">
        <f>IF($D$4="ALL",SUMPRODUCT('Res Bill Impact'!Y$22:Y$31,'Res Bill Impact'!$AD$22:$AD$31),VLOOKUP($D$4,'Res Bill Impact'!$X$22:$AB$31,4,FALSE))</f>
        <v>413.5</v>
      </c>
      <c r="P13" s="121">
        <f t="shared" ref="P13:Q15" si="0">P10</f>
        <v>298.28750000000002</v>
      </c>
      <c r="Q13" s="121">
        <f t="shared" si="0"/>
        <v>258.71875</v>
      </c>
      <c r="R13" s="38" t="s">
        <v>31</v>
      </c>
    </row>
    <row r="14" spans="2:18">
      <c r="B14" s="136" t="s">
        <v>500</v>
      </c>
      <c r="D14" s="60" t="s">
        <v>143</v>
      </c>
      <c r="E14" s="239">
        <v>2026</v>
      </c>
      <c r="F14" s="61"/>
      <c r="J14" s="38" t="s">
        <v>54</v>
      </c>
      <c r="N14" s="121">
        <f>IF($D$4="ALL",SUMPRODUCT('Res Bill Impact'!T$22:T$31,'Res Bill Impact'!$V$22:$V$31),VLOOKUP(D$4,'Res Bill Impact'!$P$22:$T$31,5,FALSE))</f>
        <v>381.625</v>
      </c>
      <c r="O14" s="121">
        <f>IF($D$4="ALL",SUMPRODUCT('Res Bill Impact'!Y$22:Y$31,'Res Bill Impact'!$AD$22:$AD$31),VLOOKUP($D$4,'Res Bill Impact'!$X$22:$AB$31,5,FALSE))</f>
        <v>438.75</v>
      </c>
      <c r="P14" s="121">
        <f t="shared" si="0"/>
        <v>295.24374999999998</v>
      </c>
      <c r="Q14" s="121">
        <f t="shared" si="0"/>
        <v>444.38749999999999</v>
      </c>
      <c r="R14" s="38" t="s">
        <v>31</v>
      </c>
    </row>
    <row r="15" spans="2:18">
      <c r="B15" s="136" t="s">
        <v>510</v>
      </c>
      <c r="D15" s="60" t="s">
        <v>143</v>
      </c>
      <c r="E15" s="239" t="s">
        <v>524</v>
      </c>
      <c r="F15" s="61"/>
      <c r="J15" s="38" t="s">
        <v>238</v>
      </c>
      <c r="N15" s="121">
        <f>(N13*4)+(N14*8)</f>
        <v>4806</v>
      </c>
      <c r="O15" s="121">
        <f>(O13*4)+(O14*8)</f>
        <v>5164</v>
      </c>
      <c r="P15" s="121">
        <f t="shared" si="0"/>
        <v>3555.1</v>
      </c>
      <c r="Q15" s="121">
        <f t="shared" si="0"/>
        <v>4589.9750000000004</v>
      </c>
      <c r="R15" s="38" t="s">
        <v>251</v>
      </c>
    </row>
    <row r="16" spans="2:18" ht="24.75" customHeight="1">
      <c r="B16" s="240" t="s">
        <v>589</v>
      </c>
      <c r="D16" s="60" t="s">
        <v>143</v>
      </c>
      <c r="E16" s="239" t="s">
        <v>615</v>
      </c>
      <c r="F16" s="61"/>
      <c r="J16" s="38" t="s">
        <v>33</v>
      </c>
      <c r="N16" s="41"/>
      <c r="P16" s="82" t="str">
        <f>LEFT('Res Bill Impact'!P19,4)</f>
        <v>2024</v>
      </c>
    </row>
    <row r="17" spans="1:20" ht="29">
      <c r="A17" s="120"/>
      <c r="B17" s="241" t="s">
        <v>600</v>
      </c>
      <c r="D17" s="60" t="s">
        <v>143</v>
      </c>
      <c r="E17" s="239">
        <v>2026</v>
      </c>
      <c r="F17" s="61"/>
      <c r="J17" s="38"/>
      <c r="M17" s="38"/>
    </row>
    <row r="18" spans="1:20">
      <c r="A18" s="120"/>
      <c r="B18" s="242" t="s">
        <v>597</v>
      </c>
      <c r="C18" s="60"/>
      <c r="D18" s="60" t="s">
        <v>143</v>
      </c>
      <c r="E18" s="239">
        <v>2026</v>
      </c>
      <c r="F18" s="61"/>
      <c r="J18" s="38"/>
      <c r="M18" s="38"/>
    </row>
    <row r="19" spans="1:20">
      <c r="A19" s="120"/>
      <c r="B19" s="242" t="s">
        <v>598</v>
      </c>
      <c r="C19" s="60"/>
      <c r="D19" s="60" t="s">
        <v>143</v>
      </c>
      <c r="E19" s="239">
        <v>2027</v>
      </c>
      <c r="F19" s="61"/>
      <c r="G19"/>
      <c r="J19" s="38"/>
      <c r="M19" s="38"/>
    </row>
    <row r="20" spans="1:20" ht="29">
      <c r="A20" s="120"/>
      <c r="B20" s="268" t="s">
        <v>601</v>
      </c>
      <c r="C20" s="120"/>
      <c r="D20" s="60" t="s">
        <v>143</v>
      </c>
      <c r="E20" s="239" t="s">
        <v>602</v>
      </c>
      <c r="F20" s="61"/>
      <c r="J20" s="38"/>
      <c r="M20" s="38"/>
    </row>
    <row r="21" spans="1:20" ht="29">
      <c r="B21" s="240" t="s">
        <v>684</v>
      </c>
      <c r="D21" s="60" t="s">
        <v>143</v>
      </c>
      <c r="E21" s="239">
        <v>2027</v>
      </c>
      <c r="F21" s="61"/>
      <c r="J21" s="38"/>
      <c r="M21" s="38"/>
    </row>
    <row r="22" spans="1:20">
      <c r="B22" s="136"/>
      <c r="E22" s="135"/>
      <c r="F22" s="61"/>
      <c r="J22" s="38"/>
      <c r="M22" s="38"/>
    </row>
    <row r="23" spans="1:20">
      <c r="B23" s="136"/>
      <c r="E23" s="135"/>
      <c r="F23" s="61"/>
      <c r="J23" s="38"/>
      <c r="M23" s="38"/>
    </row>
    <row r="24" spans="1:20">
      <c r="B24" s="136"/>
      <c r="E24" s="135"/>
      <c r="F24" s="61"/>
      <c r="J24" s="38"/>
      <c r="M24" s="38"/>
    </row>
    <row r="25" spans="1:20">
      <c r="B25" s="136"/>
      <c r="D25" s="177"/>
      <c r="E25" s="135"/>
      <c r="F25" s="61"/>
      <c r="J25" s="38"/>
      <c r="M25" s="38"/>
    </row>
    <row r="26" spans="1:20" ht="15" thickBot="1">
      <c r="B26" s="137"/>
      <c r="C26" s="138"/>
      <c r="D26" s="243"/>
      <c r="E26" s="244"/>
      <c r="F26" s="61"/>
      <c r="J26" s="38"/>
      <c r="M26" s="38"/>
    </row>
    <row r="27" spans="1:20">
      <c r="F27" s="130"/>
      <c r="J27" s="38"/>
      <c r="M27" s="38"/>
    </row>
    <row r="28" spans="1:20">
      <c r="B28" s="58"/>
      <c r="C28" s="61"/>
      <c r="D28" s="197"/>
      <c r="F28" s="130"/>
      <c r="J28" s="38"/>
      <c r="M28" s="38"/>
      <c r="P28" s="130"/>
    </row>
    <row r="29" spans="1:20">
      <c r="B29" s="34" t="s">
        <v>144</v>
      </c>
      <c r="F29" s="130"/>
      <c r="P29" s="130"/>
    </row>
    <row r="30" spans="1:20" ht="15" thickBot="1">
      <c r="D30" s="68" t="s">
        <v>157</v>
      </c>
      <c r="E30" s="68" t="s">
        <v>158</v>
      </c>
      <c r="F30" s="68" t="s">
        <v>159</v>
      </c>
      <c r="G30" s="68" t="s">
        <v>162</v>
      </c>
      <c r="H30" s="68" t="s">
        <v>163</v>
      </c>
      <c r="I30" s="68" t="s">
        <v>164</v>
      </c>
      <c r="J30" s="68" t="s">
        <v>165</v>
      </c>
      <c r="N30" s="68" t="s">
        <v>157</v>
      </c>
      <c r="O30" s="68" t="s">
        <v>158</v>
      </c>
      <c r="P30" s="68" t="s">
        <v>159</v>
      </c>
      <c r="Q30" s="68" t="s">
        <v>162</v>
      </c>
      <c r="R30" s="68" t="s">
        <v>163</v>
      </c>
      <c r="S30" s="68" t="s">
        <v>164</v>
      </c>
      <c r="T30" s="68" t="s">
        <v>165</v>
      </c>
    </row>
    <row r="31" spans="1:20">
      <c r="B31" s="435" t="s">
        <v>145</v>
      </c>
      <c r="C31" s="436"/>
      <c r="D31" s="436"/>
      <c r="E31" s="436"/>
      <c r="F31" s="436"/>
      <c r="G31" s="436"/>
      <c r="H31" s="436"/>
      <c r="I31" s="436"/>
      <c r="J31" s="437"/>
      <c r="L31" s="438" t="s">
        <v>146</v>
      </c>
      <c r="M31" s="439"/>
      <c r="N31" s="439"/>
      <c r="O31" s="439"/>
      <c r="P31" s="439"/>
      <c r="Q31" s="439"/>
      <c r="R31" s="439"/>
      <c r="S31" s="439"/>
      <c r="T31" s="440"/>
    </row>
    <row r="32" spans="1:20" ht="29">
      <c r="B32" s="441" t="s">
        <v>18</v>
      </c>
      <c r="C32" s="442"/>
      <c r="D32" s="33">
        <v>45658</v>
      </c>
      <c r="E32" s="33">
        <f>L3</f>
        <v>45901</v>
      </c>
      <c r="F32" s="36" t="str">
        <f>$D$3&amp;" Authorized"</f>
        <v>2025 Authorized</v>
      </c>
      <c r="G32" s="36" t="str">
        <f>$D$3&amp;" w/Pending"</f>
        <v>2025 w/Pending</v>
      </c>
      <c r="H32" s="269" t="str">
        <f>"% Change over "&amp;TEXT(D32,"mm/d/yyy")</f>
        <v>% Change over 01/1/2025</v>
      </c>
      <c r="I32" s="269" t="str">
        <f>"% Change over "&amp;TEXT(L3,"mm/d/yyy")</f>
        <v>% Change over 09/1/2025</v>
      </c>
      <c r="J32" s="88" t="s">
        <v>189</v>
      </c>
      <c r="L32" s="443" t="s">
        <v>18</v>
      </c>
      <c r="M32" s="444"/>
      <c r="N32" s="33">
        <f>$D$32</f>
        <v>45658</v>
      </c>
      <c r="O32" s="33">
        <f>$E$32</f>
        <v>45901</v>
      </c>
      <c r="P32" s="36" t="str">
        <f>$D$3&amp;" Authorized"</f>
        <v>2025 Authorized</v>
      </c>
      <c r="Q32" s="36" t="str">
        <f>$D$3&amp;" w/Pending"</f>
        <v>2025 w/Pending</v>
      </c>
      <c r="R32" s="36" t="str">
        <f>$H$32</f>
        <v>% Change over 01/1/2025</v>
      </c>
      <c r="S32" s="36" t="str">
        <f>$I$32</f>
        <v>% Change over 09/1/2025</v>
      </c>
      <c r="T32" s="88" t="s">
        <v>189</v>
      </c>
    </row>
    <row r="33" spans="2:20">
      <c r="B33" s="445" t="s">
        <v>19</v>
      </c>
      <c r="C33" s="446"/>
      <c r="D33" s="177">
        <f>IF($I$3="Y", 'SAR and RAR'!AB45, 'SAR and RAR'!AC45)</f>
        <v>35.876526998426449</v>
      </c>
      <c r="E33" s="44">
        <f>IF($I$3="Y", 'SAR and RAR'!AB50, 'SAR and RAR'!AC50)</f>
        <v>35.656709684711373</v>
      </c>
      <c r="F33" s="44">
        <f>'SAR and RAR'!$H$28</f>
        <v>35.039962516015329</v>
      </c>
      <c r="G33" s="44">
        <f>'SAR and RAR'!$I$28</f>
        <v>35.922626526402077</v>
      </c>
      <c r="H33" s="45">
        <f t="shared" ref="H33:I35" si="1">$G33/D33-1</f>
        <v>1.2849495710007819E-3</v>
      </c>
      <c r="I33" s="45">
        <f t="shared" si="1"/>
        <v>7.4576943313622301E-3</v>
      </c>
      <c r="J33" s="46">
        <f t="shared" ref="J33:J34" si="2">$G33/F33-1</f>
        <v>2.5190209892014481E-2</v>
      </c>
      <c r="L33" s="445" t="s">
        <v>40</v>
      </c>
      <c r="M33" s="446"/>
      <c r="N33" s="44">
        <f>IF($I$3="Y", 'SAR and RAR'!AE45, 'SAR and RAR'!AF45)</f>
        <v>28.129082432984287</v>
      </c>
      <c r="O33" s="44">
        <f>IF($I$3="Y", 'SAR and RAR'!AE50, 'SAR and RAR'!AF50)</f>
        <v>27.886265438798862</v>
      </c>
      <c r="P33" s="44">
        <f>'SAR and RAR'!$R$28</f>
        <v>28.199486093488357</v>
      </c>
      <c r="Q33" s="44">
        <f>'SAR and RAR'!$S$28</f>
        <v>28.84972900631146</v>
      </c>
      <c r="R33" s="45">
        <f t="shared" ref="R33:T34" si="3">$Q33/N33-1</f>
        <v>2.5619270555449658E-2</v>
      </c>
      <c r="S33" s="45">
        <f t="shared" si="3"/>
        <v>3.4549752444517301E-2</v>
      </c>
      <c r="T33" s="46">
        <f t="shared" si="3"/>
        <v>2.3058679532931281E-2</v>
      </c>
    </row>
    <row r="34" spans="2:20">
      <c r="B34" s="151"/>
      <c r="C34" s="152" t="s">
        <v>412</v>
      </c>
      <c r="D34" s="153">
        <f>IF($I$3="Y", 'SAR and RAR (B-1)'!AB47,'SAR and RAR (B-1)'!AC47)</f>
        <v>43.574453995215542</v>
      </c>
      <c r="E34" s="270">
        <f>IF($I$3="Y", 'SAR and RAR (B-1)'!AB52,'SAR and RAR (B-1)'!AC52)</f>
        <v>43.255570991528394</v>
      </c>
      <c r="F34" s="153">
        <f>'SAR and RAR (B-1)'!H28</f>
        <v>43.16868435321085</v>
      </c>
      <c r="G34" s="153">
        <f>'SAR and RAR (B-1)'!I28</f>
        <v>44.153829013144005</v>
      </c>
      <c r="H34" s="45">
        <f t="shared" si="1"/>
        <v>1.3296208324080849E-2</v>
      </c>
      <c r="I34" s="45">
        <f t="shared" si="1"/>
        <v>2.0766296711041798E-2</v>
      </c>
      <c r="J34" s="46">
        <f t="shared" si="2"/>
        <v>2.2820817328427223E-2</v>
      </c>
      <c r="L34" s="151"/>
      <c r="M34" s="152" t="s">
        <v>412</v>
      </c>
      <c r="N34" s="153">
        <f>IF($I$3="Y",'SAR and RAR (B-1)'!AE47,'SAR and RAR (B-1)'!AF47)</f>
        <v>33.610590836889926</v>
      </c>
      <c r="O34" s="153">
        <f>IF($I$3="Y", 'SAR and RAR (B-1)'!AE52,'SAR and RAR (B-1)'!AF52)</f>
        <v>33.291687061124286</v>
      </c>
      <c r="P34" s="153">
        <f>'SAR and RAR (B-1)'!R28</f>
        <v>33.11603684841139</v>
      </c>
      <c r="Q34" s="153">
        <f>'SAR and RAR (B-1)'!S28</f>
        <v>33.801596366429258</v>
      </c>
      <c r="R34" s="45">
        <f t="shared" si="3"/>
        <v>5.6828971102076409E-3</v>
      </c>
      <c r="S34" s="45">
        <f t="shared" si="3"/>
        <v>1.531641530718364E-2</v>
      </c>
      <c r="T34" s="46">
        <f t="shared" si="3"/>
        <v>2.0701737987429247E-2</v>
      </c>
    </row>
    <row r="35" spans="2:20" ht="15" thickBot="1">
      <c r="B35" s="433" t="s">
        <v>30</v>
      </c>
      <c r="C35" s="434"/>
      <c r="D35" s="192">
        <f>IF($I$3="Y", 'SAR and RAR'!AB46, 'SAR and RAR'!AC46)</f>
        <v>35.04098349229276</v>
      </c>
      <c r="E35" s="47">
        <f>IF($I$3="Y", 'SAR and RAR'!AB51, 'SAR and RAR'!AC51)</f>
        <v>34.778170423848316</v>
      </c>
      <c r="F35" s="47">
        <f>'SAR and RAR'!$H$29</f>
        <v>34.493637820125691</v>
      </c>
      <c r="G35" s="47">
        <f>'SAR and RAR'!$I$29</f>
        <v>35.321973407981616</v>
      </c>
      <c r="H35" s="48">
        <f t="shared" si="1"/>
        <v>8.0188935265090855E-3</v>
      </c>
      <c r="I35" s="48">
        <f t="shared" si="1"/>
        <v>1.5636330994582837E-2</v>
      </c>
      <c r="J35" s="49">
        <f>$G35/F35-1</f>
        <v>2.4014155658949488E-2</v>
      </c>
      <c r="L35" s="433" t="s">
        <v>39</v>
      </c>
      <c r="M35" s="434"/>
      <c r="N35" s="47">
        <f>IF($I$3="Y", 'SAR and RAR'!AE46, 'SAR and RAR'!AF46)</f>
        <v>25.258006838675957</v>
      </c>
      <c r="O35" s="47">
        <f>IF($I$3="Y", 'SAR and RAR'!AE51, 'SAR and RAR'!AF51)</f>
        <v>24.987041940003813</v>
      </c>
      <c r="P35" s="47">
        <f>'SAR and RAR'!$R$29</f>
        <v>25.009577223269471</v>
      </c>
      <c r="Q35" s="47">
        <f>'SAR and RAR'!$S$29</f>
        <v>25.563936741467479</v>
      </c>
      <c r="R35" s="48">
        <f>$Q35/N35-1</f>
        <v>1.2112194946557464E-2</v>
      </c>
      <c r="S35" s="48">
        <f>$Q35/O35-1</f>
        <v>2.3087758961178428E-2</v>
      </c>
      <c r="T35" s="49">
        <f>$Q35/P35-1</f>
        <v>2.2165889221118951E-2</v>
      </c>
    </row>
    <row r="36" spans="2:20" hidden="1"/>
    <row r="37" spans="2:20" ht="15" hidden="1" thickBot="1"/>
    <row r="38" spans="2:20" hidden="1">
      <c r="B38" s="428" t="s">
        <v>256</v>
      </c>
      <c r="C38" s="429"/>
      <c r="D38" s="429"/>
      <c r="E38" s="429"/>
      <c r="F38" s="429"/>
      <c r="G38" s="429"/>
      <c r="H38" s="429"/>
      <c r="I38" s="429"/>
      <c r="J38" s="430"/>
      <c r="L38" s="428" t="s">
        <v>265</v>
      </c>
      <c r="M38" s="429"/>
      <c r="N38" s="429"/>
      <c r="O38" s="429"/>
      <c r="P38" s="429"/>
      <c r="Q38" s="429"/>
      <c r="R38" s="429"/>
      <c r="S38" s="429"/>
      <c r="T38" s="430"/>
    </row>
    <row r="39" spans="2:20" ht="29" hidden="1">
      <c r="B39" s="50"/>
      <c r="C39" s="51"/>
      <c r="D39" s="33">
        <f>$D$32</f>
        <v>45658</v>
      </c>
      <c r="E39" s="33">
        <f>$E$32</f>
        <v>45901</v>
      </c>
      <c r="F39" s="36" t="str">
        <f>$D$3&amp;" Authorized"</f>
        <v>2025 Authorized</v>
      </c>
      <c r="G39" s="36" t="str">
        <f>$D$3&amp;" w/Pending"</f>
        <v>2025 w/Pending</v>
      </c>
      <c r="H39" s="36" t="str">
        <f>$H$32</f>
        <v>% Change over 01/1/2025</v>
      </c>
      <c r="I39" s="36" t="str">
        <f>$I$32</f>
        <v>% Change over 09/1/2025</v>
      </c>
      <c r="J39" s="88" t="s">
        <v>189</v>
      </c>
      <c r="L39" s="50"/>
      <c r="M39" s="51"/>
      <c r="N39" s="33">
        <f>$D$32</f>
        <v>45658</v>
      </c>
      <c r="O39" s="33">
        <f>$E$32</f>
        <v>45901</v>
      </c>
      <c r="P39" s="36" t="str">
        <f>$D$3&amp;" Authorized"</f>
        <v>2025 Authorized</v>
      </c>
      <c r="Q39" s="36" t="str">
        <f>$D$3&amp;" w/Pending"</f>
        <v>2025 w/Pending</v>
      </c>
      <c r="R39" s="36" t="str">
        <f>$H$32</f>
        <v>% Change over 01/1/2025</v>
      </c>
      <c r="S39" s="36" t="str">
        <f>$I$32</f>
        <v>% Change over 09/1/2025</v>
      </c>
      <c r="T39" s="88" t="s">
        <v>189</v>
      </c>
    </row>
    <row r="40" spans="2:20" hidden="1">
      <c r="B40" s="431" t="s">
        <v>49</v>
      </c>
      <c r="C40" s="432"/>
      <c r="D40" s="52">
        <f t="shared" ref="D40:G41" si="4">((D47*4)+(D54*8)+($L$8*2))/12</f>
        <v>175.9560715067</v>
      </c>
      <c r="E40" s="52">
        <f t="shared" si="4"/>
        <v>174.65379363184343</v>
      </c>
      <c r="F40" s="52">
        <f t="shared" si="4"/>
        <v>173.46593535490535</v>
      </c>
      <c r="G40" s="52">
        <f t="shared" si="4"/>
        <v>177.78552817666903</v>
      </c>
      <c r="H40" s="53">
        <f t="shared" ref="H40:I42" si="5">$G40/D40-1</f>
        <v>1.0397235254819615E-2</v>
      </c>
      <c r="I40" s="89">
        <f t="shared" si="5"/>
        <v>1.7931099460839928E-2</v>
      </c>
      <c r="J40" s="54">
        <f t="shared" ref="J40:J42" si="6">$G40/F40-1</f>
        <v>2.490167774396701E-2</v>
      </c>
      <c r="L40" s="431" t="s">
        <v>49</v>
      </c>
      <c r="M40" s="432"/>
      <c r="N40" s="52">
        <f t="shared" ref="N40:Q41" si="7">((N47*4)+(N54*8)+($L$8*2))/12</f>
        <v>184.17742723586665</v>
      </c>
      <c r="O40" s="52">
        <f t="shared" si="7"/>
        <v>182.80477849376064</v>
      </c>
      <c r="P40" s="52">
        <f t="shared" si="7"/>
        <v>181.56440173287044</v>
      </c>
      <c r="Q40" s="52">
        <f t="shared" si="7"/>
        <v>186.0749756427773</v>
      </c>
      <c r="R40" s="122">
        <f t="shared" ref="R40:T42" si="8">$Q40/N40-1</f>
        <v>1.0302828285686516E-2</v>
      </c>
      <c r="S40" s="122">
        <f t="shared" si="8"/>
        <v>1.7889013492764283E-2</v>
      </c>
      <c r="T40" s="54">
        <f t="shared" si="8"/>
        <v>2.4842831892471606E-2</v>
      </c>
    </row>
    <row r="41" spans="2:20" hidden="1">
      <c r="B41" s="431" t="s">
        <v>50</v>
      </c>
      <c r="C41" s="432"/>
      <c r="D41" s="52">
        <f t="shared" si="4"/>
        <v>95.441697923366618</v>
      </c>
      <c r="E41" s="52">
        <f t="shared" si="4"/>
        <v>95.060705585379893</v>
      </c>
      <c r="F41" s="52">
        <f t="shared" si="4"/>
        <v>94.385682062533817</v>
      </c>
      <c r="G41" s="52">
        <f t="shared" si="4"/>
        <v>96.840374529149997</v>
      </c>
      <c r="H41" s="53">
        <f t="shared" si="5"/>
        <v>1.4654774969598883E-2</v>
      </c>
      <c r="I41" s="53">
        <f t="shared" si="5"/>
        <v>1.872139421657959E-2</v>
      </c>
      <c r="J41" s="54">
        <f t="shared" si="6"/>
        <v>2.600704273122556E-2</v>
      </c>
      <c r="L41" s="431" t="s">
        <v>50</v>
      </c>
      <c r="M41" s="432"/>
      <c r="N41" s="52">
        <f t="shared" si="7"/>
        <v>99.294054840033269</v>
      </c>
      <c r="O41" s="52">
        <f t="shared" si="7"/>
        <v>98.904823436845604</v>
      </c>
      <c r="P41" s="52">
        <f t="shared" si="7"/>
        <v>98.205031466368666</v>
      </c>
      <c r="Q41" s="52">
        <f t="shared" si="7"/>
        <v>100.74979327094347</v>
      </c>
      <c r="R41" s="122">
        <f t="shared" si="8"/>
        <v>1.4660882096671823E-2</v>
      </c>
      <c r="S41" s="122">
        <f t="shared" si="8"/>
        <v>1.8653992494875204E-2</v>
      </c>
      <c r="T41" s="54">
        <f t="shared" si="8"/>
        <v>2.5912743640291946E-2</v>
      </c>
    </row>
    <row r="42" spans="2:20" ht="15" hidden="1" thickBot="1">
      <c r="B42" s="433" t="s">
        <v>136</v>
      </c>
      <c r="C42" s="434"/>
      <c r="D42" s="55">
        <f>((D49*4)+(D56*8)+($L$8*2))/12</f>
        <v>155.32583998402055</v>
      </c>
      <c r="E42" s="55">
        <f>((E49*4)+(E56*8)+($L$8*2))/12</f>
        <v>154.25962348650862</v>
      </c>
      <c r="F42" s="55">
        <f>((F49*4)+(F56*8)+($L$8*2))/12</f>
        <v>153.203169072495</v>
      </c>
      <c r="G42" s="55">
        <f>((G49*4)+(G56*8)+($L$8*2))/12</f>
        <v>157.04491769848167</v>
      </c>
      <c r="H42" s="56">
        <f t="shared" si="5"/>
        <v>1.1067557816767382E-2</v>
      </c>
      <c r="I42" s="56">
        <f t="shared" si="5"/>
        <v>1.8055886232709817E-2</v>
      </c>
      <c r="J42" s="57">
        <f t="shared" si="6"/>
        <v>2.5076169437257434E-2</v>
      </c>
      <c r="L42" s="433" t="s">
        <v>136</v>
      </c>
      <c r="M42" s="434"/>
      <c r="N42" s="55">
        <f>((N49*4)+(N56*8)+($L$8*2))/12</f>
        <v>162.42772532532041</v>
      </c>
      <c r="O42" s="55">
        <f>((O49*4)+(O56*8)+($L$8*2))/12</f>
        <v>161.30705801811067</v>
      </c>
      <c r="P42" s="55">
        <f>((P49*4)+(P56*8)+($L$8*2))/12</f>
        <v>160.20519552352496</v>
      </c>
      <c r="Q42" s="55">
        <f>((Q49*4)+(Q56*8)+($L$8*2))/12</f>
        <v>164.21206857781868</v>
      </c>
      <c r="R42" s="124">
        <f t="shared" si="8"/>
        <v>1.09854598340553E-2</v>
      </c>
      <c r="S42" s="124">
        <f t="shared" si="8"/>
        <v>1.8009196841106911E-2</v>
      </c>
      <c r="T42" s="73">
        <f t="shared" si="8"/>
        <v>2.5010880834419158E-2</v>
      </c>
    </row>
    <row r="43" spans="2:20" ht="15" hidden="1" thickBot="1">
      <c r="B43" s="58"/>
      <c r="C43" s="58"/>
      <c r="D43" s="117"/>
      <c r="E43" s="117"/>
      <c r="F43" s="117"/>
      <c r="G43" s="117"/>
      <c r="H43" s="118"/>
      <c r="I43" s="118"/>
      <c r="J43" s="118"/>
      <c r="L43" s="58"/>
      <c r="M43" s="58"/>
      <c r="N43" s="117"/>
      <c r="O43" s="117"/>
      <c r="P43" s="117"/>
      <c r="Q43" s="117"/>
      <c r="R43" s="118"/>
      <c r="S43" s="118"/>
      <c r="T43" s="118"/>
    </row>
    <row r="44" spans="2:20" ht="15" hidden="1" thickBot="1">
      <c r="D44" s="39">
        <v>2</v>
      </c>
      <c r="E44" s="39">
        <v>4</v>
      </c>
      <c r="F44" s="39">
        <v>6</v>
      </c>
      <c r="G44" s="39">
        <v>8</v>
      </c>
      <c r="N44" s="39">
        <v>2</v>
      </c>
      <c r="O44" s="39">
        <v>4</v>
      </c>
      <c r="P44" s="39">
        <v>6</v>
      </c>
      <c r="Q44" s="39">
        <v>8</v>
      </c>
    </row>
    <row r="45" spans="2:20" hidden="1">
      <c r="B45" s="428" t="s">
        <v>257</v>
      </c>
      <c r="C45" s="429"/>
      <c r="D45" s="429"/>
      <c r="E45" s="429"/>
      <c r="F45" s="429"/>
      <c r="G45" s="429"/>
      <c r="H45" s="429"/>
      <c r="I45" s="429"/>
      <c r="J45" s="430"/>
      <c r="L45" s="428" t="s">
        <v>266</v>
      </c>
      <c r="M45" s="429"/>
      <c r="N45" s="429"/>
      <c r="O45" s="429"/>
      <c r="P45" s="429"/>
      <c r="Q45" s="429"/>
      <c r="R45" s="429"/>
      <c r="S45" s="429"/>
      <c r="T45" s="430"/>
    </row>
    <row r="46" spans="2:20" ht="29" hidden="1">
      <c r="B46" s="50"/>
      <c r="C46" s="51"/>
      <c r="D46" s="33">
        <f>$D$32</f>
        <v>45658</v>
      </c>
      <c r="E46" s="33">
        <f>$E$32</f>
        <v>45901</v>
      </c>
      <c r="F46" s="36" t="str">
        <f>$D$3&amp;" Authorized"</f>
        <v>2025 Authorized</v>
      </c>
      <c r="G46" s="36" t="str">
        <f>$D$3&amp;" w/Pending"</f>
        <v>2025 w/Pending</v>
      </c>
      <c r="H46" s="36" t="str">
        <f>$H$32</f>
        <v>% Change over 01/1/2025</v>
      </c>
      <c r="I46" s="36" t="str">
        <f>$I$32</f>
        <v>% Change over 09/1/2025</v>
      </c>
      <c r="J46" s="88" t="s">
        <v>189</v>
      </c>
      <c r="L46" s="50"/>
      <c r="M46" s="51"/>
      <c r="N46" s="33">
        <f>$D$32</f>
        <v>45658</v>
      </c>
      <c r="O46" s="33">
        <f>$E$32</f>
        <v>45901</v>
      </c>
      <c r="P46" s="36" t="str">
        <f>$D$3&amp;" Authorized"</f>
        <v>2025 Authorized</v>
      </c>
      <c r="Q46" s="36" t="str">
        <f>$D$3&amp;" w/Pending"</f>
        <v>2025 w/Pending</v>
      </c>
      <c r="R46" s="36" t="str">
        <f>$H$32</f>
        <v>% Change over 01/1/2025</v>
      </c>
      <c r="S46" s="36" t="str">
        <f>$I$32</f>
        <v>% Change over 09/1/2025</v>
      </c>
      <c r="T46" s="88" t="s">
        <v>189</v>
      </c>
    </row>
    <row r="47" spans="2:20" hidden="1">
      <c r="B47" s="431" t="s">
        <v>49</v>
      </c>
      <c r="C47" s="432"/>
      <c r="D47" s="52">
        <f>VLOOKUP($D$4,'Res Bill Impact'!$B$38:$J$48,D44,FALSE)</f>
        <v>211.881659375</v>
      </c>
      <c r="E47" s="52">
        <f>VLOOKUP($D$4,'Res Bill Impact'!$B$38:$J$48,E44,FALSE)</f>
        <v>210.40237541031431</v>
      </c>
      <c r="F47" s="52">
        <f>VLOOKUP($D$4,'Res Bill Impact'!$B$38:$J$48,F44,FALSE)</f>
        <v>209.04670932042802</v>
      </c>
      <c r="G47" s="52">
        <f>VLOOKUP($D$4,'Res Bill Impact'!$B$38:$J$48,G44,FALSE)</f>
        <v>213.97652765336574</v>
      </c>
      <c r="H47" s="53">
        <f t="shared" ref="H47:I49" si="9">$G47/D47-1</f>
        <v>9.8869731554165341E-3</v>
      </c>
      <c r="I47" s="53">
        <f t="shared" si="9"/>
        <v>1.6987223818558661E-2</v>
      </c>
      <c r="J47" s="54">
        <f t="shared" ref="J47:J49" si="10">$G47/F47-1</f>
        <v>2.3582377110664021E-2</v>
      </c>
      <c r="L47" s="431" t="s">
        <v>49</v>
      </c>
      <c r="M47" s="432"/>
      <c r="N47" s="52">
        <f>VLOOKUP($D$4,'Res Bill Impact'!$L$38:$T$48,N44,FALSE)</f>
        <v>206.4687646875</v>
      </c>
      <c r="O47" s="52">
        <f>VLOOKUP($D$4,'Res Bill Impact'!$L$38:$T$48,O44,FALSE)</f>
        <v>205.03282232359066</v>
      </c>
      <c r="P47" s="125">
        <f>VLOOKUP($D$4,'Res Bill Impact'!$L$38:$T$48,P44,FALSE)</f>
        <v>203.71175337655183</v>
      </c>
      <c r="Q47" s="125">
        <f>VLOOKUP($D$4,'Res Bill Impact'!$L$38:$T$48,Q44,FALSE)</f>
        <v>208.51576076655226</v>
      </c>
      <c r="R47" s="122">
        <f t="shared" ref="R47:T49" si="11">$Q47/N47-1</f>
        <v>9.9143135870962684E-3</v>
      </c>
      <c r="S47" s="122">
        <f t="shared" si="11"/>
        <v>1.6987223818558661E-2</v>
      </c>
      <c r="T47" s="54">
        <f t="shared" si="11"/>
        <v>2.3582377110664021E-2</v>
      </c>
    </row>
    <row r="48" spans="2:20" hidden="1">
      <c r="B48" s="431" t="s">
        <v>50</v>
      </c>
      <c r="C48" s="432"/>
      <c r="D48" s="52">
        <f>VLOOKUP($D$4,'Res Bill Impact'!$B$54:$J$64,D44,FALSE)</f>
        <v>116.762897</v>
      </c>
      <c r="E48" s="52">
        <f>VLOOKUP($D$4,'Res Bill Impact'!$B$54:$J$64,E44,FALSE)</f>
        <v>116.33736012780651</v>
      </c>
      <c r="F48" s="52">
        <f>VLOOKUP($D$4,'Res Bill Impact'!$B$54:$J$64,F44,FALSE)</f>
        <v>115.58777441707207</v>
      </c>
      <c r="G48" s="52">
        <f>VLOOKUP($D$4,'Res Bill Impact'!$B$54:$J$64,G44,FALSE)</f>
        <v>118.31360890275785</v>
      </c>
      <c r="H48" s="53">
        <f t="shared" si="9"/>
        <v>1.3280861837111191E-2</v>
      </c>
      <c r="I48" s="53">
        <f t="shared" si="9"/>
        <v>1.6987223818558883E-2</v>
      </c>
      <c r="J48" s="54">
        <f t="shared" si="10"/>
        <v>2.3582377110664243E-2</v>
      </c>
      <c r="L48" s="431" t="s">
        <v>50</v>
      </c>
      <c r="M48" s="432"/>
      <c r="N48" s="52">
        <f>VLOOKUP($D$4,'Res Bill Impact'!$L$54:$T$64,N44,FALSE)</f>
        <v>111.66575374999999</v>
      </c>
      <c r="O48" s="52">
        <f>VLOOKUP($D$4,'Res Bill Impact'!$L$54:$T$64,O44,FALSE)</f>
        <v>111.2566732313127</v>
      </c>
      <c r="P48" s="125">
        <f>VLOOKUP($D$4,'Res Bill Impact'!$L$54:$T$64,P44,FALSE)</f>
        <v>110.53982343872308</v>
      </c>
      <c r="Q48" s="125">
        <f>VLOOKUP($D$4,'Res Bill Impact'!$L$54:$T$64,Q44,FALSE)</f>
        <v>113.14661524080127</v>
      </c>
      <c r="R48" s="122">
        <f t="shared" si="11"/>
        <v>1.3261554604437231E-2</v>
      </c>
      <c r="S48" s="122">
        <f t="shared" si="11"/>
        <v>1.6987223818558661E-2</v>
      </c>
      <c r="T48" s="54">
        <f t="shared" si="11"/>
        <v>2.3582377110664021E-2</v>
      </c>
    </row>
    <row r="49" spans="2:20" ht="15" hidden="1" thickBot="1">
      <c r="B49" s="433" t="s">
        <v>136</v>
      </c>
      <c r="C49" s="434"/>
      <c r="D49" s="55">
        <f>D47*(1-'SAR and RAR'!$AB$16)+D48*'SAR and RAR'!$AB$16</f>
        <v>187.50933922130781</v>
      </c>
      <c r="E49" s="55">
        <f>E47*(1-'SAR and RAR'!$AB$16)+E48*'SAR and RAR'!$AB$16</f>
        <v>186.30005731360842</v>
      </c>
      <c r="F49" s="55">
        <f>F47*(1-'SAR and RAR'!$AB$16)+F48*'SAR and RAR'!$AB$16</f>
        <v>185.09968745204483</v>
      </c>
      <c r="G49" s="55">
        <f>G47*(1-'SAR and RAR'!$AB$16)+G48*'SAR and RAR'!$AB$16</f>
        <v>189.464778084605</v>
      </c>
      <c r="H49" s="56">
        <f t="shared" si="9"/>
        <v>1.042848783648731E-2</v>
      </c>
      <c r="I49" s="56">
        <f t="shared" si="9"/>
        <v>1.6987223818558661E-2</v>
      </c>
      <c r="J49" s="57">
        <f t="shared" si="10"/>
        <v>2.3582377110664021E-2</v>
      </c>
      <c r="L49" s="433" t="s">
        <v>136</v>
      </c>
      <c r="M49" s="434"/>
      <c r="N49" s="55">
        <f>N47*(1-'SAR and RAR'!$AB$16)+N48*'SAR and RAR'!$AB$16</f>
        <v>182.1773496563261</v>
      </c>
      <c r="O49" s="55">
        <f>O47*(1-'SAR and RAR'!$AB$16)+O48*'SAR and RAR'!$AB$16</f>
        <v>181.00452053128225</v>
      </c>
      <c r="P49" s="123">
        <f>P47*(1-'SAR and RAR'!$AB$16)+P48*'SAR and RAR'!$AB$16</f>
        <v>179.83827091018429</v>
      </c>
      <c r="Q49" s="123">
        <f>Q47*(1-'SAR and RAR'!$AB$16)+Q48*'SAR and RAR'!$AB$16</f>
        <v>184.07928483371805</v>
      </c>
      <c r="R49" s="124">
        <f t="shared" si="11"/>
        <v>1.0440020018843699E-2</v>
      </c>
      <c r="S49" s="124">
        <f t="shared" si="11"/>
        <v>1.6987223818558661E-2</v>
      </c>
      <c r="T49" s="73">
        <f t="shared" si="11"/>
        <v>2.3582377110664243E-2</v>
      </c>
    </row>
    <row r="50" spans="2:20" ht="15" hidden="1" thickBot="1">
      <c r="B50" s="58"/>
      <c r="C50" s="58"/>
      <c r="D50" s="117"/>
      <c r="E50" s="117"/>
      <c r="F50" s="117"/>
      <c r="G50" s="117"/>
      <c r="H50" s="118"/>
      <c r="I50" s="118"/>
      <c r="J50" s="118"/>
      <c r="L50" s="58"/>
      <c r="M50" s="58"/>
      <c r="N50" s="117"/>
      <c r="O50" s="117"/>
      <c r="P50" s="117"/>
      <c r="Q50" s="117"/>
      <c r="R50" s="118"/>
      <c r="S50" s="118"/>
      <c r="T50" s="118"/>
    </row>
    <row r="51" spans="2:20" ht="15" hidden="1" thickBot="1">
      <c r="D51" s="39">
        <v>3</v>
      </c>
      <c r="E51" s="39">
        <v>5</v>
      </c>
      <c r="F51" s="39">
        <v>7</v>
      </c>
      <c r="G51" s="39">
        <v>9</v>
      </c>
      <c r="N51" s="39">
        <v>3</v>
      </c>
      <c r="O51" s="39">
        <v>5</v>
      </c>
      <c r="P51" s="39">
        <v>7</v>
      </c>
      <c r="Q51" s="39">
        <v>9</v>
      </c>
    </row>
    <row r="52" spans="2:20" hidden="1">
      <c r="B52" s="428" t="s">
        <v>258</v>
      </c>
      <c r="C52" s="429"/>
      <c r="D52" s="429"/>
      <c r="E52" s="429"/>
      <c r="F52" s="429"/>
      <c r="G52" s="429"/>
      <c r="H52" s="429"/>
      <c r="I52" s="429"/>
      <c r="J52" s="430"/>
      <c r="L52" s="428" t="s">
        <v>267</v>
      </c>
      <c r="M52" s="429"/>
      <c r="N52" s="429"/>
      <c r="O52" s="429"/>
      <c r="P52" s="429"/>
      <c r="Q52" s="429"/>
      <c r="R52" s="429"/>
      <c r="S52" s="429"/>
      <c r="T52" s="430"/>
    </row>
    <row r="53" spans="2:20" ht="29" hidden="1">
      <c r="B53" s="50"/>
      <c r="C53" s="51"/>
      <c r="D53" s="33">
        <f>$D$32</f>
        <v>45658</v>
      </c>
      <c r="E53" s="33">
        <f>$E$32</f>
        <v>45901</v>
      </c>
      <c r="F53" s="36" t="str">
        <f>$D$3&amp;" Authorized"</f>
        <v>2025 Authorized</v>
      </c>
      <c r="G53" s="36" t="str">
        <f>$D$3&amp;" w/Pending"</f>
        <v>2025 w/Pending</v>
      </c>
      <c r="H53" s="36" t="str">
        <f>$H$32</f>
        <v>% Change over 01/1/2025</v>
      </c>
      <c r="I53" s="36" t="str">
        <f>$I$32</f>
        <v>% Change over 09/1/2025</v>
      </c>
      <c r="J53" s="88" t="s">
        <v>189</v>
      </c>
      <c r="L53" s="50"/>
      <c r="M53" s="51"/>
      <c r="N53" s="33">
        <f>$D$32</f>
        <v>45658</v>
      </c>
      <c r="O53" s="33">
        <f>$E$32</f>
        <v>45901</v>
      </c>
      <c r="P53" s="36" t="str">
        <f>$D$3&amp;" Authorized"</f>
        <v>2025 Authorized</v>
      </c>
      <c r="Q53" s="36" t="str">
        <f>$D$3&amp;" w/Pending"</f>
        <v>2025 w/Pending</v>
      </c>
      <c r="R53" s="36" t="str">
        <f>$H$32</f>
        <v>% Change over 01/1/2025</v>
      </c>
      <c r="S53" s="36" t="str">
        <f>$I$32</f>
        <v>% Change over 09/1/2025</v>
      </c>
      <c r="T53" s="88" t="s">
        <v>189</v>
      </c>
    </row>
    <row r="54" spans="2:20" hidden="1">
      <c r="B54" s="431" t="s">
        <v>49</v>
      </c>
      <c r="C54" s="432"/>
      <c r="D54" s="52">
        <f>VLOOKUP($D$4,'Res Bill Impact'!$B$38:$J$48,D51,FALSE)</f>
        <v>172.54993468750001</v>
      </c>
      <c r="E54" s="52">
        <f>VLOOKUP($D$4,'Res Bill Impact'!$B$38:$J$48,E51,FALSE)</f>
        <v>171.33615985755804</v>
      </c>
      <c r="F54" s="52">
        <f>VLOOKUP($D$4,'Res Bill Impact'!$B$38:$J$48,F51,FALSE)</f>
        <v>170.23220548709403</v>
      </c>
      <c r="G54" s="52">
        <f>VLOOKUP($D$4,'Res Bill Impact'!$B$38:$J$48,G51,FALSE)</f>
        <v>174.24668555327077</v>
      </c>
      <c r="H54" s="53">
        <f t="shared" ref="H54:I56" si="12">$G54/D54-1</f>
        <v>9.833390368090722E-3</v>
      </c>
      <c r="I54" s="53">
        <f t="shared" si="12"/>
        <v>1.6987223818558883E-2</v>
      </c>
      <c r="J54" s="54">
        <f t="shared" ref="J54:J56" si="13">$G54/F54-1</f>
        <v>2.3582377110664243E-2</v>
      </c>
      <c r="L54" s="431" t="s">
        <v>49</v>
      </c>
      <c r="M54" s="432"/>
      <c r="N54" s="52">
        <f>VLOOKUP($D$4,'Res Bill Impact'!$L$38:$T$48,N51,FALSE)</f>
        <v>187.58841562500001</v>
      </c>
      <c r="O54" s="52">
        <f>VLOOKUP($D$4,'Res Bill Impact'!$L$38:$T$48,O51,FALSE)</f>
        <v>186.24741369379569</v>
      </c>
      <c r="P54" s="125">
        <f>VLOOKUP($D$4,'Res Bill Impact'!$L$38:$T$48,P51,FALSE)</f>
        <v>185.04738302597974</v>
      </c>
      <c r="Q54" s="125">
        <f>VLOOKUP($D$4,'Res Bill Impact'!$L$38:$T$48,Q51,FALSE)</f>
        <v>189.41124019583989</v>
      </c>
      <c r="R54" s="122">
        <f t="shared" ref="R54:T56" si="14">$Q54/N54-1</f>
        <v>9.7171489229048724E-3</v>
      </c>
      <c r="S54" s="122">
        <f t="shared" si="14"/>
        <v>1.6987223818558661E-2</v>
      </c>
      <c r="T54" s="54">
        <f t="shared" si="14"/>
        <v>2.3582377110664021E-2</v>
      </c>
    </row>
    <row r="55" spans="2:20" hidden="1">
      <c r="B55" s="431" t="s">
        <v>50</v>
      </c>
      <c r="C55" s="432"/>
      <c r="D55" s="52">
        <f>VLOOKUP($D$4,'Res Bill Impact'!$B$54:$J$64,D51,FALSE)</f>
        <v>99.3377555</v>
      </c>
      <c r="E55" s="52">
        <f>VLOOKUP($D$4,'Res Bill Impact'!$B$54:$J$64,E51,FALSE)</f>
        <v>98.979035429116678</v>
      </c>
      <c r="F55" s="52">
        <f>VLOOKUP($D$4,'Res Bill Impact'!$B$54:$J$64,F51,FALSE)</f>
        <v>98.341293000214762</v>
      </c>
      <c r="G55" s="52">
        <f>VLOOKUP($D$4,'Res Bill Impact'!$B$54:$J$64,G51,FALSE)</f>
        <v>100.66041445729614</v>
      </c>
      <c r="H55" s="53">
        <f t="shared" si="12"/>
        <v>1.3314765877674217E-2</v>
      </c>
      <c r="I55" s="53">
        <f t="shared" si="12"/>
        <v>1.6987223818558883E-2</v>
      </c>
      <c r="J55" s="54">
        <f t="shared" si="13"/>
        <v>2.3582377110664243E-2</v>
      </c>
      <c r="L55" s="431" t="s">
        <v>50</v>
      </c>
      <c r="M55" s="432"/>
      <c r="N55" s="52">
        <f>VLOOKUP($D$4,'Res Bill Impact'!$L$54:$T$64,N51,FALSE)</f>
        <v>107.6648625</v>
      </c>
      <c r="O55" s="52">
        <f>VLOOKUP($D$4,'Res Bill Impact'!$L$54:$T$64,O51,FALSE)</f>
        <v>107.28555565456213</v>
      </c>
      <c r="P55" s="125">
        <f>VLOOKUP($D$4,'Res Bill Impact'!$L$54:$T$64,P51,FALSE)</f>
        <v>106.59429259514152</v>
      </c>
      <c r="Q55" s="125">
        <f>VLOOKUP($D$4,'Res Bill Impact'!$L$54:$T$64,Q51,FALSE)</f>
        <v>109.10803940096463</v>
      </c>
      <c r="R55" s="122">
        <f t="shared" si="14"/>
        <v>1.3404344439344129E-2</v>
      </c>
      <c r="S55" s="122">
        <f t="shared" si="14"/>
        <v>1.6987223818558883E-2</v>
      </c>
      <c r="T55" s="54">
        <f t="shared" si="14"/>
        <v>2.3582377110664243E-2</v>
      </c>
    </row>
    <row r="56" spans="2:20" ht="15" hidden="1" thickBot="1">
      <c r="B56" s="433" t="s">
        <v>136</v>
      </c>
      <c r="C56" s="434"/>
      <c r="D56" s="55">
        <f>D54*(1-'SAR and RAR'!$AB$16)+D55*'SAR and RAR'!$AB$16</f>
        <v>153.79074748032698</v>
      </c>
      <c r="E56" s="55">
        <f>E54*(1-'SAR and RAR'!$AB$16)+E55*'SAR and RAR'!$AB$16</f>
        <v>152.79606368790877</v>
      </c>
      <c r="F56" s="55">
        <f>F54*(1-'SAR and RAR'!$AB$16)+F55*'SAR and RAR'!$AB$16</f>
        <v>151.81156699767016</v>
      </c>
      <c r="G56" s="55">
        <f>G54*(1-'SAR and RAR'!$AB$16)+G55*'SAR and RAR'!$AB$16</f>
        <v>155.39164462037007</v>
      </c>
      <c r="H56" s="56">
        <f t="shared" si="12"/>
        <v>1.0409580330883461E-2</v>
      </c>
      <c r="I56" s="56">
        <f t="shared" si="12"/>
        <v>1.6987223818559105E-2</v>
      </c>
      <c r="J56" s="57">
        <f t="shared" si="13"/>
        <v>2.3582377110664243E-2</v>
      </c>
      <c r="L56" s="433" t="s">
        <v>136</v>
      </c>
      <c r="M56" s="434"/>
      <c r="N56" s="55">
        <f>N54*(1-'SAR and RAR'!$AB$16)+N55*'SAR and RAR'!$AB$16</f>
        <v>167.10957027476763</v>
      </c>
      <c r="O56" s="55">
        <f>O54*(1-'SAR and RAR'!$AB$16)+O55*'SAR and RAR'!$AB$16</f>
        <v>166.01498387647496</v>
      </c>
      <c r="P56" s="123">
        <f>P54*(1-'SAR and RAR'!$AB$16)+P55*'SAR and RAR'!$AB$16</f>
        <v>164.94531494514538</v>
      </c>
      <c r="Q56" s="123">
        <f>Q54*(1-'SAR and RAR'!$AB$16)+Q55*'SAR and RAR'!$AB$16</f>
        <v>168.83511756481909</v>
      </c>
      <c r="R56" s="124">
        <f t="shared" si="14"/>
        <v>1.032584361993294E-2</v>
      </c>
      <c r="S56" s="124">
        <f t="shared" si="14"/>
        <v>1.6987223818558883E-2</v>
      </c>
      <c r="T56" s="73">
        <f t="shared" si="14"/>
        <v>2.3582377110664243E-2</v>
      </c>
    </row>
    <row r="57" spans="2:20" hidden="1"/>
    <row r="58" spans="2:20" ht="15" hidden="1" thickBot="1"/>
    <row r="59" spans="2:20" hidden="1">
      <c r="B59" s="428" t="s">
        <v>259</v>
      </c>
      <c r="C59" s="429"/>
      <c r="D59" s="429"/>
      <c r="E59" s="429"/>
      <c r="F59" s="429"/>
      <c r="G59" s="429"/>
      <c r="H59" s="429"/>
      <c r="I59" s="429"/>
      <c r="J59" s="430"/>
      <c r="L59" s="428" t="s">
        <v>268</v>
      </c>
      <c r="M59" s="429"/>
      <c r="N59" s="429"/>
      <c r="O59" s="429"/>
      <c r="P59" s="429"/>
      <c r="Q59" s="429"/>
      <c r="R59" s="429"/>
      <c r="S59" s="429"/>
      <c r="T59" s="430"/>
    </row>
    <row r="60" spans="2:20" ht="29" hidden="1">
      <c r="B60" s="50"/>
      <c r="C60" s="51"/>
      <c r="D60" s="33">
        <f>$D$32</f>
        <v>45658</v>
      </c>
      <c r="E60" s="33">
        <f>$E$32</f>
        <v>45901</v>
      </c>
      <c r="F60" s="36" t="str">
        <f>$D$3&amp;" Authorized"</f>
        <v>2025 Authorized</v>
      </c>
      <c r="G60" s="36" t="str">
        <f>$D$3&amp;" w/Pending"</f>
        <v>2025 w/Pending</v>
      </c>
      <c r="H60" s="36" t="str">
        <f>$H$32</f>
        <v>% Change over 01/1/2025</v>
      </c>
      <c r="I60" s="36" t="str">
        <f>$I$32</f>
        <v>% Change over 09/1/2025</v>
      </c>
      <c r="J60" s="88" t="s">
        <v>189</v>
      </c>
      <c r="L60" s="50"/>
      <c r="M60" s="51"/>
      <c r="N60" s="33">
        <f>$D$32</f>
        <v>45658</v>
      </c>
      <c r="O60" s="33">
        <f>$E$32</f>
        <v>45901</v>
      </c>
      <c r="P60" s="36" t="str">
        <f>$D$3&amp;" Authorized"</f>
        <v>2025 Authorized</v>
      </c>
      <c r="Q60" s="36" t="str">
        <f>$D$3&amp;" w/Pending"</f>
        <v>2025 w/Pending</v>
      </c>
      <c r="R60" s="36" t="str">
        <f>$H$32</f>
        <v>% Change over 01/1/2025</v>
      </c>
      <c r="S60" s="36" t="str">
        <f>$I$32</f>
        <v>% Change over 09/1/2025</v>
      </c>
      <c r="T60" s="88" t="s">
        <v>189</v>
      </c>
    </row>
    <row r="61" spans="2:20" hidden="1">
      <c r="B61" s="431" t="s">
        <v>225</v>
      </c>
      <c r="C61" s="432"/>
      <c r="D61" s="52">
        <f t="shared" ref="D61:G62" si="15">((D68*4)+(D75*8)+($L$8*2))/12</f>
        <v>109.16033042336663</v>
      </c>
      <c r="E61" s="52">
        <f t="shared" si="15"/>
        <v>108.30805968688156</v>
      </c>
      <c r="F61" s="52">
        <f t="shared" si="15"/>
        <v>107.54768071735337</v>
      </c>
      <c r="G61" s="52">
        <f t="shared" si="15"/>
        <v>110.31276439977755</v>
      </c>
      <c r="H61" s="53">
        <f t="shared" ref="H61:I63" si="16">$G61/D61-1</f>
        <v>1.0557259875829672E-2</v>
      </c>
      <c r="I61" s="53">
        <f t="shared" si="16"/>
        <v>1.8509284707819429E-2</v>
      </c>
      <c r="J61" s="54">
        <f t="shared" ref="J61:J63" si="17">$G61/F61-1</f>
        <v>2.5710305084970742E-2</v>
      </c>
      <c r="L61" s="431" t="s">
        <v>227</v>
      </c>
      <c r="M61" s="432"/>
      <c r="N61" s="52">
        <f t="shared" ref="N61:Q62" si="18">((N68*4)+(N75*8)+($L$8*2))/12</f>
        <v>143.76137604836663</v>
      </c>
      <c r="O61" s="52">
        <f t="shared" si="18"/>
        <v>142.6610128029732</v>
      </c>
      <c r="P61" s="52">
        <f t="shared" si="18"/>
        <v>141.67929064026046</v>
      </c>
      <c r="Q61" s="52">
        <f t="shared" si="18"/>
        <v>145.24927881928073</v>
      </c>
      <c r="R61" s="122">
        <f t="shared" ref="R61:T63" si="19">$Q61/N61-1</f>
        <v>1.0349808911216396E-2</v>
      </c>
      <c r="S61" s="122">
        <f t="shared" si="19"/>
        <v>1.8142770512096007E-2</v>
      </c>
      <c r="T61" s="54">
        <f t="shared" si="19"/>
        <v>2.519767118318561E-2</v>
      </c>
    </row>
    <row r="62" spans="2:20" hidden="1">
      <c r="B62" s="431" t="s">
        <v>226</v>
      </c>
      <c r="C62" s="432"/>
      <c r="D62" s="52">
        <f t="shared" si="15"/>
        <v>62.994394340033288</v>
      </c>
      <c r="E62" s="52">
        <f t="shared" si="15"/>
        <v>62.738273966582916</v>
      </c>
      <c r="F62" s="52">
        <f t="shared" si="15"/>
        <v>62.271510566289244</v>
      </c>
      <c r="G62" s="52">
        <f t="shared" si="15"/>
        <v>63.968874530084442</v>
      </c>
      <c r="H62" s="53">
        <f t="shared" si="16"/>
        <v>1.5469315964704355E-2</v>
      </c>
      <c r="I62" s="53">
        <f t="shared" si="16"/>
        <v>1.9614829763359376E-2</v>
      </c>
      <c r="J62" s="54">
        <f>$G62/F62-1</f>
        <v>2.7257472130667537E-2</v>
      </c>
      <c r="L62" s="431" t="s">
        <v>228</v>
      </c>
      <c r="M62" s="432"/>
      <c r="N62" s="52">
        <f t="shared" si="18"/>
        <v>84.156725694199949</v>
      </c>
      <c r="O62" s="52">
        <f t="shared" si="18"/>
        <v>83.826049732587663</v>
      </c>
      <c r="P62" s="52">
        <f t="shared" si="18"/>
        <v>83.223413424674263</v>
      </c>
      <c r="Q62" s="52">
        <f t="shared" si="18"/>
        <v>85.414873062861886</v>
      </c>
      <c r="R62" s="122">
        <f t="shared" si="19"/>
        <v>1.4950051327254243E-2</v>
      </c>
      <c r="S62" s="122">
        <f t="shared" si="19"/>
        <v>1.8953813705199218E-2</v>
      </c>
      <c r="T62" s="54">
        <f t="shared" si="19"/>
        <v>2.6332248919002987E-2</v>
      </c>
    </row>
    <row r="63" spans="2:20" ht="15" hidden="1" thickBot="1">
      <c r="B63" s="433" t="s">
        <v>136</v>
      </c>
      <c r="C63" s="434"/>
      <c r="D63" s="55">
        <f>((D70*4)+(D77*8)+($L$8*2))/12</f>
        <v>97.331213366713044</v>
      </c>
      <c r="E63" s="55">
        <f>((E70*4)+(E77*8)+($L$8*2))/12</f>
        <v>96.631694486379558</v>
      </c>
      <c r="F63" s="55">
        <f>((F70*4)+(F77*8)+($L$8*2))/12</f>
        <v>95.946548756611989</v>
      </c>
      <c r="G63" s="55">
        <f>((G70*4)+(G77*8)+($L$8*2))/12</f>
        <v>98.438050170227385</v>
      </c>
      <c r="H63" s="56">
        <f t="shared" si="16"/>
        <v>1.1371858679539271E-2</v>
      </c>
      <c r="I63" s="56">
        <f t="shared" si="16"/>
        <v>1.8693200956984457E-2</v>
      </c>
      <c r="J63" s="57">
        <f t="shared" si="17"/>
        <v>2.5967598062704766E-2</v>
      </c>
      <c r="L63" s="433" t="s">
        <v>136</v>
      </c>
      <c r="M63" s="434"/>
      <c r="N63" s="55">
        <f>((N70*4)+(N77*8)+($L$8*2))/12</f>
        <v>128.48885162933104</v>
      </c>
      <c r="O63" s="55">
        <f>((O70*4)+(O77*8)+($L$8*2))/12</f>
        <v>127.58570567766758</v>
      </c>
      <c r="P63" s="55">
        <f>((P70*4)+(P77*8)+($L$8*2))/12</f>
        <v>126.70111684163207</v>
      </c>
      <c r="Q63" s="55">
        <f>((Q70*4)+(Q77*8)+($L$8*2))/12</f>
        <v>129.91788407770397</v>
      </c>
      <c r="R63" s="124">
        <f t="shared" si="19"/>
        <v>1.1121839990409832E-2</v>
      </c>
      <c r="S63" s="124">
        <f t="shared" si="19"/>
        <v>1.8279307918148913E-2</v>
      </c>
      <c r="T63" s="73">
        <f t="shared" si="19"/>
        <v>2.5388625737945425E-2</v>
      </c>
    </row>
    <row r="64" spans="2:20" ht="15" hidden="1" thickBot="1">
      <c r="B64" s="58"/>
      <c r="C64" s="58"/>
      <c r="D64" s="117"/>
      <c r="E64" s="117"/>
      <c r="F64" s="117"/>
      <c r="G64" s="117"/>
      <c r="H64" s="118"/>
      <c r="I64" s="118"/>
      <c r="J64" s="118"/>
      <c r="L64" s="58"/>
      <c r="M64" s="58"/>
      <c r="N64" s="117"/>
      <c r="O64" s="117"/>
      <c r="P64" s="117"/>
      <c r="Q64" s="117"/>
      <c r="R64" s="118"/>
      <c r="S64" s="118"/>
      <c r="T64" s="118"/>
    </row>
    <row r="65" spans="2:20" ht="15" hidden="1" thickBot="1">
      <c r="D65" s="39">
        <v>2</v>
      </c>
      <c r="E65" s="39">
        <v>4</v>
      </c>
      <c r="F65" s="39">
        <v>6</v>
      </c>
      <c r="G65" s="39">
        <v>8</v>
      </c>
      <c r="N65" s="39">
        <v>2</v>
      </c>
      <c r="O65" s="39">
        <v>4</v>
      </c>
      <c r="P65" s="39">
        <v>6</v>
      </c>
      <c r="Q65" s="39">
        <v>8</v>
      </c>
    </row>
    <row r="66" spans="2:20" hidden="1">
      <c r="B66" s="428" t="s">
        <v>260</v>
      </c>
      <c r="C66" s="429"/>
      <c r="D66" s="429"/>
      <c r="E66" s="429"/>
      <c r="F66" s="429"/>
      <c r="G66" s="429"/>
      <c r="H66" s="429"/>
      <c r="I66" s="429"/>
      <c r="J66" s="430"/>
      <c r="L66" s="428" t="s">
        <v>269</v>
      </c>
      <c r="M66" s="429"/>
      <c r="N66" s="429"/>
      <c r="O66" s="429"/>
      <c r="P66" s="429"/>
      <c r="Q66" s="429"/>
      <c r="R66" s="429"/>
      <c r="S66" s="429"/>
      <c r="T66" s="430"/>
    </row>
    <row r="67" spans="2:20" ht="29" hidden="1">
      <c r="B67" s="50"/>
      <c r="C67" s="51"/>
      <c r="D67" s="33">
        <f>$D$32</f>
        <v>45658</v>
      </c>
      <c r="E67" s="33">
        <f>$E$32</f>
        <v>45901</v>
      </c>
      <c r="F67" s="36" t="str">
        <f>$D$3&amp;" Authorized"</f>
        <v>2025 Authorized</v>
      </c>
      <c r="G67" s="36" t="str">
        <f>$D$3&amp;" w/Pending"</f>
        <v>2025 w/Pending</v>
      </c>
      <c r="H67" s="36" t="str">
        <f>$H$32</f>
        <v>% Change over 01/1/2025</v>
      </c>
      <c r="I67" s="36" t="str">
        <f>$I$32</f>
        <v>% Change over 09/1/2025</v>
      </c>
      <c r="J67" s="88" t="s">
        <v>189</v>
      </c>
      <c r="L67" s="50"/>
      <c r="M67" s="51"/>
      <c r="N67" s="33">
        <f>$D$32</f>
        <v>45658</v>
      </c>
      <c r="O67" s="33">
        <f>$E$32</f>
        <v>45901</v>
      </c>
      <c r="P67" s="36" t="str">
        <f>$D$3&amp;" Authorized"</f>
        <v>2025 Authorized</v>
      </c>
      <c r="Q67" s="36" t="str">
        <f>$D$3&amp;" w/Pending"</f>
        <v>2025 w/Pending</v>
      </c>
      <c r="R67" s="36" t="str">
        <f>$H$32</f>
        <v>% Change over 01/1/2025</v>
      </c>
      <c r="S67" s="36" t="str">
        <f>$I$32</f>
        <v>% Change over 09/1/2025</v>
      </c>
      <c r="T67" s="88" t="s">
        <v>189</v>
      </c>
    </row>
    <row r="68" spans="2:20" hidden="1">
      <c r="B68" s="431" t="s">
        <v>225</v>
      </c>
      <c r="C68" s="432"/>
      <c r="D68" s="52">
        <f>VLOOKUP($D$4,'Res Bill Impact'!$B$70:$J$80,D65,FALSE)</f>
        <v>119.67891075000001</v>
      </c>
      <c r="E68" s="52">
        <f>VLOOKUP($D$4,'Res Bill Impact'!$B$70:$J$80,E65,FALSE)</f>
        <v>118.8208025427171</v>
      </c>
      <c r="F68" s="52">
        <f>VLOOKUP($D$4,'Res Bill Impact'!$B$70:$J$80,F65,FALSE)</f>
        <v>118.05521549805516</v>
      </c>
      <c r="G68" s="52">
        <f>VLOOKUP($D$4,'Res Bill Impact'!$B$70:$J$80,G65,FALSE)</f>
        <v>120.83923810981101</v>
      </c>
      <c r="H68" s="53">
        <f t="shared" ref="H68:I70" si="20">$G68/D68-1</f>
        <v>9.6953369022119151E-3</v>
      </c>
      <c r="I68" s="53">
        <f t="shared" si="20"/>
        <v>1.6987223818558661E-2</v>
      </c>
      <c r="J68" s="54">
        <f t="shared" ref="J68:J70" si="21">$G68/F68-1</f>
        <v>2.3582377110664021E-2</v>
      </c>
      <c r="L68" s="431" t="s">
        <v>227</v>
      </c>
      <c r="M68" s="432"/>
      <c r="N68" s="52">
        <f>VLOOKUP($D$4,'Res Bill Impact'!$L$70:$T$80,N65,FALSE)</f>
        <v>103.80313687500001</v>
      </c>
      <c r="O68" s="52">
        <f>VLOOKUP($D$4,'Res Bill Impact'!$L$70:$T$80,O65,FALSE)</f>
        <v>103.05885934827504</v>
      </c>
      <c r="P68" s="125">
        <f>VLOOKUP($D$4,'Res Bill Impact'!$L$70:$T$80,P65,FALSE)</f>
        <v>102.39482976872131</v>
      </c>
      <c r="Q68" s="125">
        <f>VLOOKUP($D$4,'Res Bill Impact'!$L$70:$T$80,Q65,FALSE)</f>
        <v>104.80954325850954</v>
      </c>
      <c r="R68" s="122">
        <f t="shared" ref="R68:T70" si="22">$Q68/N68-1</f>
        <v>9.6953369022116931E-3</v>
      </c>
      <c r="S68" s="122">
        <f t="shared" si="22"/>
        <v>1.6987223818558661E-2</v>
      </c>
      <c r="T68" s="54">
        <f t="shared" si="22"/>
        <v>2.3582377110664021E-2</v>
      </c>
    </row>
    <row r="69" spans="2:20" hidden="1">
      <c r="B69" s="431" t="s">
        <v>226</v>
      </c>
      <c r="C69" s="432"/>
      <c r="D69" s="52">
        <f>VLOOKUP($D$4,'Res Bill Impact'!$B$86:$J$96,D65,FALSE)</f>
        <v>73.196769625000002</v>
      </c>
      <c r="E69" s="52">
        <f>VLOOKUP($D$4,'Res Bill Impact'!$B$86:$J$96,E65,FALSE)</f>
        <v>72.938895002416416</v>
      </c>
      <c r="F69" s="52">
        <f>VLOOKUP($D$4,'Res Bill Impact'!$B$86:$J$96,F65,FALSE)</f>
        <v>72.468934592531696</v>
      </c>
      <c r="G69" s="52">
        <f>VLOOKUP($D$4,'Res Bill Impact'!$B$86:$J$96,G65,FALSE)</f>
        <v>74.17792433690083</v>
      </c>
      <c r="H69" s="53">
        <f t="shared" si="20"/>
        <v>1.3404344439344129E-2</v>
      </c>
      <c r="I69" s="53">
        <f t="shared" si="20"/>
        <v>1.6987223818558883E-2</v>
      </c>
      <c r="J69" s="54">
        <f t="shared" si="21"/>
        <v>2.3582377110664021E-2</v>
      </c>
      <c r="L69" s="431" t="s">
        <v>228</v>
      </c>
      <c r="M69" s="432"/>
      <c r="N69" s="52">
        <f>VLOOKUP($D$4,'Res Bill Impact'!$L$86:$T$96,N65,FALSE)</f>
        <v>63.486994062500003</v>
      </c>
      <c r="O69" s="52">
        <f>VLOOKUP($D$4,'Res Bill Impact'!$L$86:$T$96,O65,FALSE)</f>
        <v>63.263327298014239</v>
      </c>
      <c r="P69" s="125">
        <f>VLOOKUP($D$4,'Res Bill Impact'!$L$86:$T$96,P65,FALSE)</f>
        <v>62.855708575155035</v>
      </c>
      <c r="Q69" s="125">
        <f>VLOOKUP($D$4,'Res Bill Impact'!$L$86:$T$96,Q65,FALSE)</f>
        <v>64.337995598332341</v>
      </c>
      <c r="R69" s="122">
        <f t="shared" si="22"/>
        <v>1.3404344439344129E-2</v>
      </c>
      <c r="S69" s="122">
        <f t="shared" si="22"/>
        <v>1.6987223818558661E-2</v>
      </c>
      <c r="T69" s="54">
        <f t="shared" si="22"/>
        <v>2.3582377110664021E-2</v>
      </c>
    </row>
    <row r="70" spans="2:20" ht="15" hidden="1" thickBot="1">
      <c r="B70" s="433" t="s">
        <v>136</v>
      </c>
      <c r="C70" s="434"/>
      <c r="D70" s="55">
        <f>D68*(1-'SAR and RAR'!$AB$16)+D69*'SAR and RAR'!$AB$16</f>
        <v>107.76877234364333</v>
      </c>
      <c r="E70" s="55">
        <f>E68*(1-'SAR and RAR'!$AB$16)+E69*'SAR and RAR'!$AB$16</f>
        <v>107.06446223810207</v>
      </c>
      <c r="F70" s="55">
        <f>F68*(1-'SAR and RAR'!$AB$16)+F69*'SAR and RAR'!$AB$16</f>
        <v>106.37462372936349</v>
      </c>
      <c r="G70" s="55">
        <f>G68*(1-'SAR and RAR'!$AB$16)+G69*'SAR and RAR'!$AB$16</f>
        <v>108.88319022115435</v>
      </c>
      <c r="H70" s="56">
        <f t="shared" si="20"/>
        <v>1.0340823721712855E-2</v>
      </c>
      <c r="I70" s="56">
        <f t="shared" si="20"/>
        <v>1.6987223818558883E-2</v>
      </c>
      <c r="J70" s="57">
        <f t="shared" si="21"/>
        <v>2.3582377110664243E-2</v>
      </c>
      <c r="L70" s="433" t="s">
        <v>136</v>
      </c>
      <c r="M70" s="434"/>
      <c r="N70" s="55">
        <f>N68*(1-'SAR and RAR'!$AB$16)+N69*'SAR and RAR'!$AB$16</f>
        <v>93.47291478785391</v>
      </c>
      <c r="O70" s="55">
        <f>O68*(1-'SAR and RAR'!$AB$16)+O69*'SAR and RAR'!$AB$16</f>
        <v>92.862033573864039</v>
      </c>
      <c r="P70" s="123">
        <f>P68*(1-'SAR and RAR'!$AB$16)+P69*'SAR and RAR'!$AB$16</f>
        <v>92.263704255060176</v>
      </c>
      <c r="Q70" s="123">
        <f>Q68*(1-'SAR and RAR'!$AB$16)+Q69*'SAR and RAR'!$AB$16</f>
        <v>94.439501722429767</v>
      </c>
      <c r="R70" s="124">
        <f t="shared" si="22"/>
        <v>1.0340823721712633E-2</v>
      </c>
      <c r="S70" s="124">
        <f t="shared" si="22"/>
        <v>1.6987223818558661E-2</v>
      </c>
      <c r="T70" s="73">
        <f t="shared" si="22"/>
        <v>2.3582377110663799E-2</v>
      </c>
    </row>
    <row r="71" spans="2:20" ht="15" hidden="1" thickBot="1">
      <c r="B71" s="58"/>
      <c r="C71" s="58"/>
      <c r="D71" s="117"/>
      <c r="E71" s="117"/>
      <c r="F71" s="117"/>
      <c r="G71" s="117"/>
      <c r="H71" s="118"/>
      <c r="I71" s="118"/>
      <c r="J71" s="118"/>
      <c r="L71" s="58"/>
      <c r="M71" s="58"/>
      <c r="N71" s="117"/>
      <c r="O71" s="117"/>
      <c r="P71" s="117"/>
      <c r="Q71" s="117"/>
      <c r="R71" s="118"/>
      <c r="S71" s="118"/>
      <c r="T71" s="118"/>
    </row>
    <row r="72" spans="2:20" ht="15" hidden="1" thickBot="1">
      <c r="D72" s="39">
        <v>3</v>
      </c>
      <c r="E72" s="39">
        <v>5</v>
      </c>
      <c r="F72" s="39">
        <v>7</v>
      </c>
      <c r="G72" s="39">
        <v>9</v>
      </c>
      <c r="N72" s="39">
        <v>3</v>
      </c>
      <c r="O72" s="39">
        <v>5</v>
      </c>
      <c r="P72" s="39">
        <v>7</v>
      </c>
      <c r="Q72" s="39">
        <v>9</v>
      </c>
    </row>
    <row r="73" spans="2:20" hidden="1">
      <c r="B73" s="428" t="s">
        <v>261</v>
      </c>
      <c r="C73" s="429"/>
      <c r="D73" s="429"/>
      <c r="E73" s="429"/>
      <c r="F73" s="429"/>
      <c r="G73" s="429"/>
      <c r="H73" s="429"/>
      <c r="I73" s="429"/>
      <c r="J73" s="430"/>
      <c r="L73" s="428" t="s">
        <v>270</v>
      </c>
      <c r="M73" s="429"/>
      <c r="N73" s="429"/>
      <c r="O73" s="429"/>
      <c r="P73" s="429"/>
      <c r="Q73" s="429"/>
      <c r="R73" s="429"/>
      <c r="S73" s="429"/>
      <c r="T73" s="430"/>
    </row>
    <row r="74" spans="2:20" ht="29" hidden="1">
      <c r="B74" s="50"/>
      <c r="C74" s="51"/>
      <c r="D74" s="33">
        <f>$D$32</f>
        <v>45658</v>
      </c>
      <c r="E74" s="33">
        <f>$E$32</f>
        <v>45901</v>
      </c>
      <c r="F74" s="36" t="str">
        <f>$D$3&amp;" Authorized"</f>
        <v>2025 Authorized</v>
      </c>
      <c r="G74" s="36" t="str">
        <f>$D$3&amp;" w/Pending"</f>
        <v>2025 w/Pending</v>
      </c>
      <c r="H74" s="36" t="str">
        <f>$H$32</f>
        <v>% Change over 01/1/2025</v>
      </c>
      <c r="I74" s="36" t="str">
        <f>$I$32</f>
        <v>% Change over 09/1/2025</v>
      </c>
      <c r="J74" s="88" t="s">
        <v>189</v>
      </c>
      <c r="L74" s="50"/>
      <c r="M74" s="51"/>
      <c r="N74" s="33">
        <f>$D$32</f>
        <v>45658</v>
      </c>
      <c r="O74" s="33">
        <f>$E$32</f>
        <v>45901</v>
      </c>
      <c r="P74" s="36" t="str">
        <f>$D$3&amp;" Authorized"</f>
        <v>2025 Authorized</v>
      </c>
      <c r="Q74" s="36" t="str">
        <f>$D$3&amp;" w/Pending"</f>
        <v>2025 w/Pending</v>
      </c>
      <c r="R74" s="36" t="str">
        <f>$H$32</f>
        <v>% Change over 01/1/2025</v>
      </c>
      <c r="S74" s="36" t="str">
        <f>$I$32</f>
        <v>% Change over 09/1/2025</v>
      </c>
      <c r="T74" s="88" t="s">
        <v>189</v>
      </c>
    </row>
    <row r="75" spans="2:20" hidden="1">
      <c r="B75" s="431" t="s">
        <v>225</v>
      </c>
      <c r="C75" s="432"/>
      <c r="D75" s="52">
        <f>VLOOKUP($D$4,'Res Bill Impact'!$B$70:$J$80,D72,FALSE)</f>
        <v>118.457697375</v>
      </c>
      <c r="E75" s="52">
        <f>VLOOKUP($D$4,'Res Bill Impact'!$B$70:$J$80,E72,FALSE)</f>
        <v>117.60834537391385</v>
      </c>
      <c r="F75" s="52">
        <f>VLOOKUP($D$4,'Res Bill Impact'!$B$70:$J$80,F72,FALSE)</f>
        <v>116.85057044195254</v>
      </c>
      <c r="G75" s="52">
        <f>VLOOKUP($D$4,'Res Bill Impact'!$B$70:$J$80,G72,FALSE)</f>
        <v>119.60618465971088</v>
      </c>
      <c r="H75" s="53">
        <f t="shared" ref="H75:I77" si="23">$G75/D75-1</f>
        <v>9.6953369022119151E-3</v>
      </c>
      <c r="I75" s="53">
        <f t="shared" si="23"/>
        <v>1.6987223818558661E-2</v>
      </c>
      <c r="J75" s="54">
        <f t="shared" ref="J75:J77" si="24">$G75/F75-1</f>
        <v>2.3582377110664021E-2</v>
      </c>
      <c r="L75" s="431" t="s">
        <v>227</v>
      </c>
      <c r="M75" s="432"/>
      <c r="N75" s="52">
        <f>VLOOKUP($D$4,'Res Bill Impact'!$L$70:$T$80,N72,FALSE)</f>
        <v>178.29715275000001</v>
      </c>
      <c r="O75" s="52">
        <f>VLOOKUP($D$4,'Res Bill Impact'!$L$70:$T$80,O72,FALSE)</f>
        <v>177.01874664527239</v>
      </c>
      <c r="P75" s="125">
        <f>VLOOKUP($D$4,'Res Bill Impact'!$L$70:$T$80,P72,FALSE)</f>
        <v>175.87817819098012</v>
      </c>
      <c r="Q75" s="125">
        <f>VLOOKUP($D$4,'Res Bill Impact'!$L$70:$T$80,Q72,FALSE)</f>
        <v>180.02580371461639</v>
      </c>
      <c r="R75" s="122">
        <f t="shared" ref="R75:T77" si="25">$Q75/N75-1</f>
        <v>9.6953369022119151E-3</v>
      </c>
      <c r="S75" s="122">
        <f t="shared" si="25"/>
        <v>1.6987223818558883E-2</v>
      </c>
      <c r="T75" s="54">
        <f t="shared" si="25"/>
        <v>2.3582377110664021E-2</v>
      </c>
    </row>
    <row r="76" spans="2:20" hidden="1">
      <c r="B76" s="431" t="s">
        <v>226</v>
      </c>
      <c r="C76" s="432"/>
      <c r="D76" s="52">
        <f>VLOOKUP($D$4,'Res Bill Impact'!$B$86:$J$96,D72,FALSE)</f>
        <v>72.449863812499999</v>
      </c>
      <c r="E76" s="52">
        <f>VLOOKUP($D$4,'Res Bill Impact'!$B$86:$J$96,E72,FALSE)</f>
        <v>72.19462056361624</v>
      </c>
      <c r="F76" s="52">
        <f>VLOOKUP($D$4,'Res Bill Impact'!$B$86:$J$96,F72,FALSE)</f>
        <v>71.729455668118092</v>
      </c>
      <c r="G76" s="52">
        <f>VLOOKUP($D$4,'Res Bill Impact'!$B$86:$J$96,G72,FALSE)</f>
        <v>73.421006741626314</v>
      </c>
      <c r="H76" s="53">
        <f t="shared" si="23"/>
        <v>1.3404344439344129E-2</v>
      </c>
      <c r="I76" s="53">
        <f t="shared" si="23"/>
        <v>1.6987223818558661E-2</v>
      </c>
      <c r="J76" s="54">
        <f t="shared" si="24"/>
        <v>2.3582377110664021E-2</v>
      </c>
      <c r="L76" s="431" t="s">
        <v>228</v>
      </c>
      <c r="M76" s="432"/>
      <c r="N76" s="52">
        <f>VLOOKUP($D$4,'Res Bill Impact'!$L$86:$T$96,N72,FALSE)</f>
        <v>109.048248625</v>
      </c>
      <c r="O76" s="52">
        <f>VLOOKUP($D$4,'Res Bill Impact'!$L$86:$T$96,O72,FALSE)</f>
        <v>108.66406806482445</v>
      </c>
      <c r="P76" s="125">
        <f>VLOOKUP($D$4,'Res Bill Impact'!$L$86:$T$96,P72,FALSE)</f>
        <v>107.96392296438394</v>
      </c>
      <c r="Q76" s="125">
        <f>VLOOKUP($D$4,'Res Bill Impact'!$L$86:$T$96,Q72,FALSE)</f>
        <v>110.50996891007672</v>
      </c>
      <c r="R76" s="122">
        <f t="shared" si="25"/>
        <v>1.3404344439344129E-2</v>
      </c>
      <c r="S76" s="122">
        <f t="shared" si="25"/>
        <v>1.6987223818558661E-2</v>
      </c>
      <c r="T76" s="54">
        <f t="shared" si="25"/>
        <v>2.3582377110664021E-2</v>
      </c>
    </row>
    <row r="77" spans="2:20" ht="15" hidden="1" thickBot="1">
      <c r="B77" s="433" t="s">
        <v>136</v>
      </c>
      <c r="C77" s="434"/>
      <c r="D77" s="55">
        <f>D75*(1-'SAR and RAR'!$AB$16)+D76*'SAR and RAR'!$AB$16</f>
        <v>106.66909099319798</v>
      </c>
      <c r="E77" s="55">
        <f>E75*(1-'SAR and RAR'!$AB$16)+E76*'SAR and RAR'!$AB$16</f>
        <v>105.97196772546836</v>
      </c>
      <c r="F77" s="55">
        <f>F75*(1-'SAR and RAR'!$AB$16)+F76*'SAR and RAR'!$AB$16</f>
        <v>105.2891683851863</v>
      </c>
      <c r="G77" s="55">
        <f>G75*(1-'SAR and RAR'!$AB$16)+G76*'SAR and RAR'!$AB$16</f>
        <v>107.77213725971397</v>
      </c>
      <c r="H77" s="56">
        <f t="shared" si="23"/>
        <v>1.0340823721712633E-2</v>
      </c>
      <c r="I77" s="56">
        <f t="shared" si="23"/>
        <v>1.6987223818558661E-2</v>
      </c>
      <c r="J77" s="57">
        <f t="shared" si="24"/>
        <v>2.3582377110664021E-2</v>
      </c>
      <c r="L77" s="433" t="s">
        <v>136</v>
      </c>
      <c r="M77" s="434"/>
      <c r="N77" s="55">
        <f>N75*(1-'SAR and RAR'!$AB$16)+N76*'SAR and RAR'!$AB$16</f>
        <v>160.55347716501967</v>
      </c>
      <c r="O77" s="55">
        <f>O75*(1-'SAR and RAR'!$AB$16)+O76*'SAR and RAR'!$AB$16</f>
        <v>159.50419884451941</v>
      </c>
      <c r="P77" s="123">
        <f>P75*(1-'SAR and RAR'!$AB$16)+P76*'SAR and RAR'!$AB$16</f>
        <v>158.47648024986808</v>
      </c>
      <c r="Q77" s="123">
        <f>Q75*(1-'SAR and RAR'!$AB$16)+Q76*'SAR and RAR'!$AB$16</f>
        <v>162.21373237029115</v>
      </c>
      <c r="R77" s="124">
        <f t="shared" si="25"/>
        <v>1.0340823721712633E-2</v>
      </c>
      <c r="S77" s="124">
        <f t="shared" si="25"/>
        <v>1.6987223818558661E-2</v>
      </c>
      <c r="T77" s="73">
        <f t="shared" si="25"/>
        <v>2.3582377110664021E-2</v>
      </c>
    </row>
    <row r="78" spans="2:20" hidden="1"/>
    <row r="79" spans="2:20" ht="15" hidden="1" thickBot="1"/>
    <row r="80" spans="2:20">
      <c r="B80" s="428" t="s">
        <v>262</v>
      </c>
      <c r="C80" s="429"/>
      <c r="D80" s="429"/>
      <c r="E80" s="429"/>
      <c r="F80" s="429"/>
      <c r="G80" s="429"/>
      <c r="H80" s="429"/>
      <c r="I80" s="429"/>
      <c r="J80" s="430"/>
      <c r="L80" s="428" t="s">
        <v>271</v>
      </c>
      <c r="M80" s="429"/>
      <c r="N80" s="429"/>
      <c r="O80" s="429"/>
      <c r="P80" s="429"/>
      <c r="Q80" s="429"/>
      <c r="R80" s="429"/>
      <c r="S80" s="429"/>
      <c r="T80" s="430"/>
    </row>
    <row r="81" spans="2:20" ht="29">
      <c r="B81" s="50"/>
      <c r="C81" s="51"/>
      <c r="D81" s="33">
        <f>$D$32</f>
        <v>45658</v>
      </c>
      <c r="E81" s="33">
        <f>$E$32</f>
        <v>45901</v>
      </c>
      <c r="F81" s="36" t="str">
        <f>$D$3&amp;" Authorized"</f>
        <v>2025 Authorized</v>
      </c>
      <c r="G81" s="36" t="str">
        <f>$D$3&amp;" w/Pending"</f>
        <v>2025 w/Pending</v>
      </c>
      <c r="H81" s="36" t="str">
        <f>$H$32</f>
        <v>% Change over 01/1/2025</v>
      </c>
      <c r="I81" s="36" t="str">
        <f>$I$32</f>
        <v>% Change over 09/1/2025</v>
      </c>
      <c r="J81" s="88" t="s">
        <v>189</v>
      </c>
      <c r="L81" s="50"/>
      <c r="M81" s="51"/>
      <c r="N81" s="33">
        <f>$D$32</f>
        <v>45658</v>
      </c>
      <c r="O81" s="33">
        <f>$E$32</f>
        <v>45901</v>
      </c>
      <c r="P81" s="36" t="str">
        <f>$D$3&amp;" Authorized"</f>
        <v>2025 Authorized</v>
      </c>
      <c r="Q81" s="36" t="str">
        <f>$D$3&amp;" w/Pending"</f>
        <v>2025 w/Pending</v>
      </c>
      <c r="R81" s="36" t="str">
        <f>$H$32</f>
        <v>% Change over 01/1/2025</v>
      </c>
      <c r="S81" s="36" t="str">
        <f>$I$32</f>
        <v>% Change over 09/1/2025</v>
      </c>
      <c r="T81" s="88" t="s">
        <v>189</v>
      </c>
    </row>
    <row r="82" spans="2:20">
      <c r="B82" s="431" t="str">
        <f>$I$4&amp;"kWh Monthly Usage - Non-CARE"</f>
        <v>500kWh Monthly Usage - Non-CARE</v>
      </c>
      <c r="C82" s="432"/>
      <c r="D82" s="52">
        <f t="shared" ref="D82:G83" si="26">((D89*4)+(D96*8)+($L$8*2))/12</f>
        <v>211.55477984003332</v>
      </c>
      <c r="E82" s="52">
        <f t="shared" si="26"/>
        <v>210.01267121239243</v>
      </c>
      <c r="F82" s="52">
        <f t="shared" si="26"/>
        <v>208.59698836256675</v>
      </c>
      <c r="G82" s="52">
        <f t="shared" si="26"/>
        <v>213.74505492465184</v>
      </c>
      <c r="H82" s="53">
        <f>$G82/D82-1</f>
        <v>1.0353229013661203E-2</v>
      </c>
      <c r="I82" s="53">
        <f>$G82/E82-1</f>
        <v>1.7772183414993759E-2</v>
      </c>
      <c r="J82" s="54">
        <f>$G82/F82-1</f>
        <v>2.4679486518458971E-2</v>
      </c>
      <c r="L82" s="431" t="str">
        <f>$I$4&amp;"kWh Monthly Usage - Non-CARE"</f>
        <v>500kWh Monthly Usage - Non-CARE</v>
      </c>
      <c r="M82" s="432"/>
      <c r="N82" s="52">
        <f t="shared" ref="N82:Q83" si="27">((N89*4)+(N96*8)+($L$8*2))/12</f>
        <v>200.98988692336664</v>
      </c>
      <c r="O82" s="52">
        <f t="shared" si="27"/>
        <v>199.50084393365071</v>
      </c>
      <c r="P82" s="52">
        <f t="shared" si="27"/>
        <v>198.15289096452031</v>
      </c>
      <c r="Q82" s="52">
        <f t="shared" si="27"/>
        <v>203.05466088318414</v>
      </c>
      <c r="R82" s="122">
        <f t="shared" ref="R82:T84" si="28">$Q82/N82-1</f>
        <v>1.0273024137800402E-2</v>
      </c>
      <c r="S82" s="122">
        <f t="shared" si="28"/>
        <v>1.7813543439020973E-2</v>
      </c>
      <c r="T82" s="54">
        <f t="shared" si="28"/>
        <v>2.4737312157315561E-2</v>
      </c>
    </row>
    <row r="83" spans="2:20">
      <c r="B83" s="431" t="str">
        <f>$I$4&amp;"kWh Monthly Usage - CARE"</f>
        <v>500kWh Monthly Usage - CARE</v>
      </c>
      <c r="C83" s="432"/>
      <c r="D83" s="52">
        <f t="shared" si="26"/>
        <v>126.41306292336661</v>
      </c>
      <c r="E83" s="52">
        <f t="shared" si="26"/>
        <v>125.91287870301009</v>
      </c>
      <c r="F83" s="52">
        <f t="shared" si="26"/>
        <v>125.03906823770052</v>
      </c>
      <c r="G83" s="52">
        <f t="shared" si="26"/>
        <v>128.21664041681828</v>
      </c>
      <c r="H83" s="53">
        <f>$G83/D83-1</f>
        <v>1.4267334812898547E-2</v>
      </c>
      <c r="I83" s="53">
        <f>$G83/E83-1</f>
        <v>1.8296474018690834E-2</v>
      </c>
      <c r="J83" s="54">
        <f t="shared" ref="J83:J84" si="29">$G83/F83-1</f>
        <v>2.5412634818080759E-2</v>
      </c>
      <c r="L83" s="431" t="str">
        <f>$I$4&amp;"kWh Monthly Usage - CARE"</f>
        <v>500kWh Monthly Usage - CARE</v>
      </c>
      <c r="M83" s="432"/>
      <c r="N83" s="52">
        <f t="shared" si="27"/>
        <v>119.54562192336662</v>
      </c>
      <c r="O83" s="52">
        <f t="shared" si="27"/>
        <v>119.08019097182786</v>
      </c>
      <c r="P83" s="52">
        <f t="shared" si="27"/>
        <v>118.25040492897021</v>
      </c>
      <c r="Q83" s="52">
        <f t="shared" si="27"/>
        <v>121.26788428986414</v>
      </c>
      <c r="R83" s="122">
        <f t="shared" si="28"/>
        <v>1.440673726722963E-2</v>
      </c>
      <c r="S83" s="122">
        <f t="shared" si="28"/>
        <v>1.8371597325988809E-2</v>
      </c>
      <c r="T83" s="54">
        <f t="shared" si="28"/>
        <v>2.5517708482321488E-2</v>
      </c>
    </row>
    <row r="84" spans="2:20" ht="15" thickBot="1">
      <c r="B84" s="433" t="s">
        <v>136</v>
      </c>
      <c r="C84" s="434"/>
      <c r="D84" s="55">
        <f>((D91*4)+(D98*8)+($L$8*2))/12</f>
        <v>189.73888220516849</v>
      </c>
      <c r="E84" s="55">
        <f>((E91*4)+(E98*8)+($L$8*2))/12</f>
        <v>188.46374630295233</v>
      </c>
      <c r="F84" s="55">
        <f>((F91*4)+(F98*8)+($L$8*2))/12</f>
        <v>187.18690764020519</v>
      </c>
      <c r="G84" s="55">
        <f>((G91*4)+(G98*8)+($L$8*2))/12</f>
        <v>191.83007360472575</v>
      </c>
      <c r="H84" s="56">
        <f>$G84/D84-1</f>
        <v>1.10214173038925E-2</v>
      </c>
      <c r="I84" s="56">
        <f>$G84/E84-1</f>
        <v>1.7861935612603741E-2</v>
      </c>
      <c r="J84" s="57">
        <f t="shared" si="29"/>
        <v>2.4804971795598263E-2</v>
      </c>
      <c r="L84" s="433" t="s">
        <v>136</v>
      </c>
      <c r="M84" s="434"/>
      <c r="N84" s="55">
        <f>((N91*4)+(N98*8)+($L$8*2))/12</f>
        <v>180.12138893517309</v>
      </c>
      <c r="O84" s="55">
        <f>((O91*4)+(O98*8)+($L$8*2))/12</f>
        <v>178.89462648490823</v>
      </c>
      <c r="P84" s="55">
        <f>((P91*4)+(P98*8)+($L$8*2))/12</f>
        <v>177.67944364340394</v>
      </c>
      <c r="Q84" s="55">
        <f>((Q91*4)+(Q98*8)+($L$8*2))/12</f>
        <v>182.09840100658587</v>
      </c>
      <c r="R84" s="124">
        <f t="shared" si="28"/>
        <v>1.0975998370323037E-2</v>
      </c>
      <c r="S84" s="124">
        <f t="shared" si="28"/>
        <v>1.7908724172595036E-2</v>
      </c>
      <c r="T84" s="73">
        <f t="shared" si="28"/>
        <v>2.4870391715378304E-2</v>
      </c>
    </row>
    <row r="85" spans="2:20">
      <c r="B85" s="58"/>
      <c r="C85" s="58"/>
      <c r="D85" s="117"/>
      <c r="E85" s="117"/>
      <c r="F85" s="117"/>
      <c r="G85" s="117"/>
      <c r="H85" s="118"/>
      <c r="I85" s="118"/>
      <c r="J85" s="118"/>
      <c r="L85" s="58"/>
      <c r="M85" s="58"/>
      <c r="N85" s="117"/>
      <c r="O85" s="117"/>
      <c r="P85" s="117"/>
      <c r="Q85" s="117"/>
      <c r="R85" s="118"/>
      <c r="S85" s="118"/>
      <c r="T85" s="118"/>
    </row>
    <row r="86" spans="2:20" ht="15" thickBot="1">
      <c r="D86" s="39">
        <v>2</v>
      </c>
      <c r="E86" s="39">
        <v>4</v>
      </c>
      <c r="F86" s="39">
        <v>6</v>
      </c>
      <c r="G86" s="39">
        <v>8</v>
      </c>
      <c r="N86" s="39">
        <v>2</v>
      </c>
      <c r="O86" s="39">
        <v>4</v>
      </c>
      <c r="P86" s="39">
        <v>6</v>
      </c>
      <c r="Q86" s="39">
        <v>8</v>
      </c>
    </row>
    <row r="87" spans="2:20">
      <c r="B87" s="428" t="s">
        <v>263</v>
      </c>
      <c r="C87" s="429"/>
      <c r="D87" s="429"/>
      <c r="E87" s="429"/>
      <c r="F87" s="429"/>
      <c r="G87" s="429"/>
      <c r="H87" s="429"/>
      <c r="I87" s="429"/>
      <c r="J87" s="430"/>
      <c r="L87" s="428" t="s">
        <v>272</v>
      </c>
      <c r="M87" s="429"/>
      <c r="N87" s="429"/>
      <c r="O87" s="429"/>
      <c r="P87" s="429"/>
      <c r="Q87" s="429"/>
      <c r="R87" s="429"/>
      <c r="S87" s="429"/>
      <c r="T87" s="430"/>
    </row>
    <row r="88" spans="2:20" ht="29">
      <c r="B88" s="50"/>
      <c r="C88" s="51"/>
      <c r="D88" s="33">
        <f>$D$32</f>
        <v>45658</v>
      </c>
      <c r="E88" s="33">
        <f>$E$32</f>
        <v>45901</v>
      </c>
      <c r="F88" s="36" t="str">
        <f>$D$3&amp;" Authorized"</f>
        <v>2025 Authorized</v>
      </c>
      <c r="G88" s="36" t="str">
        <f>$D$3&amp;" w/Pending"</f>
        <v>2025 w/Pending</v>
      </c>
      <c r="H88" s="36" t="str">
        <f>$H$32</f>
        <v>% Change over 01/1/2025</v>
      </c>
      <c r="I88" s="36" t="str">
        <f>$I$32</f>
        <v>% Change over 09/1/2025</v>
      </c>
      <c r="J88" s="88" t="s">
        <v>189</v>
      </c>
      <c r="L88" s="50"/>
      <c r="M88" s="51"/>
      <c r="N88" s="33">
        <f>$D$32</f>
        <v>45658</v>
      </c>
      <c r="O88" s="33">
        <f>$E$32</f>
        <v>45901</v>
      </c>
      <c r="P88" s="36" t="str">
        <f>$D$3&amp;" Authorized"</f>
        <v>2025 Authorized</v>
      </c>
      <c r="Q88" s="36" t="str">
        <f>$D$3&amp;" w/Pending"</f>
        <v>2025 w/Pending</v>
      </c>
      <c r="R88" s="36" t="str">
        <f>$H$32</f>
        <v>% Change over 01/1/2025</v>
      </c>
      <c r="S88" s="36" t="str">
        <f>$I$32</f>
        <v>% Change over 09/1/2025</v>
      </c>
      <c r="T88" s="88" t="s">
        <v>189</v>
      </c>
    </row>
    <row r="89" spans="2:20">
      <c r="B89" s="431" t="str">
        <f>$I$4&amp;"kWh Monthly Usage - Non-CARE"</f>
        <v>500kWh Monthly Usage - Non-CARE</v>
      </c>
      <c r="C89" s="432"/>
      <c r="D89" s="52">
        <f>VLOOKUP($D$4,'Res Bill Impact'!$B$102:$J$112,D86,FALSE)</f>
        <v>221.05356187500001</v>
      </c>
      <c r="E89" s="52">
        <f>VLOOKUP($D$4,'Res Bill Impact'!$B$102:$J$112,E86,FALSE)</f>
        <v>219.51248622224398</v>
      </c>
      <c r="F89" s="52">
        <f>VLOOKUP($D$4,'Res Bill Impact'!$B$102:$J$112,F86,FALSE)</f>
        <v>218.09812180122549</v>
      </c>
      <c r="G89" s="52">
        <f>VLOOKUP($D$4,'Res Bill Impact'!$B$102:$J$112,G86,FALSE)</f>
        <v>223.24139395666953</v>
      </c>
      <c r="H89" s="53">
        <f t="shared" ref="H89:I91" si="30">$G89/D89-1</f>
        <v>9.8972939549677452E-3</v>
      </c>
      <c r="I89" s="53">
        <f t="shared" si="30"/>
        <v>1.6987223818558661E-2</v>
      </c>
      <c r="J89" s="54">
        <f t="shared" ref="J89:J91" si="31">$G89/F89-1</f>
        <v>2.3582377110664021E-2</v>
      </c>
      <c r="L89" s="431" t="str">
        <f>$I$4&amp;"kWh Monthly Usage - Non-CARE"</f>
        <v>500kWh Monthly Usage - Non-CARE</v>
      </c>
      <c r="M89" s="432"/>
      <c r="N89" s="52">
        <f>VLOOKUP($D$4,'Res Bill Impact'!$L$102:$T$112,N86,FALSE)</f>
        <v>206.86836249999999</v>
      </c>
      <c r="O89" s="52">
        <f>VLOOKUP($D$4,'Res Bill Impact'!$L$102:$T$112,O86,FALSE)</f>
        <v>205.39853666111952</v>
      </c>
      <c r="P89" s="125">
        <f>VLOOKUP($D$4,'Res Bill Impact'!$L$102:$T$112,P86,FALSE)</f>
        <v>204.07511134084584</v>
      </c>
      <c r="Q89" s="125">
        <f>VLOOKUP($D$4,'Res Bill Impact'!$L$102:$T$112,Q86,FALSE)</f>
        <v>208.88768757538639</v>
      </c>
      <c r="R89" s="122">
        <f t="shared" ref="R89:T91" si="32">$Q89/N89-1</f>
        <v>9.7614011682738422E-3</v>
      </c>
      <c r="S89" s="122">
        <f t="shared" si="32"/>
        <v>1.6987223818558661E-2</v>
      </c>
      <c r="T89" s="54">
        <f t="shared" si="32"/>
        <v>2.3582377110664021E-2</v>
      </c>
    </row>
    <row r="90" spans="2:20">
      <c r="B90" s="431" t="str">
        <f>$I$4&amp;"kWh Monthly Usage - CARE"</f>
        <v>500kWh Monthly Usage - CARE</v>
      </c>
      <c r="C90" s="432"/>
      <c r="D90" s="52">
        <f>VLOOKUP($D$4,'Res Bill Impact'!$B$117:$J$127,D86,FALSE)</f>
        <v>135.98381949999998</v>
      </c>
      <c r="E90" s="52">
        <f>VLOOKUP($D$4,'Res Bill Impact'!$B$117:$J$127,E86,FALSE)</f>
        <v>135.48431178623531</v>
      </c>
      <c r="F90" s="52">
        <f>VLOOKUP($D$4,'Res Bill Impact'!$B$117:$J$127,F86,FALSE)</f>
        <v>134.61135829965042</v>
      </c>
      <c r="G90" s="52">
        <f>VLOOKUP($D$4,'Res Bill Impact'!$B$117:$J$127,G86,FALSE)</f>
        <v>137.78581411445148</v>
      </c>
      <c r="H90" s="53">
        <f t="shared" si="30"/>
        <v>1.3251536992248569E-2</v>
      </c>
      <c r="I90" s="53">
        <f t="shared" si="30"/>
        <v>1.6987223818558661E-2</v>
      </c>
      <c r="J90" s="54">
        <f t="shared" si="31"/>
        <v>2.3582377110664021E-2</v>
      </c>
      <c r="L90" s="431" t="str">
        <f>$I$4&amp;"kWh Monthly Usage - CARE"</f>
        <v>500kWh Monthly Usage - CARE</v>
      </c>
      <c r="M90" s="432"/>
      <c r="N90" s="52">
        <f>VLOOKUP($D$4,'Res Bill Impact'!$L$117:$T$127,N86,FALSE)</f>
        <v>126.76309000000001</v>
      </c>
      <c r="O90" s="52">
        <f>VLOOKUP($D$4,'Res Bill Impact'!$L$117:$T$127,O86,FALSE)</f>
        <v>126.31024457150423</v>
      </c>
      <c r="P90" s="125">
        <f>VLOOKUP($D$4,'Res Bill Impact'!$L$117:$T$127,P86,FALSE)</f>
        <v>125.49640150040345</v>
      </c>
      <c r="Q90" s="125">
        <f>VLOOKUP($D$4,'Res Bill Impact'!$L$117:$T$127,Q86,FALSE)</f>
        <v>128.45590496661728</v>
      </c>
      <c r="R90" s="122">
        <f t="shared" si="32"/>
        <v>1.3354163002947228E-2</v>
      </c>
      <c r="S90" s="122">
        <f t="shared" si="32"/>
        <v>1.6987223818558883E-2</v>
      </c>
      <c r="T90" s="54">
        <f t="shared" si="32"/>
        <v>2.3582377110664243E-2</v>
      </c>
    </row>
    <row r="91" spans="2:20" ht="15" thickBot="1">
      <c r="B91" s="433" t="s">
        <v>136</v>
      </c>
      <c r="C91" s="434"/>
      <c r="D91" s="55">
        <f>D89*(1-'SAR and RAR'!$AB$16)+D90*'SAR and RAR'!$AB$16</f>
        <v>199.25610630696423</v>
      </c>
      <c r="E91" s="55">
        <f>E89*(1-'SAR and RAR'!$AB$16)+E90*'SAR and RAR'!$AB$16</f>
        <v>197.98191204161353</v>
      </c>
      <c r="F91" s="55">
        <f>F89*(1-'SAR and RAR'!$AB$16)+F90*'SAR and RAR'!$AB$16</f>
        <v>196.70627357012648</v>
      </c>
      <c r="G91" s="55">
        <f>G89*(1-'SAR and RAR'!$AB$16)+G90*'SAR and RAR'!$AB$16</f>
        <v>201.34507509349061</v>
      </c>
      <c r="H91" s="56">
        <f t="shared" si="30"/>
        <v>1.0483838238353416E-2</v>
      </c>
      <c r="I91" s="56">
        <f t="shared" si="30"/>
        <v>1.6987223818558661E-2</v>
      </c>
      <c r="J91" s="57">
        <f t="shared" si="31"/>
        <v>2.3582377110663799E-2</v>
      </c>
      <c r="L91" s="433" t="s">
        <v>136</v>
      </c>
      <c r="M91" s="434"/>
      <c r="N91" s="55">
        <f>N89*(1-'SAR and RAR'!$AB$16)+N90*'SAR and RAR'!$AB$16</f>
        <v>186.34295511852326</v>
      </c>
      <c r="O91" s="55">
        <f>O89*(1-'SAR and RAR'!$AB$16)+O90*'SAR and RAR'!$AB$16</f>
        <v>185.13371059433877</v>
      </c>
      <c r="P91" s="123">
        <f>P89*(1-'SAR and RAR'!$AB$16)+P90*'SAR and RAR'!$AB$16</f>
        <v>183.94085574629764</v>
      </c>
      <c r="Q91" s="123">
        <f>Q89*(1-'SAR and RAR'!$AB$16)+Q90*'SAR and RAR'!$AB$16</f>
        <v>188.27861837256506</v>
      </c>
      <c r="R91" s="124">
        <f t="shared" si="32"/>
        <v>1.0387638495968909E-2</v>
      </c>
      <c r="S91" s="124">
        <f t="shared" si="32"/>
        <v>1.6987223818558661E-2</v>
      </c>
      <c r="T91" s="73">
        <f t="shared" si="32"/>
        <v>2.3582377110663799E-2</v>
      </c>
    </row>
    <row r="92" spans="2:20">
      <c r="B92" s="58"/>
      <c r="C92" s="58"/>
      <c r="D92" s="117"/>
      <c r="E92" s="117"/>
      <c r="F92" s="117"/>
      <c r="G92" s="117"/>
      <c r="H92" s="118"/>
      <c r="I92" s="118"/>
      <c r="J92" s="118"/>
      <c r="L92" s="58"/>
      <c r="M92" s="58"/>
      <c r="N92" s="117"/>
      <c r="O92" s="117"/>
      <c r="P92" s="117"/>
      <c r="Q92" s="117"/>
      <c r="R92" s="118"/>
      <c r="S92" s="118"/>
      <c r="T92" s="118"/>
    </row>
    <row r="93" spans="2:20" ht="15" thickBot="1">
      <c r="D93" s="39">
        <v>3</v>
      </c>
      <c r="E93" s="39">
        <v>5</v>
      </c>
      <c r="F93" s="39">
        <v>7</v>
      </c>
      <c r="G93" s="39">
        <v>9</v>
      </c>
      <c r="N93" s="39">
        <v>3</v>
      </c>
      <c r="O93" s="39">
        <v>5</v>
      </c>
      <c r="P93" s="39">
        <v>7</v>
      </c>
      <c r="Q93" s="39">
        <v>9</v>
      </c>
    </row>
    <row r="94" spans="2:20">
      <c r="B94" s="428" t="s">
        <v>264</v>
      </c>
      <c r="C94" s="429"/>
      <c r="D94" s="429"/>
      <c r="E94" s="429"/>
      <c r="F94" s="429"/>
      <c r="G94" s="429"/>
      <c r="H94" s="429"/>
      <c r="I94" s="429"/>
      <c r="J94" s="430"/>
      <c r="L94" s="428" t="s">
        <v>273</v>
      </c>
      <c r="M94" s="429"/>
      <c r="N94" s="429"/>
      <c r="O94" s="429"/>
      <c r="P94" s="429"/>
      <c r="Q94" s="429"/>
      <c r="R94" s="429"/>
      <c r="S94" s="429"/>
      <c r="T94" s="430"/>
    </row>
    <row r="95" spans="2:20" ht="29">
      <c r="B95" s="50"/>
      <c r="C95" s="51"/>
      <c r="D95" s="33">
        <f>$D$32</f>
        <v>45658</v>
      </c>
      <c r="E95" s="33">
        <f>$E$32</f>
        <v>45901</v>
      </c>
      <c r="F95" s="36" t="str">
        <f>$D$3&amp;" Authorized"</f>
        <v>2025 Authorized</v>
      </c>
      <c r="G95" s="36" t="str">
        <f>$D$3&amp;" w/Pending"</f>
        <v>2025 w/Pending</v>
      </c>
      <c r="H95" s="36" t="str">
        <f>$H$32</f>
        <v>% Change over 01/1/2025</v>
      </c>
      <c r="I95" s="36" t="str">
        <f>$I$32</f>
        <v>% Change over 09/1/2025</v>
      </c>
      <c r="J95" s="88" t="s">
        <v>189</v>
      </c>
      <c r="L95" s="50"/>
      <c r="M95" s="51"/>
      <c r="N95" s="33">
        <f>$D$32</f>
        <v>45658</v>
      </c>
      <c r="O95" s="33">
        <f>$E$32</f>
        <v>45901</v>
      </c>
      <c r="P95" s="36" t="str">
        <f>$D$3&amp;" Authorized"</f>
        <v>2025 Authorized</v>
      </c>
      <c r="Q95" s="36" t="str">
        <f>$D$3&amp;" w/Pending"</f>
        <v>2025 w/Pending</v>
      </c>
      <c r="R95" s="36" t="str">
        <f>$H$32</f>
        <v>% Change over 01/1/2025</v>
      </c>
      <c r="S95" s="36" t="str">
        <f>$I$32</f>
        <v>% Change over 09/1/2025</v>
      </c>
      <c r="T95" s="88" t="s">
        <v>189</v>
      </c>
    </row>
    <row r="96" spans="2:20">
      <c r="B96" s="431" t="str">
        <f>$I$4&amp;"kWh Monthly Usage - Non-CARE"</f>
        <v>500kWh Monthly Usage - Non-CARE</v>
      </c>
      <c r="C96" s="432"/>
      <c r="D96" s="52">
        <f>VLOOKUP($D$4,'Res Bill Impact'!$B$102:$J$112,D93,FALSE)</f>
        <v>221.3620459375</v>
      </c>
      <c r="E96" s="52">
        <f>VLOOKUP($D$4,'Res Bill Impact'!$B$102:$J$112,E93,FALSE)</f>
        <v>219.8194208224167</v>
      </c>
      <c r="F96" s="52">
        <f>VLOOKUP($D$4,'Res Bill Impact'!$B$102:$J$112,F93,FALSE)</f>
        <v>218.40307875818741</v>
      </c>
      <c r="G96" s="52">
        <f>VLOOKUP($D$4,'Res Bill Impact'!$B$102:$J$112,G93,FALSE)</f>
        <v>223.55354252359302</v>
      </c>
      <c r="H96" s="53">
        <f t="shared" ref="H96:I98" si="33">$G96/D96-1</f>
        <v>9.9000557065314077E-3</v>
      </c>
      <c r="I96" s="53">
        <f t="shared" si="33"/>
        <v>1.6987223818558661E-2</v>
      </c>
      <c r="J96" s="54">
        <f t="shared" ref="J96:J98" si="34">$G96/F96-1</f>
        <v>2.3582377110664021E-2</v>
      </c>
      <c r="L96" s="431" t="str">
        <f>$I$4&amp;"kWh Monthly Usage - Non-CARE"</f>
        <v>500kWh Monthly Usage - Non-CARE</v>
      </c>
      <c r="M96" s="432"/>
      <c r="N96" s="52">
        <f>VLOOKUP($D$4,'Res Bill Impact'!$L$102:$T$112,N93,FALSE)</f>
        <v>212.60730625000002</v>
      </c>
      <c r="O96" s="52">
        <f>VLOOKUP($D$4,'Res Bill Impact'!$L$102:$T$112,O93,FALSE)</f>
        <v>211.10865468486639</v>
      </c>
      <c r="P96" s="125">
        <f>VLOOKUP($D$4,'Res Bill Impact'!$L$102:$T$112,P93,FALSE)</f>
        <v>209.74843789130756</v>
      </c>
      <c r="Q96" s="125">
        <f>VLOOKUP($D$4,'Res Bill Impact'!$L$102:$T$112,Q93,FALSE)</f>
        <v>214.69480465203304</v>
      </c>
      <c r="R96" s="122">
        <f t="shared" ref="R96:T98" si="35">$Q96/N96-1</f>
        <v>9.8185638059793412E-3</v>
      </c>
      <c r="S96" s="122">
        <f t="shared" si="35"/>
        <v>1.6987223818558661E-2</v>
      </c>
      <c r="T96" s="54">
        <f t="shared" si="35"/>
        <v>2.3582377110663799E-2</v>
      </c>
    </row>
    <row r="97" spans="2:20">
      <c r="B97" s="431" t="str">
        <f>$I$4&amp;"kWh Monthly Usage - CARE"</f>
        <v>500kWh Monthly Usage - CARE</v>
      </c>
      <c r="C97" s="432"/>
      <c r="D97" s="52">
        <f>VLOOKUP($D$4,'Res Bill Impact'!$B$117:$J$127,D93,FALSE)</f>
        <v>136.18434174999999</v>
      </c>
      <c r="E97" s="52">
        <f>VLOOKUP($D$4,'Res Bill Impact'!$B$117:$J$127,E93,FALSE)</f>
        <v>135.68381927634755</v>
      </c>
      <c r="F97" s="52">
        <f>VLOOKUP($D$4,'Res Bill Impact'!$B$117:$J$127,F93,FALSE)</f>
        <v>134.80958032167564</v>
      </c>
      <c r="G97" s="52">
        <f>VLOOKUP($D$4,'Res Bill Impact'!$B$117:$J$127,G93,FALSE)</f>
        <v>137.98871068295176</v>
      </c>
      <c r="H97" s="53">
        <f t="shared" si="33"/>
        <v>1.3249459591060386E-2</v>
      </c>
      <c r="I97" s="53">
        <f t="shared" si="33"/>
        <v>1.6987223818558883E-2</v>
      </c>
      <c r="J97" s="54">
        <f t="shared" si="34"/>
        <v>2.3582377110664243E-2</v>
      </c>
      <c r="L97" s="431" t="str">
        <f>$I$4&amp;"kWh Monthly Usage - CARE"</f>
        <v>500kWh Monthly Usage - CARE</v>
      </c>
      <c r="M97" s="432"/>
      <c r="N97" s="52">
        <f>VLOOKUP($D$4,'Res Bill Impact'!$L$117:$T$127,N93,FALSE)</f>
        <v>130.49354499999998</v>
      </c>
      <c r="O97" s="52">
        <f>VLOOKUP($D$4,'Res Bill Impact'!$L$117:$T$127,O93,FALSE)</f>
        <v>130.02182128693977</v>
      </c>
      <c r="P97" s="125">
        <f>VLOOKUP($D$4,'Res Bill Impact'!$L$117:$T$127,P93,FALSE)</f>
        <v>129.18406375820365</v>
      </c>
      <c r="Q97" s="125">
        <f>VLOOKUP($D$4,'Res Bill Impact'!$L$117:$T$127,Q93,FALSE)</f>
        <v>132.23053106643766</v>
      </c>
      <c r="R97" s="122">
        <f t="shared" si="35"/>
        <v>1.3310896461872446E-2</v>
      </c>
      <c r="S97" s="122">
        <f t="shared" si="35"/>
        <v>1.6987223818558661E-2</v>
      </c>
      <c r="T97" s="54">
        <f t="shared" si="35"/>
        <v>2.3582377110664021E-2</v>
      </c>
    </row>
    <row r="98" spans="2:20" ht="15" thickBot="1">
      <c r="B98" s="433" t="s">
        <v>136</v>
      </c>
      <c r="C98" s="434"/>
      <c r="D98" s="55">
        <f>D96*(1-'SAR and RAR'!$AB$16)+D97*'SAR and RAR'!$AB$16</f>
        <v>199.53692726922066</v>
      </c>
      <c r="E98" s="55">
        <f>E96*(1-'SAR and RAR'!$AB$16)+E97*'SAR and RAR'!$AB$16</f>
        <v>198.26132054857177</v>
      </c>
      <c r="F98" s="55">
        <f>F96*(1-'SAR and RAR'!$AB$16)+F97*'SAR and RAR'!$AB$16</f>
        <v>196.98388179019457</v>
      </c>
      <c r="G98" s="55">
        <f>G96*(1-'SAR and RAR'!$AB$16)+G97*'SAR and RAR'!$AB$16</f>
        <v>201.62922997529338</v>
      </c>
      <c r="H98" s="56">
        <f t="shared" si="33"/>
        <v>1.0485791951931445E-2</v>
      </c>
      <c r="I98" s="56">
        <f t="shared" si="33"/>
        <v>1.6987223818558661E-2</v>
      </c>
      <c r="J98" s="57">
        <f t="shared" si="34"/>
        <v>2.3582377110664021E-2</v>
      </c>
      <c r="L98" s="433" t="s">
        <v>136</v>
      </c>
      <c r="M98" s="434"/>
      <c r="N98" s="55">
        <f>N96*(1-'SAR and RAR'!$AB$16)+N97*'SAR and RAR'!$AB$16</f>
        <v>191.56726295844805</v>
      </c>
      <c r="O98" s="55">
        <f>O96*(1-'SAR and RAR'!$AB$16)+O97*'SAR and RAR'!$AB$16</f>
        <v>190.33174154514296</v>
      </c>
      <c r="P98" s="123">
        <f>P96*(1-'SAR and RAR'!$AB$16)+P97*'SAR and RAR'!$AB$16</f>
        <v>189.10539470690713</v>
      </c>
      <c r="Q98" s="123">
        <f>Q96*(1-'SAR and RAR'!$AB$16)+Q97*'SAR and RAR'!$AB$16</f>
        <v>193.56494943854636</v>
      </c>
      <c r="R98" s="124">
        <f t="shared" si="35"/>
        <v>1.042812038574481E-2</v>
      </c>
      <c r="S98" s="124">
        <f t="shared" si="35"/>
        <v>1.6987223818558661E-2</v>
      </c>
      <c r="T98" s="73">
        <f t="shared" si="35"/>
        <v>2.3582377110663799E-2</v>
      </c>
    </row>
    <row r="99" spans="2:20" ht="15" thickBot="1"/>
    <row r="100" spans="2:20">
      <c r="B100" s="425" t="s">
        <v>413</v>
      </c>
      <c r="C100" s="426"/>
      <c r="D100" s="426"/>
      <c r="E100" s="426"/>
      <c r="F100" s="426"/>
      <c r="G100" s="426"/>
      <c r="H100" s="426"/>
      <c r="I100" s="426"/>
      <c r="J100" s="427"/>
    </row>
    <row r="101" spans="2:20" ht="29">
      <c r="B101" s="50"/>
      <c r="C101" s="51"/>
      <c r="D101" s="33">
        <v>44927</v>
      </c>
      <c r="E101" s="33">
        <f>E32</f>
        <v>45901</v>
      </c>
      <c r="F101" s="36" t="str">
        <f>$D$3&amp;" Authorized"</f>
        <v>2025 Authorized</v>
      </c>
      <c r="G101" s="36" t="str">
        <f>$D$3&amp;" w/Pending"</f>
        <v>2025 w/Pending</v>
      </c>
      <c r="H101" s="36" t="s">
        <v>414</v>
      </c>
      <c r="I101" s="269" t="str">
        <f>I32</f>
        <v>% Change over 09/1/2025</v>
      </c>
      <c r="J101" s="88" t="s">
        <v>189</v>
      </c>
    </row>
    <row r="102" spans="2:20">
      <c r="B102" s="431" t="s">
        <v>377</v>
      </c>
      <c r="C102" s="432"/>
      <c r="D102" s="154">
        <f>('Bill Impact (B-1)'!C33*4+'Bill Impact (B-1)'!D33*8)/12</f>
        <v>431.86579874391145</v>
      </c>
      <c r="E102" s="154">
        <f>('Bill Impact (B-1)'!E33*4+'Bill Impact (B-1)'!F33*8)/12</f>
        <v>428.72808702766923</v>
      </c>
      <c r="F102" s="154">
        <f>('Bill Impact (B-1)'!G33*4+'Bill Impact (B-1)'!H33*8)/12</f>
        <v>430.12887145463537</v>
      </c>
      <c r="G102" s="154">
        <f>('Bill Impact (B-1)'!I33*4+'Bill Impact (B-1)'!J33*8)/12</f>
        <v>439.84113641304822</v>
      </c>
      <c r="H102" s="53">
        <f t="shared" ref="H102:I104" si="36">$G102/D102-1</f>
        <v>1.8467166634480447E-2</v>
      </c>
      <c r="I102" s="53">
        <f t="shared" si="36"/>
        <v>2.5920973506598832E-2</v>
      </c>
      <c r="J102" s="54">
        <f t="shared" ref="J102:J104" si="37">$G102/F102-1</f>
        <v>2.2579895475435929E-2</v>
      </c>
    </row>
    <row r="103" spans="2:20">
      <c r="B103" s="431" t="s">
        <v>376</v>
      </c>
      <c r="C103" s="432"/>
      <c r="D103" s="52">
        <f>('Bill Impact (B-1)'!C34*4+'Bill Impact (B-1)'!D34*8)/12</f>
        <v>530.46552518272949</v>
      </c>
      <c r="E103" s="52">
        <f>('Bill Impact (B-1)'!E34*4+'Bill Impact (B-1)'!F34*8)/12</f>
        <v>526.59971497154629</v>
      </c>
      <c r="F103" s="52">
        <f>('Bill Impact (B-1)'!G34*4+'Bill Impact (B-1)'!H34*8)/12</f>
        <v>528.3255480725926</v>
      </c>
      <c r="G103" s="52">
        <f>('Bill Impact (B-1)'!I34*4+'Bill Impact (B-1)'!J34*8)/12</f>
        <v>540.2915208723233</v>
      </c>
      <c r="H103" s="53">
        <f t="shared" si="36"/>
        <v>1.8523344540079201E-2</v>
      </c>
      <c r="I103" s="53">
        <f t="shared" si="36"/>
        <v>2.6000405073361765E-2</v>
      </c>
      <c r="J103" s="54">
        <f t="shared" si="37"/>
        <v>2.2648862701007522E-2</v>
      </c>
    </row>
    <row r="104" spans="2:20" ht="15" thickBot="1">
      <c r="B104" s="433" t="s">
        <v>374</v>
      </c>
      <c r="C104" s="434"/>
      <c r="D104" s="55">
        <f>('Bill Impact (B-1)'!C35*4+'Bill Impact (B-1)'!D35*8)/12</f>
        <v>1332.7379042614491</v>
      </c>
      <c r="E104" s="55">
        <f>('Bill Impact (B-1)'!E35*4+'Bill Impact (B-1)'!F35*8)/12</f>
        <v>1322.9618450079415</v>
      </c>
      <c r="F104" s="55">
        <f>('Bill Impact (B-1)'!G35*4+'Bill Impact (B-1)'!H35*8)/12</f>
        <v>1327.3262203227684</v>
      </c>
      <c r="G104" s="55">
        <f>('Bill Impact (B-1)'!I35*4+'Bill Impact (B-1)'!J35*8)/12</f>
        <v>1357.5863864265314</v>
      </c>
      <c r="H104" s="56">
        <f t="shared" si="36"/>
        <v>1.8644687815682959E-2</v>
      </c>
      <c r="I104" s="56">
        <f t="shared" si="36"/>
        <v>2.6171987914271222E-2</v>
      </c>
      <c r="J104" s="57">
        <f t="shared" si="37"/>
        <v>2.2797836462843613E-2</v>
      </c>
    </row>
    <row r="105" spans="2:20" ht="15" thickBot="1"/>
    <row r="106" spans="2:20">
      <c r="B106" s="425" t="s">
        <v>415</v>
      </c>
      <c r="C106" s="426"/>
      <c r="D106" s="426"/>
      <c r="E106" s="426"/>
      <c r="F106" s="426"/>
      <c r="G106" s="426"/>
      <c r="H106" s="426"/>
      <c r="I106" s="426"/>
      <c r="J106" s="427"/>
    </row>
    <row r="107" spans="2:20" ht="29">
      <c r="B107" s="50"/>
      <c r="C107" s="51"/>
      <c r="D107" s="33">
        <v>44927</v>
      </c>
      <c r="E107" s="33">
        <f>E32</f>
        <v>45901</v>
      </c>
      <c r="F107" s="36" t="str">
        <f>$D$3&amp;" Authorized"</f>
        <v>2025 Authorized</v>
      </c>
      <c r="G107" s="36" t="str">
        <f>$D$3&amp;" w/Pending"</f>
        <v>2025 w/Pending</v>
      </c>
      <c r="H107" s="36" t="s">
        <v>414</v>
      </c>
      <c r="I107" s="269" t="str">
        <f>I32</f>
        <v>% Change over 09/1/2025</v>
      </c>
      <c r="J107" s="88" t="s">
        <v>189</v>
      </c>
    </row>
    <row r="108" spans="2:20">
      <c r="B108" s="431" t="s">
        <v>377</v>
      </c>
      <c r="C108" s="432"/>
      <c r="D108" s="52">
        <f>'Bill Impact (B-1)'!C33</f>
        <v>497.10771644804004</v>
      </c>
      <c r="E108" s="52">
        <f>'Bill Impact (B-1)'!E33</f>
        <v>493.68607154181814</v>
      </c>
      <c r="F108" s="52">
        <f>'Bill Impact (B-1)'!G33</f>
        <v>495.21361369122377</v>
      </c>
      <c r="G108" s="52">
        <f>'Bill Impact (B-1)'!I33</f>
        <v>505.80474663400162</v>
      </c>
      <c r="H108" s="53">
        <f t="shared" ref="H108:I110" si="38">$G108/D108-1</f>
        <v>1.7495262894134944E-2</v>
      </c>
      <c r="I108" s="53">
        <f t="shared" si="38"/>
        <v>2.4547330359829589E-2</v>
      </c>
      <c r="J108" s="54">
        <f t="shared" ref="J108:J110" si="39">$G108/F108-1</f>
        <v>2.1386998761673048E-2</v>
      </c>
    </row>
    <row r="109" spans="2:20">
      <c r="B109" s="431" t="s">
        <v>376</v>
      </c>
      <c r="C109" s="432"/>
      <c r="D109" s="52">
        <f>'Bill Impact (B-1)'!C34</f>
        <v>663.69055424707153</v>
      </c>
      <c r="E109" s="52">
        <f>'Bill Impact (B-1)'!E34</f>
        <v>659.09536751398241</v>
      </c>
      <c r="F109" s="52">
        <f>'Bill Impact (B-1)'!G34</f>
        <v>661.14681984511685</v>
      </c>
      <c r="G109" s="52">
        <f>'Bill Impact (B-1)'!I34</f>
        <v>675.37045640615747</v>
      </c>
      <c r="H109" s="53">
        <f t="shared" si="38"/>
        <v>1.7598415533179201E-2</v>
      </c>
      <c r="I109" s="53">
        <f t="shared" si="38"/>
        <v>2.4693071282783308E-2</v>
      </c>
      <c r="J109" s="54">
        <f t="shared" si="39"/>
        <v>2.1513582360379147E-2</v>
      </c>
    </row>
    <row r="110" spans="2:20" ht="15" thickBot="1">
      <c r="B110" s="433" t="s">
        <v>374</v>
      </c>
      <c r="C110" s="434"/>
      <c r="D110" s="55">
        <f>'Bill Impact (B-1)'!C35</f>
        <v>1657.2990571751591</v>
      </c>
      <c r="E110" s="55">
        <f>'Bill Impact (B-1)'!E35</f>
        <v>1645.8144417645992</v>
      </c>
      <c r="F110" s="55">
        <f>'Bill Impact (B-1)'!G35</f>
        <v>1650.9415764001783</v>
      </c>
      <c r="G110" s="55">
        <f>'Bill Impact (B-1)'!I35</f>
        <v>1686.4902940326647</v>
      </c>
      <c r="H110" s="56">
        <f t="shared" si="38"/>
        <v>1.7613741304639108E-2</v>
      </c>
      <c r="I110" s="56">
        <f t="shared" si="38"/>
        <v>2.4714725570431861E-2</v>
      </c>
      <c r="J110" s="57">
        <f t="shared" si="39"/>
        <v>2.1532389843860633E-2</v>
      </c>
    </row>
    <row r="111" spans="2:20" ht="15" thickBot="1"/>
    <row r="112" spans="2:20">
      <c r="B112" s="425" t="s">
        <v>416</v>
      </c>
      <c r="C112" s="426"/>
      <c r="D112" s="426"/>
      <c r="E112" s="426"/>
      <c r="F112" s="426"/>
      <c r="G112" s="426"/>
      <c r="H112" s="426"/>
      <c r="I112" s="426"/>
      <c r="J112" s="427"/>
    </row>
    <row r="113" spans="2:10" ht="29">
      <c r="B113" s="50"/>
      <c r="C113" s="51"/>
      <c r="D113" s="33">
        <v>44927</v>
      </c>
      <c r="E113" s="33">
        <f>E32</f>
        <v>45901</v>
      </c>
      <c r="F113" s="36" t="str">
        <f>$D$3&amp;" Authorized"</f>
        <v>2025 Authorized</v>
      </c>
      <c r="G113" s="36" t="str">
        <f>$D$3&amp;" w/Pending"</f>
        <v>2025 w/Pending</v>
      </c>
      <c r="H113" s="36" t="s">
        <v>414</v>
      </c>
      <c r="I113" s="269" t="str">
        <f>I32</f>
        <v>% Change over 09/1/2025</v>
      </c>
      <c r="J113" s="88" t="s">
        <v>189</v>
      </c>
    </row>
    <row r="114" spans="2:10">
      <c r="B114" s="431" t="s">
        <v>377</v>
      </c>
      <c r="C114" s="432"/>
      <c r="D114" s="52">
        <f>'Bill Impact (B-1)'!D33</f>
        <v>399.24483989184711</v>
      </c>
      <c r="E114" s="52">
        <f>'Bill Impact (B-1)'!F33</f>
        <v>396.24909477059481</v>
      </c>
      <c r="F114" s="52">
        <f>'Bill Impact (B-1)'!H33</f>
        <v>397.58650033634115</v>
      </c>
      <c r="G114" s="52">
        <f>'Bill Impact (B-1)'!J33</f>
        <v>406.85933130257155</v>
      </c>
      <c r="H114" s="53">
        <f t="shared" ref="H114:I116" si="40">$G114/D114-1</f>
        <v>1.907223500443278E-2</v>
      </c>
      <c r="I114" s="53">
        <f t="shared" si="40"/>
        <v>2.6776683333799012E-2</v>
      </c>
      <c r="J114" s="54">
        <f t="shared" ref="J114:J116" si="41">$G114/F114-1</f>
        <v>2.3322801348601985E-2</v>
      </c>
    </row>
    <row r="115" spans="2:10">
      <c r="B115" s="431" t="s">
        <v>376</v>
      </c>
      <c r="C115" s="432"/>
      <c r="D115" s="52">
        <f>'Bill Impact (B-1)'!D34</f>
        <v>463.85301065055842</v>
      </c>
      <c r="E115" s="52">
        <f>'Bill Impact (B-1)'!F34</f>
        <v>460.35188870032817</v>
      </c>
      <c r="F115" s="52">
        <f>'Bill Impact (B-1)'!H34</f>
        <v>461.91491218633058</v>
      </c>
      <c r="G115" s="52">
        <f>'Bill Impact (B-1)'!J34</f>
        <v>472.75205310540616</v>
      </c>
      <c r="H115" s="53">
        <f t="shared" si="40"/>
        <v>1.9185048389287696E-2</v>
      </c>
      <c r="I115" s="53">
        <f t="shared" si="40"/>
        <v>2.6936273553881396E-2</v>
      </c>
      <c r="J115" s="54">
        <f t="shared" si="41"/>
        <v>2.346133591526911E-2</v>
      </c>
    </row>
    <row r="116" spans="2:10" ht="15" thickBot="1">
      <c r="B116" s="433" t="s">
        <v>374</v>
      </c>
      <c r="C116" s="434"/>
      <c r="D116" s="55">
        <f>'Bill Impact (B-1)'!D35</f>
        <v>1170.4573278045939</v>
      </c>
      <c r="E116" s="55">
        <f>'Bill Impact (B-1)'!F35</f>
        <v>1161.5355466296126</v>
      </c>
      <c r="F116" s="55">
        <f>'Bill Impact (B-1)'!H35</f>
        <v>1165.5185422840636</v>
      </c>
      <c r="G116" s="55">
        <f>'Bill Impact (B-1)'!J35</f>
        <v>1193.1344326234648</v>
      </c>
      <c r="H116" s="56">
        <f t="shared" si="40"/>
        <v>1.9374567769510964E-2</v>
      </c>
      <c r="I116" s="56">
        <f t="shared" si="40"/>
        <v>2.7204407205222214E-2</v>
      </c>
      <c r="J116" s="57">
        <f t="shared" si="41"/>
        <v>2.3694080649530047E-2</v>
      </c>
    </row>
  </sheetData>
  <mergeCells count="92">
    <mergeCell ref="B102:C102"/>
    <mergeCell ref="B103:C103"/>
    <mergeCell ref="B104:C104"/>
    <mergeCell ref="B108:C108"/>
    <mergeCell ref="B109:C109"/>
    <mergeCell ref="B106:J106"/>
    <mergeCell ref="B110:C110"/>
    <mergeCell ref="B114:C114"/>
    <mergeCell ref="B115:C115"/>
    <mergeCell ref="B116:C116"/>
    <mergeCell ref="B112:J112"/>
    <mergeCell ref="B98:C98"/>
    <mergeCell ref="L63:M63"/>
    <mergeCell ref="L84:M84"/>
    <mergeCell ref="L70:M70"/>
    <mergeCell ref="L77:M77"/>
    <mergeCell ref="L91:M91"/>
    <mergeCell ref="L98:M98"/>
    <mergeCell ref="B63:C63"/>
    <mergeCell ref="B70:C70"/>
    <mergeCell ref="B77:C77"/>
    <mergeCell ref="B84:C84"/>
    <mergeCell ref="B91:C91"/>
    <mergeCell ref="B66:J66"/>
    <mergeCell ref="B68:C68"/>
    <mergeCell ref="B69:C69"/>
    <mergeCell ref="L68:M68"/>
    <mergeCell ref="B55:C55"/>
    <mergeCell ref="B56:C56"/>
    <mergeCell ref="B47:C47"/>
    <mergeCell ref="B48:C48"/>
    <mergeCell ref="B49:C49"/>
    <mergeCell ref="B52:J52"/>
    <mergeCell ref="B54:C54"/>
    <mergeCell ref="B42:C42"/>
    <mergeCell ref="B31:J31"/>
    <mergeCell ref="L31:T31"/>
    <mergeCell ref="B32:C32"/>
    <mergeCell ref="L32:M32"/>
    <mergeCell ref="B33:C33"/>
    <mergeCell ref="L33:M33"/>
    <mergeCell ref="B35:C35"/>
    <mergeCell ref="L35:M35"/>
    <mergeCell ref="B38:J38"/>
    <mergeCell ref="B40:C40"/>
    <mergeCell ref="B41:C41"/>
    <mergeCell ref="L42:M42"/>
    <mergeCell ref="L38:T38"/>
    <mergeCell ref="L40:M40"/>
    <mergeCell ref="L41:M41"/>
    <mergeCell ref="B59:J59"/>
    <mergeCell ref="B61:C61"/>
    <mergeCell ref="B62:C62"/>
    <mergeCell ref="L61:M61"/>
    <mergeCell ref="L62:M62"/>
    <mergeCell ref="L69:M69"/>
    <mergeCell ref="B73:J73"/>
    <mergeCell ref="B75:C75"/>
    <mergeCell ref="B76:C76"/>
    <mergeCell ref="L75:M75"/>
    <mergeCell ref="L76:M76"/>
    <mergeCell ref="B90:C90"/>
    <mergeCell ref="B94:J94"/>
    <mergeCell ref="B96:C96"/>
    <mergeCell ref="B97:C97"/>
    <mergeCell ref="B82:C82"/>
    <mergeCell ref="B83:C83"/>
    <mergeCell ref="B87:J87"/>
    <mergeCell ref="B89:C89"/>
    <mergeCell ref="L56:M56"/>
    <mergeCell ref="L59:T59"/>
    <mergeCell ref="L45:T45"/>
    <mergeCell ref="L47:M47"/>
    <mergeCell ref="L48:M48"/>
    <mergeCell ref="L49:M49"/>
    <mergeCell ref="L52:T52"/>
    <mergeCell ref="B100:J100"/>
    <mergeCell ref="B80:J80"/>
    <mergeCell ref="B45:J45"/>
    <mergeCell ref="L90:M90"/>
    <mergeCell ref="L94:T94"/>
    <mergeCell ref="L96:M96"/>
    <mergeCell ref="L97:M97"/>
    <mergeCell ref="L73:T73"/>
    <mergeCell ref="L80:T80"/>
    <mergeCell ref="L82:M82"/>
    <mergeCell ref="L83:M83"/>
    <mergeCell ref="L87:T87"/>
    <mergeCell ref="L89:M89"/>
    <mergeCell ref="L66:T66"/>
    <mergeCell ref="L54:M54"/>
    <mergeCell ref="L55:M55"/>
  </mergeCells>
  <dataValidations count="1">
    <dataValidation type="list" allowBlank="1" showInputMessage="1" showErrorMessage="1" sqref="D26 I3 D8:D21" xr:uid="{354941C3-A61C-4949-AD7A-6FDCCAD6EF31}">
      <formula1>"Y, N"</formula1>
    </dataValidation>
  </dataValidations>
  <pageMargins left="0.7" right="0.7" top="0.75" bottom="0.75" header="0.3" footer="0.3"/>
  <pageSetup orientation="portrait" r:id="rId1"/>
  <headerFooter>
    <oddFooter xml:space="preserve">&amp;C
</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979BB42E-AD85-4A2B-9997-07E27F992333}">
          <x14:formula1>
            <xm:f>'Res Bill Impact'!$B$38:$B$48</xm:f>
          </x14:formula1>
          <xm:sqref>D4</xm:sqref>
        </x14:dataValidation>
        <x14:dataValidation type="list" allowBlank="1" showInputMessage="1" showErrorMessage="1" xr:uid="{6CEA4254-2AB3-4A10-98BB-1E095F347CB6}">
          <x14:formula1>
            <xm:f>'Incremental Rev Req'!$S$9:$V$9</xm:f>
          </x14:formula1>
          <xm:sqref>D3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69D28-87E3-445F-89CF-C3F304F54B9A}">
  <sheetPr codeName="Sheet1"/>
  <dimension ref="A1:AB161"/>
  <sheetViews>
    <sheetView tabSelected="1" topLeftCell="J95" workbookViewId="0">
      <selection activeCell="A35" sqref="A35:XFD1048576"/>
    </sheetView>
  </sheetViews>
  <sheetFormatPr defaultColWidth="9.1796875" defaultRowHeight="14.5" outlineLevelCol="2"/>
  <cols>
    <col min="1" max="1" width="60.1796875" customWidth="1"/>
    <col min="2" max="4" width="41.453125" hidden="1" customWidth="1" outlineLevel="1"/>
    <col min="5" max="5" width="43.81640625" hidden="1" customWidth="1" outlineLevel="1"/>
    <col min="6" max="7" width="46.453125" hidden="1" customWidth="1" outlineLevel="1"/>
    <col min="8" max="8" width="46.453125" customWidth="1" collapsed="1"/>
    <col min="9" max="10" width="46.453125" customWidth="1"/>
    <col min="11" max="11" width="16.26953125" style="271" hidden="1" customWidth="1" outlineLevel="2"/>
    <col min="12" max="15" width="16" style="271" hidden="1" customWidth="1" outlineLevel="2"/>
    <col min="16" max="16" width="19.7265625" style="271" hidden="1" customWidth="1" outlineLevel="2"/>
    <col min="17" max="17" width="19.7265625" style="271" customWidth="1" collapsed="1"/>
    <col min="18" max="19" width="19.7265625" style="271" customWidth="1"/>
    <col min="20" max="20" width="45.81640625" customWidth="1"/>
    <col min="21" max="21" width="19.81640625" customWidth="1"/>
    <col min="22" max="22" width="20.453125" customWidth="1"/>
    <col min="23" max="23" width="25.7265625" bestFit="1" customWidth="1"/>
    <col min="24" max="24" width="19.54296875" bestFit="1" customWidth="1"/>
    <col min="25" max="25" width="20.1796875" bestFit="1" customWidth="1"/>
    <col min="26" max="26" width="19.81640625" customWidth="1"/>
    <col min="28" max="28" width="11.26953125" bestFit="1" customWidth="1"/>
  </cols>
  <sheetData>
    <row r="1" spans="1:28">
      <c r="P1"/>
      <c r="Q1"/>
      <c r="R1" s="131"/>
      <c r="S1" s="131"/>
    </row>
    <row r="2" spans="1:28">
      <c r="A2" t="s">
        <v>531</v>
      </c>
      <c r="P2"/>
      <c r="Q2"/>
      <c r="R2"/>
      <c r="S2"/>
    </row>
    <row r="3" spans="1:28">
      <c r="A3" t="s">
        <v>664</v>
      </c>
      <c r="P3"/>
      <c r="Q3"/>
      <c r="R3"/>
      <c r="S3"/>
    </row>
    <row r="4" spans="1:28">
      <c r="P4"/>
      <c r="Q4"/>
      <c r="R4"/>
      <c r="S4"/>
    </row>
    <row r="5" spans="1:28">
      <c r="A5" s="31"/>
      <c r="B5" s="272" t="s">
        <v>422</v>
      </c>
      <c r="C5" s="272" t="s">
        <v>424</v>
      </c>
      <c r="D5" s="272" t="s">
        <v>471</v>
      </c>
      <c r="E5" s="272" t="s">
        <v>481</v>
      </c>
      <c r="F5" s="272" t="s">
        <v>491</v>
      </c>
      <c r="G5" s="272" t="s">
        <v>502</v>
      </c>
      <c r="H5" s="272" t="s">
        <v>526</v>
      </c>
      <c r="I5" s="272" t="s">
        <v>532</v>
      </c>
      <c r="J5" s="272" t="s">
        <v>651</v>
      </c>
      <c r="K5" s="272" t="s">
        <v>422</v>
      </c>
      <c r="L5" s="273" t="s">
        <v>424</v>
      </c>
      <c r="M5" s="272" t="s">
        <v>471</v>
      </c>
      <c r="N5" s="272" t="s">
        <v>481</v>
      </c>
      <c r="O5" s="272" t="s">
        <v>491</v>
      </c>
      <c r="P5" s="272" t="s">
        <v>502</v>
      </c>
      <c r="Q5" s="272" t="s">
        <v>526</v>
      </c>
      <c r="R5" s="272" t="s">
        <v>532</v>
      </c>
      <c r="S5" s="272" t="s">
        <v>651</v>
      </c>
    </row>
    <row r="6" spans="1:28" ht="15.5">
      <c r="B6" s="32" t="s">
        <v>423</v>
      </c>
      <c r="C6" s="32" t="s">
        <v>458</v>
      </c>
      <c r="D6" s="32" t="s">
        <v>472</v>
      </c>
      <c r="E6" s="32" t="s">
        <v>485</v>
      </c>
      <c r="F6" s="32" t="s">
        <v>492</v>
      </c>
      <c r="G6" s="32" t="s">
        <v>503</v>
      </c>
      <c r="H6" s="32" t="s">
        <v>529</v>
      </c>
      <c r="I6" s="274" t="s">
        <v>587</v>
      </c>
      <c r="J6" t="s">
        <v>685</v>
      </c>
      <c r="K6" s="275" t="str">
        <f>B6</f>
        <v>7116-E</v>
      </c>
      <c r="L6" s="275" t="str">
        <f>C6</f>
        <v>7191-E</v>
      </c>
      <c r="M6" s="271" t="s">
        <v>472</v>
      </c>
      <c r="N6" s="32" t="s">
        <v>485</v>
      </c>
      <c r="O6" s="32" t="s">
        <v>492</v>
      </c>
      <c r="P6" s="32" t="s">
        <v>503</v>
      </c>
      <c r="Q6" s="32" t="s">
        <v>529</v>
      </c>
      <c r="R6" s="274" t="s">
        <v>587</v>
      </c>
      <c r="S6" t="s">
        <v>685</v>
      </c>
      <c r="W6" s="276"/>
    </row>
    <row r="7" spans="1:28" ht="28.5" customHeight="1">
      <c r="A7" s="277" t="s">
        <v>0</v>
      </c>
      <c r="B7" s="447"/>
      <c r="C7" s="447"/>
      <c r="D7" s="278"/>
      <c r="E7" s="278"/>
      <c r="F7" s="278"/>
      <c r="G7" s="278"/>
      <c r="H7" s="278"/>
      <c r="I7" s="278"/>
      <c r="J7" s="278"/>
      <c r="K7" s="447"/>
      <c r="L7" s="448"/>
      <c r="M7" s="279"/>
      <c r="N7" s="279"/>
      <c r="O7" s="279"/>
      <c r="P7" s="279"/>
      <c r="Q7" s="279"/>
      <c r="R7" s="279"/>
      <c r="S7" s="279"/>
      <c r="T7" s="280" t="s">
        <v>1</v>
      </c>
      <c r="U7" s="280" t="s">
        <v>128</v>
      </c>
    </row>
    <row r="8" spans="1:28">
      <c r="A8" s="31" t="s">
        <v>2</v>
      </c>
      <c r="G8" s="253"/>
      <c r="H8" s="253"/>
      <c r="I8" s="253"/>
      <c r="J8" s="253"/>
      <c r="W8" s="276"/>
    </row>
    <row r="9" spans="1:28">
      <c r="A9" t="s">
        <v>150</v>
      </c>
      <c r="B9" s="253" t="s">
        <v>406</v>
      </c>
      <c r="C9" s="253" t="str">
        <f t="shared" ref="C9:C32" si="0">B9</f>
        <v>D.23-11-069</v>
      </c>
      <c r="D9" s="253" t="str">
        <f t="shared" ref="D9:D32" si="1">B9</f>
        <v>D.23-11-069</v>
      </c>
      <c r="E9" s="253" t="str">
        <f t="shared" ref="E9:E32" si="2">C9</f>
        <v>D.23-11-069</v>
      </c>
      <c r="F9" s="253" t="str">
        <f t="shared" ref="F9:G28" si="3">E9</f>
        <v>D.23-11-069</v>
      </c>
      <c r="G9" s="253" t="str">
        <f t="shared" si="3"/>
        <v>D.23-11-069</v>
      </c>
      <c r="H9" s="253" t="s">
        <v>406</v>
      </c>
      <c r="I9" s="253" t="str">
        <f>H9</f>
        <v>D.23-11-069</v>
      </c>
      <c r="J9" s="253" t="str">
        <f t="shared" ref="J9:J70" si="4">I9</f>
        <v>D.23-11-069</v>
      </c>
      <c r="K9" s="131">
        <v>7331840.8000878887</v>
      </c>
      <c r="L9" s="131">
        <f t="shared" ref="L9:P16" si="5">K9</f>
        <v>7331840.8000878887</v>
      </c>
      <c r="M9" s="131">
        <f t="shared" si="5"/>
        <v>7331840.8000878887</v>
      </c>
      <c r="N9" s="131">
        <f t="shared" si="5"/>
        <v>7331840.8000878887</v>
      </c>
      <c r="O9" s="131">
        <f t="shared" si="5"/>
        <v>7331840.8000878887</v>
      </c>
      <c r="P9" s="131">
        <f t="shared" si="5"/>
        <v>7331840.8000878887</v>
      </c>
      <c r="Q9" s="131">
        <v>6884278.1674621208</v>
      </c>
      <c r="R9" s="131">
        <f t="shared" ref="R9:R31" si="6">Q9</f>
        <v>6884278.1674621208</v>
      </c>
      <c r="S9" s="131">
        <f>R9</f>
        <v>6884278.1674621208</v>
      </c>
      <c r="T9" t="s">
        <v>5</v>
      </c>
      <c r="U9" t="str">
        <f t="shared" ref="U9:U40" si="7">IF(RIGHT(A9,1)="*","Y","N")</f>
        <v>N</v>
      </c>
      <c r="W9" s="105"/>
      <c r="Z9" s="281"/>
    </row>
    <row r="10" spans="1:28">
      <c r="A10" t="s">
        <v>316</v>
      </c>
      <c r="B10" s="253" t="s">
        <v>406</v>
      </c>
      <c r="C10" s="253" t="str">
        <f t="shared" si="0"/>
        <v>D.23-11-069</v>
      </c>
      <c r="D10" s="253" t="str">
        <f t="shared" si="1"/>
        <v>D.23-11-069</v>
      </c>
      <c r="E10" s="253" t="str">
        <f t="shared" si="2"/>
        <v>D.23-11-069</v>
      </c>
      <c r="F10" s="253" t="str">
        <f t="shared" si="3"/>
        <v>D.23-11-069</v>
      </c>
      <c r="G10" s="253" t="str">
        <f t="shared" si="3"/>
        <v>D.23-11-069</v>
      </c>
      <c r="H10" s="253" t="s">
        <v>406</v>
      </c>
      <c r="I10" s="253" t="str">
        <f>H10</f>
        <v>D.23-11-069</v>
      </c>
      <c r="J10" s="253" t="str">
        <f t="shared" si="4"/>
        <v>D.23-11-069</v>
      </c>
      <c r="K10" s="131">
        <v>904.68382282581786</v>
      </c>
      <c r="L10" s="131">
        <f t="shared" si="5"/>
        <v>904.68382282581786</v>
      </c>
      <c r="M10" s="131">
        <f t="shared" si="5"/>
        <v>904.68382282581786</v>
      </c>
      <c r="N10" s="131">
        <f t="shared" si="5"/>
        <v>904.68382282581786</v>
      </c>
      <c r="O10" s="131">
        <f t="shared" si="5"/>
        <v>904.68382282581786</v>
      </c>
      <c r="P10" s="131">
        <f t="shared" si="5"/>
        <v>904.68382282581786</v>
      </c>
      <c r="Q10" s="131">
        <v>978572.41428428795</v>
      </c>
      <c r="R10" s="131">
        <f t="shared" si="6"/>
        <v>978572.41428428795</v>
      </c>
      <c r="S10" s="131">
        <f t="shared" ref="S10:S73" si="8">R10</f>
        <v>978572.41428428795</v>
      </c>
      <c r="T10" t="s">
        <v>309</v>
      </c>
      <c r="U10" t="str">
        <f t="shared" si="7"/>
        <v>N</v>
      </c>
      <c r="W10" s="105"/>
      <c r="Z10" s="281"/>
    </row>
    <row r="11" spans="1:28">
      <c r="A11" t="s">
        <v>151</v>
      </c>
      <c r="B11" t="s">
        <v>116</v>
      </c>
      <c r="C11" s="253" t="str">
        <f t="shared" si="0"/>
        <v>Preliminary Statement  CZ</v>
      </c>
      <c r="D11" s="253" t="str">
        <f t="shared" si="1"/>
        <v>Preliminary Statement  CZ</v>
      </c>
      <c r="E11" s="253" t="str">
        <f t="shared" si="2"/>
        <v>Preliminary Statement  CZ</v>
      </c>
      <c r="F11" s="253" t="str">
        <f t="shared" si="3"/>
        <v>Preliminary Statement  CZ</v>
      </c>
      <c r="G11" s="253" t="str">
        <f t="shared" si="3"/>
        <v>Preliminary Statement  CZ</v>
      </c>
      <c r="H11" s="253" t="s">
        <v>116</v>
      </c>
      <c r="I11" s="282" t="s">
        <v>406</v>
      </c>
      <c r="J11" s="253" t="str">
        <f t="shared" si="4"/>
        <v>D.23-11-069</v>
      </c>
      <c r="K11" s="131">
        <v>882975.70770475338</v>
      </c>
      <c r="L11" s="131">
        <f t="shared" si="5"/>
        <v>882975.70770475338</v>
      </c>
      <c r="M11" s="131">
        <f t="shared" si="5"/>
        <v>882975.70770475338</v>
      </c>
      <c r="N11" s="131">
        <f t="shared" si="5"/>
        <v>882975.70770475338</v>
      </c>
      <c r="O11" s="131">
        <f t="shared" si="5"/>
        <v>882975.70770475338</v>
      </c>
      <c r="P11" s="131">
        <f t="shared" si="5"/>
        <v>882975.70770475338</v>
      </c>
      <c r="Q11" s="131">
        <v>1523645.7921620212</v>
      </c>
      <c r="R11" s="131">
        <f t="shared" si="6"/>
        <v>1523645.7921620212</v>
      </c>
      <c r="S11" s="131">
        <f t="shared" si="8"/>
        <v>1523645.7921620212</v>
      </c>
      <c r="T11" t="s">
        <v>5</v>
      </c>
      <c r="U11" t="str">
        <f t="shared" si="7"/>
        <v>Y</v>
      </c>
      <c r="W11" s="276"/>
      <c r="Z11" s="281"/>
    </row>
    <row r="12" spans="1:28">
      <c r="A12" t="s">
        <v>425</v>
      </c>
      <c r="B12" s="253" t="s">
        <v>406</v>
      </c>
      <c r="C12" s="253" t="str">
        <f t="shared" si="0"/>
        <v>D.23-11-069</v>
      </c>
      <c r="D12" s="253" t="str">
        <f t="shared" si="1"/>
        <v>D.23-11-069</v>
      </c>
      <c r="E12" s="253" t="str">
        <f t="shared" si="2"/>
        <v>D.23-11-069</v>
      </c>
      <c r="F12" s="253" t="str">
        <f t="shared" si="3"/>
        <v>D.23-11-069</v>
      </c>
      <c r="G12" s="253" t="str">
        <f t="shared" si="3"/>
        <v>D.23-11-069</v>
      </c>
      <c r="H12" s="253" t="s">
        <v>406</v>
      </c>
      <c r="I12" s="253" t="str">
        <f t="shared" ref="I12:I31" si="9">H12</f>
        <v>D.23-11-069</v>
      </c>
      <c r="J12" s="253" t="str">
        <f t="shared" si="4"/>
        <v>D.23-11-069</v>
      </c>
      <c r="K12" s="131">
        <v>872096.71037771134</v>
      </c>
      <c r="L12" s="131">
        <f t="shared" si="5"/>
        <v>872096.71037771134</v>
      </c>
      <c r="M12" s="131">
        <f t="shared" si="5"/>
        <v>872096.71037771134</v>
      </c>
      <c r="N12" s="131">
        <f t="shared" si="5"/>
        <v>872096.71037771134</v>
      </c>
      <c r="O12" s="131">
        <f t="shared" si="5"/>
        <v>872096.71037771134</v>
      </c>
      <c r="P12" s="131">
        <f t="shared" si="5"/>
        <v>872096.71037771134</v>
      </c>
      <c r="Q12" s="131">
        <v>872096.71037771134</v>
      </c>
      <c r="R12" s="131">
        <f t="shared" si="6"/>
        <v>872096.71037771134</v>
      </c>
      <c r="S12" s="131">
        <f t="shared" si="8"/>
        <v>872096.71037771134</v>
      </c>
      <c r="T12" t="s">
        <v>5</v>
      </c>
      <c r="U12" t="str">
        <f t="shared" si="7"/>
        <v>N</v>
      </c>
      <c r="W12" s="276"/>
      <c r="Z12" s="281"/>
    </row>
    <row r="13" spans="1:28">
      <c r="A13" t="s">
        <v>434</v>
      </c>
      <c r="B13" s="253" t="s">
        <v>339</v>
      </c>
      <c r="C13" s="253" t="str">
        <f t="shared" si="0"/>
        <v>D.23-01-005</v>
      </c>
      <c r="D13" s="253" t="str">
        <f t="shared" si="1"/>
        <v>D.23-01-005</v>
      </c>
      <c r="E13" s="253" t="str">
        <f t="shared" si="2"/>
        <v>D.23-01-005</v>
      </c>
      <c r="F13" s="253" t="str">
        <f t="shared" si="3"/>
        <v>D.23-01-005</v>
      </c>
      <c r="G13" s="253" t="str">
        <f t="shared" si="3"/>
        <v>D.23-01-005</v>
      </c>
      <c r="H13" s="253" t="s">
        <v>339</v>
      </c>
      <c r="I13" s="253" t="str">
        <f t="shared" si="9"/>
        <v>D.23-01-005</v>
      </c>
      <c r="J13" s="253" t="str">
        <f t="shared" si="4"/>
        <v>D.23-01-005</v>
      </c>
      <c r="K13" s="131">
        <v>8928.6850254772435</v>
      </c>
      <c r="L13" s="131">
        <f t="shared" si="5"/>
        <v>8928.6850254772435</v>
      </c>
      <c r="M13" s="131">
        <f t="shared" si="5"/>
        <v>8928.6850254772435</v>
      </c>
      <c r="N13" s="131">
        <f t="shared" si="5"/>
        <v>8928.6850254772435</v>
      </c>
      <c r="O13" s="131">
        <f t="shared" si="5"/>
        <v>8928.6850254772435</v>
      </c>
      <c r="P13" s="131">
        <f t="shared" si="5"/>
        <v>8928.6850254772435</v>
      </c>
      <c r="Q13" s="131">
        <v>8940.0690988847255</v>
      </c>
      <c r="R13" s="131">
        <f t="shared" si="6"/>
        <v>8940.0690988847255</v>
      </c>
      <c r="S13" s="131">
        <f t="shared" si="8"/>
        <v>8940.0690988847255</v>
      </c>
      <c r="T13" t="s">
        <v>5</v>
      </c>
      <c r="U13" t="str">
        <f t="shared" si="7"/>
        <v>N</v>
      </c>
      <c r="X13" s="105"/>
      <c r="Y13" s="105"/>
      <c r="Z13" s="281"/>
      <c r="AB13" s="105"/>
    </row>
    <row r="14" spans="1:28">
      <c r="A14" t="s">
        <v>327</v>
      </c>
      <c r="B14" s="253" t="s">
        <v>339</v>
      </c>
      <c r="C14" s="253" t="str">
        <f t="shared" si="0"/>
        <v>D.23-01-005</v>
      </c>
      <c r="D14" s="253" t="str">
        <f t="shared" si="1"/>
        <v>D.23-01-005</v>
      </c>
      <c r="E14" s="253" t="str">
        <f t="shared" si="2"/>
        <v>D.23-01-005</v>
      </c>
      <c r="F14" s="253" t="str">
        <f t="shared" si="3"/>
        <v>D.23-01-005</v>
      </c>
      <c r="G14" s="253" t="str">
        <f t="shared" si="3"/>
        <v>D.23-01-005</v>
      </c>
      <c r="H14" s="253" t="s">
        <v>448</v>
      </c>
      <c r="I14" s="253" t="str">
        <f t="shared" si="9"/>
        <v>n/a</v>
      </c>
      <c r="J14" s="253" t="str">
        <f t="shared" si="4"/>
        <v>n/a</v>
      </c>
      <c r="K14" s="131">
        <v>404008.12629373185</v>
      </c>
      <c r="L14" s="131">
        <f t="shared" si="5"/>
        <v>404008.12629373185</v>
      </c>
      <c r="M14" s="131">
        <f t="shared" si="5"/>
        <v>404008.12629373185</v>
      </c>
      <c r="N14" s="131">
        <f t="shared" si="5"/>
        <v>404008.12629373185</v>
      </c>
      <c r="O14" s="131">
        <f t="shared" si="5"/>
        <v>404008.12629373185</v>
      </c>
      <c r="P14" s="131">
        <f t="shared" si="5"/>
        <v>404008.12629373185</v>
      </c>
      <c r="Q14" s="131">
        <v>0</v>
      </c>
      <c r="R14" s="131">
        <f t="shared" si="6"/>
        <v>0</v>
      </c>
      <c r="S14" s="131">
        <f t="shared" si="8"/>
        <v>0</v>
      </c>
      <c r="T14" t="s">
        <v>5</v>
      </c>
      <c r="U14" t="str">
        <f t="shared" si="7"/>
        <v>N</v>
      </c>
      <c r="W14" s="276"/>
      <c r="X14" s="105"/>
      <c r="Y14" s="105"/>
      <c r="Z14" s="281"/>
      <c r="AB14" s="105"/>
    </row>
    <row r="15" spans="1:28">
      <c r="A15" t="s">
        <v>150</v>
      </c>
      <c r="B15" s="253" t="s">
        <v>406</v>
      </c>
      <c r="C15" s="253" t="str">
        <f t="shared" si="0"/>
        <v>D.23-11-069</v>
      </c>
      <c r="D15" s="253" t="str">
        <f t="shared" si="1"/>
        <v>D.23-11-069</v>
      </c>
      <c r="E15" s="253" t="str">
        <f t="shared" si="2"/>
        <v>D.23-11-069</v>
      </c>
      <c r="F15" s="253" t="str">
        <f t="shared" si="3"/>
        <v>D.23-11-069</v>
      </c>
      <c r="G15" s="253" t="str">
        <f t="shared" si="3"/>
        <v>D.23-11-069</v>
      </c>
      <c r="H15" s="253" t="s">
        <v>406</v>
      </c>
      <c r="I15" s="253" t="str">
        <f t="shared" si="9"/>
        <v>D.23-11-069</v>
      </c>
      <c r="J15" s="253" t="str">
        <f t="shared" si="4"/>
        <v>D.23-11-069</v>
      </c>
      <c r="K15" s="131">
        <v>2264591.3655145746</v>
      </c>
      <c r="L15" s="131">
        <f t="shared" si="5"/>
        <v>2264591.3655145746</v>
      </c>
      <c r="M15" s="131">
        <f t="shared" si="5"/>
        <v>2264591.3655145746</v>
      </c>
      <c r="N15" s="131">
        <f t="shared" si="5"/>
        <v>2264591.3655145746</v>
      </c>
      <c r="O15" s="131">
        <f t="shared" si="5"/>
        <v>2264591.3655145746</v>
      </c>
      <c r="P15" s="131">
        <f t="shared" si="5"/>
        <v>2264591.3655145746</v>
      </c>
      <c r="Q15" s="131">
        <v>1850084.3723644684</v>
      </c>
      <c r="R15" s="131">
        <f t="shared" si="6"/>
        <v>1850084.3723644684</v>
      </c>
      <c r="S15" s="131">
        <f t="shared" si="8"/>
        <v>1850084.3723644684</v>
      </c>
      <c r="T15" t="s">
        <v>211</v>
      </c>
      <c r="U15" t="str">
        <f t="shared" si="7"/>
        <v>N</v>
      </c>
      <c r="W15" s="276"/>
      <c r="X15" s="105"/>
      <c r="Y15" s="105"/>
      <c r="Z15" s="281"/>
      <c r="AB15" s="105"/>
    </row>
    <row r="16" spans="1:28">
      <c r="A16" t="s">
        <v>425</v>
      </c>
      <c r="B16" s="253" t="s">
        <v>406</v>
      </c>
      <c r="C16" s="253" t="str">
        <f t="shared" si="0"/>
        <v>D.23-11-069</v>
      </c>
      <c r="D16" s="253" t="str">
        <f t="shared" si="1"/>
        <v>D.23-11-069</v>
      </c>
      <c r="E16" s="253" t="str">
        <f t="shared" si="2"/>
        <v>D.23-11-069</v>
      </c>
      <c r="F16" s="253" t="str">
        <f t="shared" si="3"/>
        <v>D.23-11-069</v>
      </c>
      <c r="G16" s="253" t="str">
        <f t="shared" si="3"/>
        <v>D.23-11-069</v>
      </c>
      <c r="H16" s="253" t="s">
        <v>406</v>
      </c>
      <c r="I16" s="253" t="str">
        <f t="shared" si="9"/>
        <v>D.23-11-069</v>
      </c>
      <c r="J16" s="253" t="str">
        <f t="shared" si="4"/>
        <v>D.23-11-069</v>
      </c>
      <c r="K16" s="131">
        <v>-993.7272371893788</v>
      </c>
      <c r="L16" s="131">
        <f t="shared" si="5"/>
        <v>-993.7272371893788</v>
      </c>
      <c r="M16" s="131">
        <f t="shared" si="5"/>
        <v>-993.7272371893788</v>
      </c>
      <c r="N16" s="131">
        <f t="shared" si="5"/>
        <v>-993.7272371893788</v>
      </c>
      <c r="O16" s="131">
        <f t="shared" si="5"/>
        <v>-993.7272371893788</v>
      </c>
      <c r="P16" s="131">
        <f t="shared" si="5"/>
        <v>-993.7272371893788</v>
      </c>
      <c r="Q16" s="131">
        <v>-993.7272371893788</v>
      </c>
      <c r="R16" s="131">
        <f t="shared" si="6"/>
        <v>-993.7272371893788</v>
      </c>
      <c r="S16" s="131">
        <f t="shared" si="8"/>
        <v>-993.7272371893788</v>
      </c>
      <c r="T16" t="s">
        <v>211</v>
      </c>
      <c r="U16" t="str">
        <f t="shared" si="7"/>
        <v>N</v>
      </c>
      <c r="X16" s="105"/>
      <c r="Y16" s="105"/>
      <c r="Z16" s="281"/>
      <c r="AB16" s="105"/>
    </row>
    <row r="17" spans="1:28">
      <c r="A17" t="s">
        <v>67</v>
      </c>
      <c r="B17" s="253" t="s">
        <v>439</v>
      </c>
      <c r="C17" s="253" t="str">
        <f t="shared" si="0"/>
        <v>AL 4568-G-B/6492-E-B</v>
      </c>
      <c r="D17" s="253" t="str">
        <f t="shared" si="1"/>
        <v>AL 4568-G-B/6492-E-B</v>
      </c>
      <c r="E17" s="253" t="str">
        <f t="shared" si="2"/>
        <v>AL 4568-G-B/6492-E-B</v>
      </c>
      <c r="F17" s="253" t="str">
        <f t="shared" si="3"/>
        <v>AL 4568-G-B/6492-E-B</v>
      </c>
      <c r="G17" s="253" t="str">
        <f t="shared" si="3"/>
        <v>AL 4568-G-B/6492-E-B</v>
      </c>
      <c r="H17" s="283" t="s">
        <v>559</v>
      </c>
      <c r="I17" s="283" t="str">
        <f t="shared" si="9"/>
        <v>AL 4880-G/7216-E</v>
      </c>
      <c r="J17" s="253" t="str">
        <f t="shared" si="4"/>
        <v>AL 4880-G/7216-E</v>
      </c>
      <c r="K17" s="131">
        <v>66013.951671243645</v>
      </c>
      <c r="L17" s="131">
        <f t="shared" ref="L17:M32" si="10">K17</f>
        <v>66013.951671243645</v>
      </c>
      <c r="M17" s="131">
        <f t="shared" si="10"/>
        <v>66013.951671243645</v>
      </c>
      <c r="N17" s="131" t="e">
        <f>#REF!/1000</f>
        <v>#REF!</v>
      </c>
      <c r="O17" s="131" t="e">
        <f t="shared" ref="O17:P36" si="11">N17</f>
        <v>#REF!</v>
      </c>
      <c r="P17" s="131" t="e">
        <f t="shared" si="11"/>
        <v>#REF!</v>
      </c>
      <c r="Q17" s="131">
        <v>71556.30161158042</v>
      </c>
      <c r="R17" s="131">
        <f t="shared" si="6"/>
        <v>71556.30161158042</v>
      </c>
      <c r="S17" s="131">
        <v>81329.474023171992</v>
      </c>
      <c r="T17" t="s">
        <v>5</v>
      </c>
      <c r="U17" t="str">
        <f t="shared" si="7"/>
        <v>N</v>
      </c>
      <c r="W17" s="276"/>
      <c r="X17" s="105"/>
      <c r="Y17" s="105"/>
      <c r="Z17" s="281"/>
      <c r="AB17" s="105"/>
    </row>
    <row r="18" spans="1:28">
      <c r="A18" t="s">
        <v>320</v>
      </c>
      <c r="B18" s="253" t="s">
        <v>439</v>
      </c>
      <c r="C18" s="253" t="str">
        <f t="shared" si="0"/>
        <v>AL 4568-G-B/6492-E-B</v>
      </c>
      <c r="D18" s="253" t="str">
        <f t="shared" si="1"/>
        <v>AL 4568-G-B/6492-E-B</v>
      </c>
      <c r="E18" s="253" t="str">
        <f t="shared" si="2"/>
        <v>AL 4568-G-B/6492-E-B</v>
      </c>
      <c r="F18" s="253" t="str">
        <f t="shared" si="3"/>
        <v>AL 4568-G-B/6492-E-B</v>
      </c>
      <c r="G18" s="253" t="str">
        <f t="shared" si="3"/>
        <v>AL 4568-G-B/6492-E-B</v>
      </c>
      <c r="H18" s="253" t="s">
        <v>439</v>
      </c>
      <c r="I18" s="253" t="str">
        <f t="shared" si="9"/>
        <v>AL 4568-G-B/6492-E-B</v>
      </c>
      <c r="J18" s="253" t="str">
        <f t="shared" si="4"/>
        <v>AL 4568-G-B/6492-E-B</v>
      </c>
      <c r="K18" s="131">
        <v>-5.94814309E-2</v>
      </c>
      <c r="L18" s="131">
        <f t="shared" si="10"/>
        <v>-5.94814309E-2</v>
      </c>
      <c r="M18" s="131">
        <f t="shared" si="10"/>
        <v>-5.94814309E-2</v>
      </c>
      <c r="N18" s="131">
        <f t="shared" ref="N18:N23" si="12">M18</f>
        <v>-5.94814309E-2</v>
      </c>
      <c r="O18" s="131">
        <f t="shared" si="11"/>
        <v>-5.94814309E-2</v>
      </c>
      <c r="P18" s="131">
        <f t="shared" si="11"/>
        <v>-5.94814309E-2</v>
      </c>
      <c r="Q18" s="131">
        <v>-1.3162760000000001E-4</v>
      </c>
      <c r="R18" s="131">
        <f t="shared" si="6"/>
        <v>-1.3162760000000001E-4</v>
      </c>
      <c r="S18" s="131">
        <f t="shared" si="8"/>
        <v>-1.3162760000000001E-4</v>
      </c>
      <c r="T18" t="s">
        <v>5</v>
      </c>
      <c r="U18" t="str">
        <f t="shared" si="7"/>
        <v>Y</v>
      </c>
      <c r="X18" s="105"/>
      <c r="Y18" s="105"/>
      <c r="Z18" s="281"/>
      <c r="AA18" s="276"/>
      <c r="AB18" s="105"/>
    </row>
    <row r="19" spans="1:28">
      <c r="A19" t="s">
        <v>67</v>
      </c>
      <c r="B19" s="253" t="s">
        <v>439</v>
      </c>
      <c r="C19" s="253" t="str">
        <f t="shared" si="0"/>
        <v>AL 4568-G-B/6492-E-B</v>
      </c>
      <c r="D19" s="253" t="str">
        <f t="shared" si="1"/>
        <v>AL 4568-G-B/6492-E-B</v>
      </c>
      <c r="E19" s="253" t="str">
        <f t="shared" si="2"/>
        <v>AL 4568-G-B/6492-E-B</v>
      </c>
      <c r="F19" s="253" t="str">
        <f t="shared" si="3"/>
        <v>AL 4568-G-B/6492-E-B</v>
      </c>
      <c r="G19" s="253" t="str">
        <f t="shared" si="3"/>
        <v>AL 4568-G-B/6492-E-B</v>
      </c>
      <c r="H19" s="253" t="s">
        <v>439</v>
      </c>
      <c r="I19" s="253" t="str">
        <f t="shared" si="9"/>
        <v>AL 4568-G-B/6492-E-B</v>
      </c>
      <c r="J19" s="253" t="str">
        <f t="shared" si="4"/>
        <v>AL 4568-G-B/6492-E-B</v>
      </c>
      <c r="K19" s="131">
        <v>40840.810625489292</v>
      </c>
      <c r="L19" s="131">
        <f t="shared" si="10"/>
        <v>40840.810625489292</v>
      </c>
      <c r="M19" s="131">
        <f t="shared" si="10"/>
        <v>40840.810625489292</v>
      </c>
      <c r="N19" s="131">
        <f t="shared" si="12"/>
        <v>40840.810625489292</v>
      </c>
      <c r="O19" s="131">
        <f t="shared" si="11"/>
        <v>40840.810625489292</v>
      </c>
      <c r="P19" s="131">
        <f t="shared" si="11"/>
        <v>40840.810625489292</v>
      </c>
      <c r="Q19" s="131">
        <v>39491.613222698499</v>
      </c>
      <c r="R19" s="131">
        <f t="shared" si="6"/>
        <v>39491.613222698499</v>
      </c>
      <c r="S19" s="131">
        <f t="shared" si="8"/>
        <v>39491.613222698499</v>
      </c>
      <c r="T19" t="s">
        <v>211</v>
      </c>
      <c r="U19" t="str">
        <f t="shared" si="7"/>
        <v>N</v>
      </c>
      <c r="W19" s="276"/>
      <c r="X19" s="105"/>
      <c r="Y19" s="105"/>
      <c r="Z19" s="281"/>
      <c r="AB19" s="105"/>
    </row>
    <row r="20" spans="1:28">
      <c r="A20" s="253" t="s">
        <v>72</v>
      </c>
      <c r="B20" s="253" t="s">
        <v>406</v>
      </c>
      <c r="C20" s="253" t="str">
        <f t="shared" si="0"/>
        <v>D.23-11-069</v>
      </c>
      <c r="D20" s="253" t="str">
        <f t="shared" si="1"/>
        <v>D.23-11-069</v>
      </c>
      <c r="E20" s="253" t="str">
        <f t="shared" si="2"/>
        <v>D.23-11-069</v>
      </c>
      <c r="F20" s="253" t="str">
        <f t="shared" si="3"/>
        <v>D.23-11-069</v>
      </c>
      <c r="G20" s="253" t="str">
        <f t="shared" si="3"/>
        <v>D.23-11-069</v>
      </c>
      <c r="H20" s="253" t="s">
        <v>406</v>
      </c>
      <c r="I20" s="253" t="str">
        <f t="shared" si="9"/>
        <v>D.23-11-069</v>
      </c>
      <c r="J20" s="253" t="str">
        <f t="shared" si="4"/>
        <v>D.23-11-069</v>
      </c>
      <c r="K20" s="131">
        <v>-1828</v>
      </c>
      <c r="L20" s="131">
        <f t="shared" si="10"/>
        <v>-1828</v>
      </c>
      <c r="M20" s="131">
        <f t="shared" si="10"/>
        <v>-1828</v>
      </c>
      <c r="N20" s="131">
        <f t="shared" si="12"/>
        <v>-1828</v>
      </c>
      <c r="O20" s="131">
        <f t="shared" si="11"/>
        <v>-1828</v>
      </c>
      <c r="P20" s="131">
        <f t="shared" si="11"/>
        <v>-1828</v>
      </c>
      <c r="Q20" s="131">
        <v>-1939</v>
      </c>
      <c r="R20" s="131">
        <f t="shared" si="6"/>
        <v>-1939</v>
      </c>
      <c r="S20" s="131">
        <f t="shared" si="8"/>
        <v>-1939</v>
      </c>
      <c r="T20" t="s">
        <v>211</v>
      </c>
      <c r="U20" t="str">
        <f t="shared" si="7"/>
        <v>N</v>
      </c>
      <c r="W20" s="276"/>
      <c r="X20" s="105"/>
      <c r="Y20" s="105"/>
      <c r="Z20" s="281"/>
      <c r="AB20" s="105"/>
    </row>
    <row r="21" spans="1:28">
      <c r="A21" t="s">
        <v>93</v>
      </c>
      <c r="B21" s="253" t="s">
        <v>437</v>
      </c>
      <c r="C21" s="253" t="str">
        <f t="shared" si="0"/>
        <v>D.23-12-022</v>
      </c>
      <c r="D21" s="253" t="str">
        <f t="shared" si="1"/>
        <v>D.23-12-022</v>
      </c>
      <c r="E21" s="253" t="str">
        <f t="shared" si="2"/>
        <v>D.23-12-022</v>
      </c>
      <c r="F21" s="253" t="str">
        <f t="shared" si="3"/>
        <v>D.23-12-022</v>
      </c>
      <c r="G21" s="253" t="str">
        <f t="shared" si="3"/>
        <v>D.23-12-022</v>
      </c>
      <c r="H21" s="253" t="s">
        <v>437</v>
      </c>
      <c r="I21" s="253" t="str">
        <f t="shared" si="9"/>
        <v>D.23-12-022</v>
      </c>
      <c r="J21" s="253" t="str">
        <f t="shared" si="4"/>
        <v>D.23-12-022</v>
      </c>
      <c r="K21" s="131">
        <v>4421013.2718403628</v>
      </c>
      <c r="L21" s="131">
        <f t="shared" si="10"/>
        <v>4421013.2718403628</v>
      </c>
      <c r="M21" s="131">
        <f t="shared" si="10"/>
        <v>4421013.2718403628</v>
      </c>
      <c r="N21" s="131">
        <f t="shared" si="12"/>
        <v>4421013.2718403628</v>
      </c>
      <c r="O21" s="131">
        <f t="shared" si="11"/>
        <v>4421013.2718403628</v>
      </c>
      <c r="P21" s="131">
        <f t="shared" si="11"/>
        <v>4421013.2718403628</v>
      </c>
      <c r="Q21" s="131">
        <v>4499559.0665874425</v>
      </c>
      <c r="R21" s="131">
        <f t="shared" si="6"/>
        <v>4499559.0665874425</v>
      </c>
      <c r="S21" s="131">
        <f t="shared" si="8"/>
        <v>4499559.0665874425</v>
      </c>
      <c r="T21" t="s">
        <v>3</v>
      </c>
      <c r="U21" t="str">
        <f t="shared" si="7"/>
        <v>N</v>
      </c>
      <c r="W21" s="276"/>
      <c r="X21" s="105"/>
      <c r="Y21" s="105"/>
      <c r="Z21" s="281"/>
      <c r="AB21" s="105"/>
    </row>
    <row r="22" spans="1:28">
      <c r="A22" t="s">
        <v>93</v>
      </c>
      <c r="B22" s="253" t="s">
        <v>437</v>
      </c>
      <c r="C22" s="253" t="str">
        <f t="shared" si="0"/>
        <v>D.23-12-022</v>
      </c>
      <c r="D22" s="253" t="str">
        <f t="shared" si="1"/>
        <v>D.23-12-022</v>
      </c>
      <c r="E22" s="253" t="str">
        <f t="shared" si="2"/>
        <v>D.23-12-022</v>
      </c>
      <c r="F22" s="253" t="str">
        <f t="shared" si="3"/>
        <v>D.23-12-022</v>
      </c>
      <c r="G22" s="253" t="str">
        <f t="shared" si="3"/>
        <v>D.23-12-022</v>
      </c>
      <c r="H22" s="253" t="s">
        <v>437</v>
      </c>
      <c r="I22" s="253" t="str">
        <f t="shared" si="9"/>
        <v>D.23-12-022</v>
      </c>
      <c r="J22" s="253" t="str">
        <f t="shared" si="4"/>
        <v>D.23-12-022</v>
      </c>
      <c r="K22" s="131">
        <v>-1895054.416589357</v>
      </c>
      <c r="L22" s="131">
        <f t="shared" si="10"/>
        <v>-1895054.416589357</v>
      </c>
      <c r="M22" s="131">
        <f t="shared" si="10"/>
        <v>-1895054.416589357</v>
      </c>
      <c r="N22" s="131">
        <f t="shared" si="12"/>
        <v>-1895054.416589357</v>
      </c>
      <c r="O22" s="131">
        <f t="shared" si="11"/>
        <v>-1895054.416589357</v>
      </c>
      <c r="P22" s="131">
        <f t="shared" si="11"/>
        <v>-1895054.416589357</v>
      </c>
      <c r="Q22" s="131">
        <v>-2331331.0225770986</v>
      </c>
      <c r="R22" s="131">
        <f t="shared" si="6"/>
        <v>-2331331.0225770986</v>
      </c>
      <c r="S22" s="131">
        <f t="shared" si="8"/>
        <v>-2331331.0225770986</v>
      </c>
      <c r="T22" t="s">
        <v>211</v>
      </c>
      <c r="U22" t="str">
        <f t="shared" si="7"/>
        <v>N</v>
      </c>
      <c r="X22" s="105"/>
      <c r="Y22" s="105"/>
      <c r="Z22" s="281"/>
      <c r="AB22" s="105"/>
    </row>
    <row r="23" spans="1:28">
      <c r="A23" t="s">
        <v>342</v>
      </c>
      <c r="B23" s="253" t="s">
        <v>448</v>
      </c>
      <c r="C23" s="253" t="str">
        <f t="shared" si="0"/>
        <v>n/a</v>
      </c>
      <c r="D23" s="253" t="str">
        <f t="shared" si="1"/>
        <v>n/a</v>
      </c>
      <c r="E23" s="253" t="str">
        <f t="shared" si="2"/>
        <v>n/a</v>
      </c>
      <c r="F23" s="253" t="str">
        <f t="shared" si="3"/>
        <v>n/a</v>
      </c>
      <c r="G23" s="253" t="str">
        <f t="shared" si="3"/>
        <v>n/a</v>
      </c>
      <c r="H23" s="253" t="s">
        <v>448</v>
      </c>
      <c r="I23" s="253" t="str">
        <f t="shared" si="9"/>
        <v>n/a</v>
      </c>
      <c r="J23" s="253" t="str">
        <f t="shared" si="4"/>
        <v>n/a</v>
      </c>
      <c r="K23" s="131">
        <v>0</v>
      </c>
      <c r="L23" s="131">
        <f t="shared" si="10"/>
        <v>0</v>
      </c>
      <c r="M23" s="131">
        <f t="shared" si="10"/>
        <v>0</v>
      </c>
      <c r="N23" s="131">
        <f t="shared" si="12"/>
        <v>0</v>
      </c>
      <c r="O23" s="131">
        <f t="shared" si="11"/>
        <v>0</v>
      </c>
      <c r="P23" s="131">
        <f t="shared" si="11"/>
        <v>0</v>
      </c>
      <c r="Q23" s="131">
        <f>P23</f>
        <v>0</v>
      </c>
      <c r="R23" s="131">
        <f t="shared" si="6"/>
        <v>0</v>
      </c>
      <c r="S23" s="131">
        <f t="shared" si="8"/>
        <v>0</v>
      </c>
      <c r="T23" t="s">
        <v>3</v>
      </c>
      <c r="U23" t="str">
        <f t="shared" si="7"/>
        <v>Y</v>
      </c>
      <c r="X23" s="105"/>
      <c r="Y23" s="105"/>
      <c r="Z23" s="281"/>
      <c r="AB23" s="105"/>
    </row>
    <row r="24" spans="1:28">
      <c r="A24" t="s">
        <v>430</v>
      </c>
      <c r="B24" s="253" t="s">
        <v>437</v>
      </c>
      <c r="C24" s="253" t="str">
        <f t="shared" si="0"/>
        <v>D.23-12-022</v>
      </c>
      <c r="D24" s="253" t="str">
        <f t="shared" si="1"/>
        <v>D.23-12-022</v>
      </c>
      <c r="E24" s="253" t="str">
        <f t="shared" si="2"/>
        <v>D.23-12-022</v>
      </c>
      <c r="F24" s="253" t="str">
        <f t="shared" si="3"/>
        <v>D.23-12-022</v>
      </c>
      <c r="G24" s="253" t="str">
        <f t="shared" si="3"/>
        <v>D.23-12-022</v>
      </c>
      <c r="H24" s="253" t="s">
        <v>448</v>
      </c>
      <c r="I24" s="253" t="str">
        <f t="shared" si="9"/>
        <v>n/a</v>
      </c>
      <c r="J24" s="253" t="str">
        <f t="shared" si="4"/>
        <v>n/a</v>
      </c>
      <c r="K24" s="131" t="e">
        <f>#REF!/1000</f>
        <v>#REF!</v>
      </c>
      <c r="L24" s="131" t="e">
        <f t="shared" si="10"/>
        <v>#REF!</v>
      </c>
      <c r="M24" s="131" t="e">
        <f t="shared" si="10"/>
        <v>#REF!</v>
      </c>
      <c r="N24" s="131" t="e">
        <f>#REF!/1000</f>
        <v>#REF!</v>
      </c>
      <c r="O24" s="131" t="e">
        <f t="shared" si="11"/>
        <v>#REF!</v>
      </c>
      <c r="P24" s="131" t="e">
        <f t="shared" si="11"/>
        <v>#REF!</v>
      </c>
      <c r="Q24" s="131">
        <v>0</v>
      </c>
      <c r="R24" s="131">
        <f t="shared" si="6"/>
        <v>0</v>
      </c>
      <c r="S24" s="131">
        <f t="shared" si="8"/>
        <v>0</v>
      </c>
      <c r="T24" t="s">
        <v>3</v>
      </c>
      <c r="U24" t="str">
        <f t="shared" si="7"/>
        <v>N</v>
      </c>
      <c r="W24" s="276"/>
      <c r="X24" s="105"/>
      <c r="Y24" s="105"/>
      <c r="Z24" s="281"/>
      <c r="AB24" s="105"/>
    </row>
    <row r="25" spans="1:28">
      <c r="A25" t="s">
        <v>332</v>
      </c>
      <c r="B25" s="253" t="s">
        <v>437</v>
      </c>
      <c r="C25" s="253" t="str">
        <f t="shared" si="0"/>
        <v>D.23-12-022</v>
      </c>
      <c r="D25" s="253" t="str">
        <f t="shared" si="1"/>
        <v>D.23-12-022</v>
      </c>
      <c r="E25" s="253" t="str">
        <f t="shared" si="2"/>
        <v>D.23-12-022</v>
      </c>
      <c r="F25" s="253" t="str">
        <f t="shared" si="3"/>
        <v>D.23-12-022</v>
      </c>
      <c r="G25" s="253" t="str">
        <f t="shared" si="3"/>
        <v>D.23-12-022</v>
      </c>
      <c r="H25" s="253" t="s">
        <v>448</v>
      </c>
      <c r="I25" s="253" t="str">
        <f t="shared" si="9"/>
        <v>n/a</v>
      </c>
      <c r="J25" s="253" t="str">
        <f t="shared" si="4"/>
        <v>n/a</v>
      </c>
      <c r="K25" s="131">
        <v>11483.85945862339</v>
      </c>
      <c r="L25" s="131">
        <f t="shared" si="10"/>
        <v>11483.85945862339</v>
      </c>
      <c r="M25" s="131">
        <f t="shared" si="10"/>
        <v>11483.85945862339</v>
      </c>
      <c r="N25" s="131">
        <f t="shared" ref="N25:N56" si="13">M25</f>
        <v>11483.85945862339</v>
      </c>
      <c r="O25" s="131">
        <f t="shared" si="11"/>
        <v>11483.85945862339</v>
      </c>
      <c r="P25" s="131">
        <f t="shared" si="11"/>
        <v>11483.85945862339</v>
      </c>
      <c r="Q25" s="131">
        <v>0</v>
      </c>
      <c r="R25" s="131">
        <f t="shared" si="6"/>
        <v>0</v>
      </c>
      <c r="S25" s="131">
        <f t="shared" si="8"/>
        <v>0</v>
      </c>
      <c r="T25" t="s">
        <v>211</v>
      </c>
      <c r="U25" t="str">
        <f t="shared" si="7"/>
        <v>Y</v>
      </c>
      <c r="X25" s="105"/>
      <c r="Y25" s="105"/>
      <c r="Z25" s="281"/>
      <c r="AB25" s="105"/>
    </row>
    <row r="26" spans="1:28">
      <c r="A26" t="s">
        <v>333</v>
      </c>
      <c r="B26" s="253" t="s">
        <v>437</v>
      </c>
      <c r="C26" s="253" t="str">
        <f t="shared" si="0"/>
        <v>D.23-12-022</v>
      </c>
      <c r="D26" s="253" t="str">
        <f t="shared" si="1"/>
        <v>D.23-12-022</v>
      </c>
      <c r="E26" s="253" t="str">
        <f t="shared" si="2"/>
        <v>D.23-12-022</v>
      </c>
      <c r="F26" s="253" t="str">
        <f t="shared" si="3"/>
        <v>D.23-12-022</v>
      </c>
      <c r="G26" s="253" t="str">
        <f t="shared" si="3"/>
        <v>D.23-12-022</v>
      </c>
      <c r="H26" t="s">
        <v>579</v>
      </c>
      <c r="I26" s="253" t="str">
        <f t="shared" si="9"/>
        <v>Electric Preliminary HS</v>
      </c>
      <c r="J26" s="253" t="str">
        <f t="shared" si="4"/>
        <v>Electric Preliminary HS</v>
      </c>
      <c r="K26" s="131">
        <v>904.68382282581786</v>
      </c>
      <c r="L26" s="131">
        <f t="shared" si="10"/>
        <v>904.68382282581786</v>
      </c>
      <c r="M26" s="131">
        <f t="shared" si="10"/>
        <v>904.68382282581786</v>
      </c>
      <c r="N26" s="131">
        <f t="shared" si="13"/>
        <v>904.68382282581786</v>
      </c>
      <c r="O26" s="131">
        <f t="shared" si="11"/>
        <v>904.68382282581786</v>
      </c>
      <c r="P26" s="131">
        <f t="shared" si="11"/>
        <v>904.68382282581786</v>
      </c>
      <c r="Q26" s="131">
        <v>636.0636591284989</v>
      </c>
      <c r="R26" s="131">
        <f t="shared" si="6"/>
        <v>636.0636591284989</v>
      </c>
      <c r="S26" s="131">
        <f t="shared" si="8"/>
        <v>636.0636591284989</v>
      </c>
      <c r="T26" t="s">
        <v>211</v>
      </c>
      <c r="U26" t="str">
        <f t="shared" si="7"/>
        <v>Y</v>
      </c>
    </row>
    <row r="27" spans="1:28">
      <c r="A27" t="s">
        <v>110</v>
      </c>
      <c r="B27" s="253" t="s">
        <v>117</v>
      </c>
      <c r="C27" s="253" t="str">
        <f t="shared" si="0"/>
        <v>Preliminary Statement  DT</v>
      </c>
      <c r="D27" s="253" t="str">
        <f t="shared" si="1"/>
        <v>Preliminary Statement  DT</v>
      </c>
      <c r="E27" s="253" t="str">
        <f t="shared" si="2"/>
        <v>Preliminary Statement  DT</v>
      </c>
      <c r="F27" s="253" t="str">
        <f t="shared" si="3"/>
        <v>Preliminary Statement  DT</v>
      </c>
      <c r="G27" s="253" t="str">
        <f t="shared" si="3"/>
        <v>Preliminary Statement  DT</v>
      </c>
      <c r="H27" s="253" t="s">
        <v>117</v>
      </c>
      <c r="I27" s="253" t="str">
        <f t="shared" si="9"/>
        <v>Preliminary Statement  DT</v>
      </c>
      <c r="J27" s="253" t="str">
        <f t="shared" si="4"/>
        <v>Preliminary Statement  DT</v>
      </c>
      <c r="K27" s="131" t="e">
        <f>#REF!/1000</f>
        <v>#REF!</v>
      </c>
      <c r="L27" s="131" t="e">
        <f t="shared" si="10"/>
        <v>#REF!</v>
      </c>
      <c r="M27" s="131" t="e">
        <f t="shared" si="10"/>
        <v>#REF!</v>
      </c>
      <c r="N27" s="131" t="e">
        <f t="shared" si="13"/>
        <v>#REF!</v>
      </c>
      <c r="O27" s="131" t="e">
        <f t="shared" si="11"/>
        <v>#REF!</v>
      </c>
      <c r="P27" s="131" t="e">
        <f t="shared" si="11"/>
        <v>#REF!</v>
      </c>
      <c r="Q27" s="131">
        <v>699.27697046948424</v>
      </c>
      <c r="R27" s="131">
        <f t="shared" si="6"/>
        <v>699.27697046948424</v>
      </c>
      <c r="S27" s="131">
        <f t="shared" si="8"/>
        <v>699.27697046948424</v>
      </c>
      <c r="T27" t="s">
        <v>131</v>
      </c>
      <c r="U27" t="str">
        <f t="shared" si="7"/>
        <v>Y</v>
      </c>
      <c r="X27" s="276"/>
      <c r="Y27" s="284"/>
      <c r="Z27" s="281"/>
    </row>
    <row r="28" spans="1:28">
      <c r="A28" t="s">
        <v>68</v>
      </c>
      <c r="B28" s="253" t="s">
        <v>437</v>
      </c>
      <c r="C28" s="253" t="str">
        <f t="shared" si="0"/>
        <v>D.23-12-022</v>
      </c>
      <c r="D28" s="253" t="str">
        <f t="shared" si="1"/>
        <v>D.23-12-022</v>
      </c>
      <c r="E28" s="253" t="str">
        <f t="shared" si="2"/>
        <v>D.23-12-022</v>
      </c>
      <c r="F28" s="253" t="str">
        <f t="shared" si="3"/>
        <v>D.23-12-022</v>
      </c>
      <c r="G28" s="253" t="str">
        <f t="shared" si="3"/>
        <v>D.23-12-022</v>
      </c>
      <c r="H28" s="253" t="s">
        <v>580</v>
      </c>
      <c r="I28" s="253" t="str">
        <f t="shared" si="9"/>
        <v>D.24-12-038</v>
      </c>
      <c r="J28" s="253" t="str">
        <f t="shared" si="4"/>
        <v>D.24-12-038</v>
      </c>
      <c r="K28" s="131">
        <v>14630.403030328112</v>
      </c>
      <c r="L28" s="131">
        <f t="shared" si="10"/>
        <v>14630.403030328112</v>
      </c>
      <c r="M28" s="131">
        <f t="shared" si="10"/>
        <v>14630.403030328112</v>
      </c>
      <c r="N28" s="131">
        <f t="shared" si="13"/>
        <v>14630.403030328112</v>
      </c>
      <c r="O28" s="131">
        <f t="shared" si="11"/>
        <v>14630.403030328112</v>
      </c>
      <c r="P28" s="131">
        <f t="shared" si="11"/>
        <v>14630.403030328112</v>
      </c>
      <c r="Q28" s="131">
        <v>-28147.512925982206</v>
      </c>
      <c r="R28" s="131">
        <f t="shared" si="6"/>
        <v>-28147.512925982206</v>
      </c>
      <c r="S28" s="131">
        <f t="shared" si="8"/>
        <v>-28147.512925982206</v>
      </c>
      <c r="T28" t="s">
        <v>68</v>
      </c>
      <c r="U28" t="str">
        <f t="shared" si="7"/>
        <v>N</v>
      </c>
      <c r="W28" s="276"/>
      <c r="X28" s="276"/>
    </row>
    <row r="29" spans="1:28">
      <c r="A29" t="s">
        <v>107</v>
      </c>
      <c r="B29" s="253" t="s">
        <v>437</v>
      </c>
      <c r="C29" s="253" t="str">
        <f t="shared" si="0"/>
        <v>D.23-12-022</v>
      </c>
      <c r="D29" s="253" t="str">
        <f t="shared" si="1"/>
        <v>D.23-12-022</v>
      </c>
      <c r="E29" s="253" t="str">
        <f t="shared" si="2"/>
        <v>D.23-12-022</v>
      </c>
      <c r="F29" s="253" t="str">
        <f t="shared" ref="F29:G48" si="14">E29</f>
        <v>D.23-12-022</v>
      </c>
      <c r="G29" s="253" t="str">
        <f t="shared" si="14"/>
        <v>D.23-12-022</v>
      </c>
      <c r="H29" s="253" t="s">
        <v>560</v>
      </c>
      <c r="I29" s="253" t="str">
        <f t="shared" si="9"/>
        <v>Electric Preliminary Statement Part CQ</v>
      </c>
      <c r="J29" s="253" t="str">
        <f t="shared" si="4"/>
        <v>Electric Preliminary Statement Part CQ</v>
      </c>
      <c r="K29" s="131">
        <v>60966.130677301502</v>
      </c>
      <c r="L29" s="131">
        <f t="shared" si="10"/>
        <v>60966.130677301502</v>
      </c>
      <c r="M29" s="131">
        <f t="shared" si="10"/>
        <v>60966.130677301502</v>
      </c>
      <c r="N29" s="131">
        <f t="shared" si="13"/>
        <v>60966.130677301502</v>
      </c>
      <c r="O29" s="131">
        <f t="shared" si="11"/>
        <v>60966.130677301502</v>
      </c>
      <c r="P29" s="131">
        <f t="shared" si="11"/>
        <v>60966.130677301502</v>
      </c>
      <c r="Q29" s="131">
        <v>-23567.041614043021</v>
      </c>
      <c r="R29" s="131">
        <f t="shared" si="6"/>
        <v>-23567.041614043021</v>
      </c>
      <c r="S29" s="131">
        <f t="shared" si="8"/>
        <v>-23567.041614043021</v>
      </c>
      <c r="T29" t="s">
        <v>68</v>
      </c>
      <c r="U29" t="str">
        <f t="shared" si="7"/>
        <v>Y</v>
      </c>
      <c r="X29" s="285"/>
    </row>
    <row r="30" spans="1:28">
      <c r="A30" t="s">
        <v>108</v>
      </c>
      <c r="B30" s="253" t="s">
        <v>437</v>
      </c>
      <c r="C30" s="253" t="str">
        <f t="shared" si="0"/>
        <v>D.23-12-022</v>
      </c>
      <c r="D30" s="253" t="str">
        <f t="shared" si="1"/>
        <v>D.23-12-022</v>
      </c>
      <c r="E30" s="253" t="str">
        <f t="shared" si="2"/>
        <v>D.23-12-022</v>
      </c>
      <c r="F30" s="253" t="str">
        <f t="shared" si="14"/>
        <v>D.23-12-022</v>
      </c>
      <c r="G30" s="253" t="str">
        <f t="shared" si="14"/>
        <v>D.23-12-022</v>
      </c>
      <c r="H30" s="253" t="s">
        <v>580</v>
      </c>
      <c r="I30" s="253" t="str">
        <f t="shared" si="9"/>
        <v>D.24-12-038</v>
      </c>
      <c r="J30" s="253" t="str">
        <f t="shared" si="4"/>
        <v>D.24-12-038</v>
      </c>
      <c r="K30" s="131">
        <v>378526.51755633799</v>
      </c>
      <c r="L30" s="131">
        <f t="shared" si="10"/>
        <v>378526.51755633799</v>
      </c>
      <c r="M30" s="131">
        <f t="shared" si="10"/>
        <v>378526.51755633799</v>
      </c>
      <c r="N30" s="131">
        <f t="shared" si="13"/>
        <v>378526.51755633799</v>
      </c>
      <c r="O30" s="131">
        <f t="shared" si="11"/>
        <v>378526.51755633799</v>
      </c>
      <c r="P30" s="131">
        <f t="shared" si="11"/>
        <v>378526.51755633799</v>
      </c>
      <c r="Q30" s="131">
        <v>373939.22244951449</v>
      </c>
      <c r="R30" s="131">
        <f t="shared" si="6"/>
        <v>373939.22244951449</v>
      </c>
      <c r="S30" s="131">
        <f t="shared" si="8"/>
        <v>373939.22244951449</v>
      </c>
      <c r="T30" t="s">
        <v>14</v>
      </c>
      <c r="U30" t="str">
        <f t="shared" si="7"/>
        <v>N</v>
      </c>
    </row>
    <row r="31" spans="1:28">
      <c r="A31" t="s">
        <v>109</v>
      </c>
      <c r="B31" s="253" t="s">
        <v>437</v>
      </c>
      <c r="C31" s="253" t="str">
        <f t="shared" si="0"/>
        <v>D.23-12-022</v>
      </c>
      <c r="D31" s="253" t="str">
        <f t="shared" si="1"/>
        <v>D.23-12-022</v>
      </c>
      <c r="E31" s="253" t="str">
        <f t="shared" si="2"/>
        <v>D.23-12-022</v>
      </c>
      <c r="F31" s="253" t="str">
        <f t="shared" si="14"/>
        <v>D.23-12-022</v>
      </c>
      <c r="G31" s="253" t="str">
        <f t="shared" si="14"/>
        <v>D.23-12-022</v>
      </c>
      <c r="H31" s="253" t="s">
        <v>561</v>
      </c>
      <c r="I31" s="253" t="str">
        <f t="shared" si="9"/>
        <v>Electric Preliminary Statement Part FS</v>
      </c>
      <c r="J31" s="253" t="str">
        <f t="shared" si="4"/>
        <v>Electric Preliminary Statement Part FS</v>
      </c>
      <c r="K31" s="131">
        <v>64270.123859475272</v>
      </c>
      <c r="L31" s="131">
        <f t="shared" si="10"/>
        <v>64270.123859475272</v>
      </c>
      <c r="M31" s="131">
        <f t="shared" si="10"/>
        <v>64270.123859475272</v>
      </c>
      <c r="N31" s="131">
        <f t="shared" si="13"/>
        <v>64270.123859475272</v>
      </c>
      <c r="O31" s="131">
        <f t="shared" si="11"/>
        <v>64270.123859475272</v>
      </c>
      <c r="P31" s="131">
        <f t="shared" si="11"/>
        <v>64270.123859475272</v>
      </c>
      <c r="Q31" s="131">
        <v>-48400.206227758164</v>
      </c>
      <c r="R31" s="131">
        <f t="shared" si="6"/>
        <v>-48400.206227758164</v>
      </c>
      <c r="S31" s="131">
        <f t="shared" si="8"/>
        <v>-48400.206227758164</v>
      </c>
      <c r="T31" t="s">
        <v>14</v>
      </c>
      <c r="U31" t="str">
        <f t="shared" si="7"/>
        <v>Y</v>
      </c>
    </row>
    <row r="32" spans="1:28">
      <c r="A32" t="s">
        <v>321</v>
      </c>
      <c r="B32" s="253" t="s">
        <v>338</v>
      </c>
      <c r="C32" s="253" t="str">
        <f t="shared" si="0"/>
        <v>D.23-02-017</v>
      </c>
      <c r="D32" s="253" t="str">
        <f t="shared" si="1"/>
        <v>D.23-02-017</v>
      </c>
      <c r="E32" s="253" t="str">
        <f t="shared" si="2"/>
        <v>D.23-02-017</v>
      </c>
      <c r="F32" s="253" t="str">
        <f t="shared" si="14"/>
        <v>D.23-02-017</v>
      </c>
      <c r="G32" s="253" t="str">
        <f t="shared" si="14"/>
        <v>D.23-02-017</v>
      </c>
      <c r="H32" s="253" t="s">
        <v>338</v>
      </c>
      <c r="I32" s="253" t="s">
        <v>448</v>
      </c>
      <c r="J32" s="253" t="str">
        <f t="shared" si="4"/>
        <v>n/a</v>
      </c>
      <c r="K32" s="131">
        <v>319987.2119071029</v>
      </c>
      <c r="L32" s="131">
        <f t="shared" si="10"/>
        <v>319987.2119071029</v>
      </c>
      <c r="M32" s="131">
        <f t="shared" si="10"/>
        <v>319987.2119071029</v>
      </c>
      <c r="N32" s="131">
        <f t="shared" si="13"/>
        <v>319987.2119071029</v>
      </c>
      <c r="O32" s="131">
        <f t="shared" si="11"/>
        <v>319987.2119071029</v>
      </c>
      <c r="P32" s="131">
        <f t="shared" si="11"/>
        <v>319987.2119071029</v>
      </c>
      <c r="Q32" s="131">
        <v>320389.17230000003</v>
      </c>
      <c r="R32" s="131">
        <v>0</v>
      </c>
      <c r="S32" s="131">
        <f t="shared" si="8"/>
        <v>0</v>
      </c>
      <c r="T32" t="s">
        <v>309</v>
      </c>
      <c r="U32" t="str">
        <f t="shared" si="7"/>
        <v>N</v>
      </c>
      <c r="W32" s="255"/>
      <c r="X32" s="105"/>
    </row>
    <row r="33" spans="1:24">
      <c r="A33" t="s">
        <v>69</v>
      </c>
      <c r="B33" s="253" t="s">
        <v>448</v>
      </c>
      <c r="C33" s="253" t="s">
        <v>438</v>
      </c>
      <c r="D33" s="253" t="str">
        <f t="shared" ref="D33:E36" si="15">C33</f>
        <v>AL 4813-G/7046-E</v>
      </c>
      <c r="E33" s="253" t="str">
        <f t="shared" si="15"/>
        <v>AL 4813-G/7046-E</v>
      </c>
      <c r="F33" s="253" t="str">
        <f t="shared" si="14"/>
        <v>AL 4813-G/7046-E</v>
      </c>
      <c r="G33" s="253" t="str">
        <f t="shared" si="14"/>
        <v>AL 4813-G/7046-E</v>
      </c>
      <c r="H33" s="253" t="s">
        <v>533</v>
      </c>
      <c r="I33" s="253" t="str">
        <f>H33</f>
        <v>D.24-10-008/ AL 7423-E</v>
      </c>
      <c r="J33" s="253" t="str">
        <f t="shared" si="4"/>
        <v>D.24-10-008/ AL 7423-E</v>
      </c>
      <c r="K33" s="131">
        <v>0</v>
      </c>
      <c r="L33" s="131" t="e">
        <f>#REF!/1000</f>
        <v>#REF!</v>
      </c>
      <c r="M33" s="131" t="e">
        <f t="shared" ref="M33:M46" si="16">L33</f>
        <v>#REF!</v>
      </c>
      <c r="N33" s="131" t="e">
        <f t="shared" si="13"/>
        <v>#REF!</v>
      </c>
      <c r="O33" s="131" t="e">
        <f t="shared" si="11"/>
        <v>#REF!</v>
      </c>
      <c r="P33" s="131" t="e">
        <f t="shared" si="11"/>
        <v>#REF!</v>
      </c>
      <c r="Q33" s="131">
        <v>127793.28740318524</v>
      </c>
      <c r="R33" s="131">
        <f>Q33</f>
        <v>127793.28740318524</v>
      </c>
      <c r="S33" s="131">
        <f t="shared" si="8"/>
        <v>127793.28740318524</v>
      </c>
      <c r="T33" t="s">
        <v>5</v>
      </c>
      <c r="U33" t="str">
        <f t="shared" si="7"/>
        <v>N</v>
      </c>
      <c r="W33" s="255"/>
      <c r="X33" s="105"/>
    </row>
    <row r="34" spans="1:24">
      <c r="A34" t="s">
        <v>69</v>
      </c>
      <c r="B34" s="253" t="s">
        <v>448</v>
      </c>
      <c r="C34" s="253" t="s">
        <v>438</v>
      </c>
      <c r="D34" s="253" t="str">
        <f t="shared" si="15"/>
        <v>AL 4813-G/7046-E</v>
      </c>
      <c r="E34" s="253" t="str">
        <f t="shared" si="15"/>
        <v>AL 4813-G/7046-E</v>
      </c>
      <c r="F34" s="253" t="str">
        <f t="shared" si="14"/>
        <v>AL 4813-G/7046-E</v>
      </c>
      <c r="G34" s="253" t="str">
        <f t="shared" si="14"/>
        <v>AL 4813-G/7046-E</v>
      </c>
      <c r="H34" s="253" t="s">
        <v>565</v>
      </c>
      <c r="I34" s="253" t="str">
        <f>H34</f>
        <v>AL 4813-G/7046-E/ D.24-10-008/ AL 7423-E</v>
      </c>
      <c r="J34" s="253" t="str">
        <f t="shared" si="4"/>
        <v>AL 4813-G/7046-E/ D.24-10-008/ AL 7423-E</v>
      </c>
      <c r="K34" s="131">
        <v>0</v>
      </c>
      <c r="L34" s="131">
        <v>31649.30943173822</v>
      </c>
      <c r="M34" s="131">
        <f t="shared" si="16"/>
        <v>31649.30943173822</v>
      </c>
      <c r="N34" s="131">
        <f t="shared" si="13"/>
        <v>31649.30943173822</v>
      </c>
      <c r="O34" s="131">
        <f t="shared" si="11"/>
        <v>31649.30943173822</v>
      </c>
      <c r="P34" s="131">
        <f t="shared" si="11"/>
        <v>31649.30943173822</v>
      </c>
      <c r="Q34" s="131">
        <v>16480.830059694865</v>
      </c>
      <c r="R34" s="131">
        <f>Q34</f>
        <v>16480.830059694865</v>
      </c>
      <c r="S34" s="131">
        <f t="shared" si="8"/>
        <v>16480.830059694865</v>
      </c>
      <c r="T34" t="s">
        <v>211</v>
      </c>
      <c r="U34" t="str">
        <f t="shared" si="7"/>
        <v>N</v>
      </c>
      <c r="W34" s="255"/>
      <c r="X34" s="105"/>
    </row>
    <row r="35" spans="1:24">
      <c r="A35" t="s">
        <v>69</v>
      </c>
      <c r="B35" s="253" t="s">
        <v>448</v>
      </c>
      <c r="C35" s="253" t="s">
        <v>438</v>
      </c>
      <c r="D35" s="253" t="str">
        <f t="shared" si="15"/>
        <v>AL 4813-G/7046-E</v>
      </c>
      <c r="E35" s="253" t="str">
        <f t="shared" si="15"/>
        <v>AL 4813-G/7046-E</v>
      </c>
      <c r="F35" s="253" t="str">
        <f t="shared" si="14"/>
        <v>AL 4813-G/7046-E</v>
      </c>
      <c r="G35" s="253" t="str">
        <f t="shared" si="14"/>
        <v>AL 4813-G/7046-E</v>
      </c>
      <c r="H35" s="253" t="s">
        <v>448</v>
      </c>
      <c r="I35" s="253" t="s">
        <v>448</v>
      </c>
      <c r="J35" s="253" t="str">
        <f t="shared" si="4"/>
        <v>n/a</v>
      </c>
      <c r="K35" s="131">
        <v>0</v>
      </c>
      <c r="L35" s="131">
        <v>1090.3444778743578</v>
      </c>
      <c r="M35" s="131">
        <f t="shared" si="16"/>
        <v>1090.3444778743578</v>
      </c>
      <c r="N35" s="131">
        <f t="shared" si="13"/>
        <v>1090.3444778743578</v>
      </c>
      <c r="O35" s="131">
        <f t="shared" si="11"/>
        <v>1090.3444778743578</v>
      </c>
      <c r="P35" s="131">
        <f t="shared" si="11"/>
        <v>1090.3444778743578</v>
      </c>
      <c r="Q35" s="131">
        <v>0.14518709895141907</v>
      </c>
      <c r="R35" s="131">
        <f>Q35</f>
        <v>0.14518709895141907</v>
      </c>
      <c r="S35" s="131">
        <f t="shared" si="8"/>
        <v>0.14518709895141907</v>
      </c>
      <c r="T35" t="s">
        <v>3</v>
      </c>
      <c r="U35" t="str">
        <f t="shared" si="7"/>
        <v>N</v>
      </c>
      <c r="W35" s="255"/>
      <c r="X35" s="105"/>
    </row>
    <row r="36" spans="1:24">
      <c r="A36" t="s">
        <v>69</v>
      </c>
      <c r="B36" s="253" t="s">
        <v>448</v>
      </c>
      <c r="C36" s="253" t="s">
        <v>438</v>
      </c>
      <c r="D36" s="253" t="str">
        <f t="shared" si="15"/>
        <v>AL 4813-G/7046-E</v>
      </c>
      <c r="E36" s="253" t="str">
        <f t="shared" si="15"/>
        <v>AL 4813-G/7046-E</v>
      </c>
      <c r="F36" s="253" t="str">
        <f t="shared" si="14"/>
        <v>AL 4813-G/7046-E</v>
      </c>
      <c r="G36" s="253" t="str">
        <f t="shared" si="14"/>
        <v>AL 4813-G/7046-E</v>
      </c>
      <c r="H36" s="253" t="s">
        <v>448</v>
      </c>
      <c r="I36" s="253" t="str">
        <f t="shared" ref="I36:I56" si="17">H36</f>
        <v>n/a</v>
      </c>
      <c r="J36" s="253" t="str">
        <f t="shared" si="4"/>
        <v>n/a</v>
      </c>
      <c r="K36" s="131">
        <v>0</v>
      </c>
      <c r="L36" s="131" t="e">
        <f>#REF!/1000-K30</f>
        <v>#REF!</v>
      </c>
      <c r="M36" s="131" t="e">
        <f t="shared" si="16"/>
        <v>#REF!</v>
      </c>
      <c r="N36" s="131" t="e">
        <f t="shared" si="13"/>
        <v>#REF!</v>
      </c>
      <c r="O36" s="131" t="e">
        <f t="shared" si="11"/>
        <v>#REF!</v>
      </c>
      <c r="P36" s="131" t="e">
        <f t="shared" si="11"/>
        <v>#REF!</v>
      </c>
      <c r="Q36" s="131"/>
      <c r="R36" s="131">
        <f>Q36</f>
        <v>0</v>
      </c>
      <c r="S36" s="131">
        <f t="shared" si="8"/>
        <v>0</v>
      </c>
      <c r="T36" t="s">
        <v>14</v>
      </c>
      <c r="U36" t="str">
        <f t="shared" si="7"/>
        <v>N</v>
      </c>
      <c r="W36" s="255"/>
      <c r="X36" s="105"/>
    </row>
    <row r="37" spans="1:24" ht="17.25" customHeight="1">
      <c r="A37" s="253" t="s">
        <v>218</v>
      </c>
      <c r="B37" s="253" t="s">
        <v>440</v>
      </c>
      <c r="C37" s="253" t="str">
        <f t="shared" ref="C37:C46" si="18">B37</f>
        <v>D.23-01-005 , D.23-11-069</v>
      </c>
      <c r="D37" s="253" t="str">
        <f t="shared" ref="D37:D46" si="19">B37</f>
        <v>D.23-01-005 , D.23-11-069</v>
      </c>
      <c r="E37" s="253" t="str">
        <f t="shared" ref="E37:E46" si="20">C37</f>
        <v>D.23-01-005 , D.23-11-069</v>
      </c>
      <c r="F37" s="253" t="str">
        <f t="shared" si="14"/>
        <v>D.23-01-005 , D.23-11-069</v>
      </c>
      <c r="G37" s="253" t="str">
        <f t="shared" si="14"/>
        <v>D.23-01-005 , D.23-11-069</v>
      </c>
      <c r="H37" s="253" t="s">
        <v>448</v>
      </c>
      <c r="I37" s="253" t="str">
        <f t="shared" si="17"/>
        <v>n/a</v>
      </c>
      <c r="J37" s="253" t="str">
        <f t="shared" si="4"/>
        <v>n/a</v>
      </c>
      <c r="K37" s="131">
        <v>75377.013559286454</v>
      </c>
      <c r="L37" s="131">
        <f t="shared" ref="L37:L46" si="21">K37</f>
        <v>75377.013559286454</v>
      </c>
      <c r="M37" s="131">
        <f t="shared" si="16"/>
        <v>75377.013559286454</v>
      </c>
      <c r="N37" s="131">
        <f t="shared" si="13"/>
        <v>75377.013559286454</v>
      </c>
      <c r="O37" s="131">
        <f t="shared" ref="O37:P55" si="22">N37</f>
        <v>75377.013559286454</v>
      </c>
      <c r="P37" s="131">
        <f t="shared" si="22"/>
        <v>75377.013559286454</v>
      </c>
      <c r="Q37" s="131">
        <v>0</v>
      </c>
      <c r="R37" s="131">
        <f>Q37</f>
        <v>0</v>
      </c>
      <c r="S37" s="131">
        <f t="shared" si="8"/>
        <v>0</v>
      </c>
      <c r="T37" t="s">
        <v>5</v>
      </c>
      <c r="U37" t="str">
        <f t="shared" si="7"/>
        <v>Y</v>
      </c>
      <c r="W37" s="255"/>
      <c r="X37" s="105"/>
    </row>
    <row r="38" spans="1:24">
      <c r="A38" t="s">
        <v>70</v>
      </c>
      <c r="B38" s="253" t="s">
        <v>286</v>
      </c>
      <c r="C38" s="253" t="str">
        <f t="shared" si="18"/>
        <v>D.18-01-022</v>
      </c>
      <c r="D38" s="253" t="str">
        <f t="shared" si="19"/>
        <v>D.18-01-022</v>
      </c>
      <c r="E38" s="253" t="str">
        <f t="shared" si="20"/>
        <v>D.18-01-022</v>
      </c>
      <c r="F38" s="253" t="str">
        <f t="shared" si="14"/>
        <v>D.18-01-022</v>
      </c>
      <c r="G38" s="253" t="str">
        <f t="shared" si="14"/>
        <v>D.18-01-022</v>
      </c>
      <c r="H38" s="253" t="s">
        <v>286</v>
      </c>
      <c r="I38" s="253" t="str">
        <f t="shared" si="17"/>
        <v>D.18-01-022</v>
      </c>
      <c r="J38" s="253" t="str">
        <f t="shared" si="4"/>
        <v>D.18-01-022</v>
      </c>
      <c r="K38" s="131">
        <v>11760.785984999997</v>
      </c>
      <c r="L38" s="131">
        <f t="shared" si="21"/>
        <v>11760.785984999997</v>
      </c>
      <c r="M38" s="131">
        <f t="shared" si="16"/>
        <v>11760.785984999997</v>
      </c>
      <c r="N38" s="131">
        <f t="shared" si="13"/>
        <v>11760.785984999997</v>
      </c>
      <c r="O38" s="131">
        <f t="shared" si="22"/>
        <v>11760.785984999997</v>
      </c>
      <c r="P38" s="131">
        <f t="shared" si="22"/>
        <v>11760.785984999997</v>
      </c>
      <c r="Q38" s="131">
        <v>11760.785984999997</v>
      </c>
      <c r="R38" s="131">
        <v>3003.6242956951987</v>
      </c>
      <c r="S38" s="131">
        <f t="shared" si="8"/>
        <v>3003.6242956951987</v>
      </c>
      <c r="T38" t="s">
        <v>16</v>
      </c>
      <c r="U38" t="str">
        <f t="shared" si="7"/>
        <v>N</v>
      </c>
      <c r="W38" s="155"/>
      <c r="X38" s="105"/>
    </row>
    <row r="39" spans="1:24">
      <c r="A39" t="s">
        <v>70</v>
      </c>
      <c r="B39" s="253" t="s">
        <v>286</v>
      </c>
      <c r="C39" s="253" t="str">
        <f t="shared" si="18"/>
        <v>D.18-01-022</v>
      </c>
      <c r="D39" s="253" t="str">
        <f t="shared" si="19"/>
        <v>D.18-01-022</v>
      </c>
      <c r="E39" s="253" t="str">
        <f t="shared" si="20"/>
        <v>D.18-01-022</v>
      </c>
      <c r="F39" s="253" t="str">
        <f t="shared" si="14"/>
        <v>D.18-01-022</v>
      </c>
      <c r="G39" s="253" t="str">
        <f t="shared" si="14"/>
        <v>D.18-01-022</v>
      </c>
      <c r="H39" s="253" t="s">
        <v>286</v>
      </c>
      <c r="I39" s="253" t="str">
        <f t="shared" si="17"/>
        <v>D.18-01-022</v>
      </c>
      <c r="J39" s="253" t="str">
        <f t="shared" si="4"/>
        <v>D.18-01-022</v>
      </c>
      <c r="K39" s="131">
        <v>53191.926780000002</v>
      </c>
      <c r="L39" s="131">
        <f t="shared" si="21"/>
        <v>53191.926780000002</v>
      </c>
      <c r="M39" s="131">
        <f t="shared" si="16"/>
        <v>53191.926780000002</v>
      </c>
      <c r="N39" s="131">
        <f t="shared" si="13"/>
        <v>53191.926780000002</v>
      </c>
      <c r="O39" s="131">
        <f t="shared" si="22"/>
        <v>53191.926780000002</v>
      </c>
      <c r="P39" s="131">
        <f t="shared" si="22"/>
        <v>53191.926780000002</v>
      </c>
      <c r="Q39" s="131">
        <v>2359.1716000000001</v>
      </c>
      <c r="R39" s="131">
        <f t="shared" ref="R39:R51" si="23">Q39</f>
        <v>2359.1716000000001</v>
      </c>
      <c r="S39" s="131">
        <f t="shared" si="8"/>
        <v>2359.1716000000001</v>
      </c>
      <c r="T39" t="s">
        <v>211</v>
      </c>
      <c r="U39" t="str">
        <f t="shared" si="7"/>
        <v>N</v>
      </c>
      <c r="W39" s="155"/>
      <c r="X39" s="105"/>
    </row>
    <row r="40" spans="1:24">
      <c r="A40" t="s">
        <v>71</v>
      </c>
      <c r="B40" s="253" t="s">
        <v>448</v>
      </c>
      <c r="C40" s="253" t="str">
        <f t="shared" si="18"/>
        <v>n/a</v>
      </c>
      <c r="D40" s="253" t="str">
        <f t="shared" si="19"/>
        <v>n/a</v>
      </c>
      <c r="E40" s="253" t="str">
        <f t="shared" si="20"/>
        <v>n/a</v>
      </c>
      <c r="F40" s="253" t="str">
        <f t="shared" si="14"/>
        <v>n/a</v>
      </c>
      <c r="G40" s="253" t="str">
        <f t="shared" si="14"/>
        <v>n/a</v>
      </c>
      <c r="H40" s="253" t="s">
        <v>448</v>
      </c>
      <c r="I40" s="253" t="str">
        <f t="shared" si="17"/>
        <v>n/a</v>
      </c>
      <c r="J40" s="253" t="str">
        <f t="shared" si="4"/>
        <v>n/a</v>
      </c>
      <c r="K40" s="131">
        <v>0</v>
      </c>
      <c r="L40" s="131">
        <f t="shared" si="21"/>
        <v>0</v>
      </c>
      <c r="M40" s="131">
        <f t="shared" si="16"/>
        <v>0</v>
      </c>
      <c r="N40" s="131">
        <f t="shared" si="13"/>
        <v>0</v>
      </c>
      <c r="O40" s="131">
        <f t="shared" si="22"/>
        <v>0</v>
      </c>
      <c r="P40" s="131">
        <f t="shared" si="22"/>
        <v>0</v>
      </c>
      <c r="Q40" s="131">
        <f>P40</f>
        <v>0</v>
      </c>
      <c r="R40" s="131">
        <f t="shared" si="23"/>
        <v>0</v>
      </c>
      <c r="S40" s="131">
        <f t="shared" si="8"/>
        <v>0</v>
      </c>
      <c r="T40" t="s">
        <v>16</v>
      </c>
      <c r="U40" t="str">
        <f t="shared" si="7"/>
        <v>N</v>
      </c>
      <c r="W40" s="286"/>
      <c r="X40" s="105"/>
    </row>
    <row r="41" spans="1:24">
      <c r="A41" t="s">
        <v>111</v>
      </c>
      <c r="B41" s="253" t="s">
        <v>118</v>
      </c>
      <c r="C41" s="253" t="str">
        <f t="shared" si="18"/>
        <v>Preliminary Statement  DB</v>
      </c>
      <c r="D41" s="253" t="str">
        <f t="shared" si="19"/>
        <v>Preliminary Statement  DB</v>
      </c>
      <c r="E41" s="253" t="str">
        <f t="shared" si="20"/>
        <v>Preliminary Statement  DB</v>
      </c>
      <c r="F41" s="253" t="str">
        <f t="shared" si="14"/>
        <v>Preliminary Statement  DB</v>
      </c>
      <c r="G41" s="253" t="str">
        <f t="shared" si="14"/>
        <v>Preliminary Statement  DB</v>
      </c>
      <c r="H41" s="253" t="s">
        <v>118</v>
      </c>
      <c r="I41" s="253" t="str">
        <f t="shared" si="17"/>
        <v>Preliminary Statement  DB</v>
      </c>
      <c r="J41" s="253" t="str">
        <f t="shared" si="4"/>
        <v>Preliminary Statement  DB</v>
      </c>
      <c r="K41" s="131">
        <v>-220833.70777226734</v>
      </c>
      <c r="L41" s="131">
        <f t="shared" si="21"/>
        <v>-220833.70777226734</v>
      </c>
      <c r="M41" s="131">
        <f t="shared" si="16"/>
        <v>-220833.70777226734</v>
      </c>
      <c r="N41" s="131">
        <f t="shared" si="13"/>
        <v>-220833.70777226734</v>
      </c>
      <c r="O41" s="131">
        <f t="shared" si="22"/>
        <v>-220833.70777226734</v>
      </c>
      <c r="P41" s="131">
        <f t="shared" si="22"/>
        <v>-220833.70777226734</v>
      </c>
      <c r="Q41" s="131">
        <v>-22022.575667378391</v>
      </c>
      <c r="R41" s="131">
        <f t="shared" si="23"/>
        <v>-22022.575667378391</v>
      </c>
      <c r="S41" s="131">
        <f t="shared" si="8"/>
        <v>-22022.575667378391</v>
      </c>
      <c r="T41" t="s">
        <v>16</v>
      </c>
      <c r="U41" t="str">
        <f t="shared" ref="U41:U72" si="24">IF(RIGHT(A41,1)="*","Y","N")</f>
        <v>Y</v>
      </c>
      <c r="W41" s="155"/>
      <c r="X41" s="131"/>
    </row>
    <row r="42" spans="1:24">
      <c r="A42" t="s">
        <v>114</v>
      </c>
      <c r="B42" s="253" t="s">
        <v>92</v>
      </c>
      <c r="C42" s="253" t="str">
        <f t="shared" si="18"/>
        <v>Preliminary Statement S</v>
      </c>
      <c r="D42" s="253" t="str">
        <f t="shared" si="19"/>
        <v>Preliminary Statement S</v>
      </c>
      <c r="E42" s="253" t="str">
        <f t="shared" si="20"/>
        <v>Preliminary Statement S</v>
      </c>
      <c r="F42" s="253" t="str">
        <f t="shared" si="14"/>
        <v>Preliminary Statement S</v>
      </c>
      <c r="G42" s="253" t="str">
        <f t="shared" si="14"/>
        <v>Preliminary Statement S</v>
      </c>
      <c r="H42" s="253" t="s">
        <v>92</v>
      </c>
      <c r="I42" s="253" t="str">
        <f t="shared" si="17"/>
        <v>Preliminary Statement S</v>
      </c>
      <c r="J42" s="253" t="str">
        <f t="shared" si="4"/>
        <v>Preliminary Statement S</v>
      </c>
      <c r="K42" s="131">
        <v>45960.392363315994</v>
      </c>
      <c r="L42" s="131">
        <f t="shared" si="21"/>
        <v>45960.392363315994</v>
      </c>
      <c r="M42" s="131">
        <f t="shared" si="16"/>
        <v>45960.392363315994</v>
      </c>
      <c r="N42" s="131">
        <f t="shared" si="13"/>
        <v>45960.392363315994</v>
      </c>
      <c r="O42" s="131">
        <f t="shared" si="22"/>
        <v>45960.392363315994</v>
      </c>
      <c r="P42" s="131">
        <f t="shared" si="22"/>
        <v>45960.392363315994</v>
      </c>
      <c r="Q42" s="131">
        <v>41390.127807307355</v>
      </c>
      <c r="R42" s="131">
        <f t="shared" si="23"/>
        <v>41390.127807307355</v>
      </c>
      <c r="S42" s="131">
        <f t="shared" si="8"/>
        <v>41390.127807307355</v>
      </c>
      <c r="T42" t="s">
        <v>309</v>
      </c>
      <c r="U42" t="str">
        <f t="shared" si="24"/>
        <v>Y</v>
      </c>
    </row>
    <row r="43" spans="1:24">
      <c r="A43" t="s">
        <v>115</v>
      </c>
      <c r="B43" s="253" t="s">
        <v>91</v>
      </c>
      <c r="C43" s="253" t="str">
        <f t="shared" si="18"/>
        <v>Preliminary Statement ET</v>
      </c>
      <c r="D43" s="253" t="str">
        <f t="shared" si="19"/>
        <v>Preliminary Statement ET</v>
      </c>
      <c r="E43" s="253" t="str">
        <f t="shared" si="20"/>
        <v>Preliminary Statement ET</v>
      </c>
      <c r="F43" s="253" t="str">
        <f t="shared" si="14"/>
        <v>Preliminary Statement ET</v>
      </c>
      <c r="G43" s="253" t="str">
        <f t="shared" si="14"/>
        <v>Preliminary Statement ET</v>
      </c>
      <c r="H43" s="253" t="s">
        <v>91</v>
      </c>
      <c r="I43" s="253" t="str">
        <f t="shared" si="17"/>
        <v>Preliminary Statement ET</v>
      </c>
      <c r="J43" s="253" t="str">
        <f t="shared" si="4"/>
        <v>Preliminary Statement ET</v>
      </c>
      <c r="K43" s="131">
        <v>-486.58327604759057</v>
      </c>
      <c r="L43" s="131">
        <f t="shared" si="21"/>
        <v>-486.58327604759057</v>
      </c>
      <c r="M43" s="131">
        <f t="shared" si="16"/>
        <v>-486.58327604759057</v>
      </c>
      <c r="N43" s="131">
        <f t="shared" si="13"/>
        <v>-486.58327604759057</v>
      </c>
      <c r="O43" s="131">
        <f t="shared" si="22"/>
        <v>-486.58327604759057</v>
      </c>
      <c r="P43" s="131">
        <f t="shared" si="22"/>
        <v>-486.58327604759057</v>
      </c>
      <c r="Q43" s="131">
        <v>-221.01964491517228</v>
      </c>
      <c r="R43" s="131">
        <f t="shared" si="23"/>
        <v>-221.01964491517228</v>
      </c>
      <c r="S43" s="131">
        <f t="shared" si="8"/>
        <v>-221.01964491517228</v>
      </c>
      <c r="T43" t="s">
        <v>5</v>
      </c>
      <c r="U43" t="str">
        <f t="shared" si="24"/>
        <v>Y</v>
      </c>
    </row>
    <row r="44" spans="1:24">
      <c r="A44" t="s">
        <v>278</v>
      </c>
      <c r="B44" s="253" t="s">
        <v>441</v>
      </c>
      <c r="C44" s="253" t="str">
        <f t="shared" si="18"/>
        <v>D.23-11-090</v>
      </c>
      <c r="D44" s="253" t="str">
        <f t="shared" si="19"/>
        <v>D.23-11-090</v>
      </c>
      <c r="E44" s="253" t="str">
        <f t="shared" si="20"/>
        <v>D.23-11-090</v>
      </c>
      <c r="F44" s="253" t="str">
        <f t="shared" si="14"/>
        <v>D.23-11-090</v>
      </c>
      <c r="G44" s="253" t="str">
        <f t="shared" si="14"/>
        <v>D.23-11-090</v>
      </c>
      <c r="H44" s="253" t="s">
        <v>537</v>
      </c>
      <c r="I44" s="253" t="str">
        <f t="shared" si="17"/>
        <v>D.24-12-001</v>
      </c>
      <c r="J44" s="253" t="str">
        <f t="shared" si="4"/>
        <v>D.24-12-001</v>
      </c>
      <c r="K44" s="131">
        <v>393053.02899999998</v>
      </c>
      <c r="L44" s="131">
        <f t="shared" si="21"/>
        <v>393053.02899999998</v>
      </c>
      <c r="M44" s="131">
        <f t="shared" si="16"/>
        <v>393053.02899999998</v>
      </c>
      <c r="N44" s="131">
        <f t="shared" si="13"/>
        <v>393053.02899999998</v>
      </c>
      <c r="O44" s="131">
        <f t="shared" si="22"/>
        <v>393053.02899999998</v>
      </c>
      <c r="P44" s="131">
        <f t="shared" si="22"/>
        <v>393053.02899999998</v>
      </c>
      <c r="Q44" s="131">
        <v>412561.55548204755</v>
      </c>
      <c r="R44" s="131">
        <f t="shared" si="23"/>
        <v>412561.55548204755</v>
      </c>
      <c r="S44" s="131">
        <f t="shared" si="8"/>
        <v>412561.55548204755</v>
      </c>
      <c r="T44" t="s">
        <v>17</v>
      </c>
      <c r="U44" t="str">
        <f t="shared" si="24"/>
        <v>N</v>
      </c>
    </row>
    <row r="45" spans="1:24">
      <c r="A45" t="s">
        <v>86</v>
      </c>
      <c r="B45" s="253" t="s">
        <v>156</v>
      </c>
      <c r="C45" s="253" t="str">
        <f t="shared" si="18"/>
        <v>CPUC Code 6350-6354</v>
      </c>
      <c r="D45" s="253" t="str">
        <f t="shared" si="19"/>
        <v>CPUC Code 6350-6354</v>
      </c>
      <c r="E45" s="253" t="str">
        <f t="shared" si="20"/>
        <v>CPUC Code 6350-6354</v>
      </c>
      <c r="F45" s="253" t="str">
        <f t="shared" si="14"/>
        <v>CPUC Code 6350-6354</v>
      </c>
      <c r="G45" s="253" t="str">
        <f t="shared" si="14"/>
        <v>CPUC Code 6350-6354</v>
      </c>
      <c r="H45" s="253" t="s">
        <v>156</v>
      </c>
      <c r="I45" s="253" t="str">
        <f t="shared" si="17"/>
        <v>CPUC Code 6350-6354</v>
      </c>
      <c r="J45" s="253" t="str">
        <f t="shared" si="4"/>
        <v>CPUC Code 6350-6354</v>
      </c>
      <c r="K45" s="131">
        <v>2821.7280000000001</v>
      </c>
      <c r="L45" s="131">
        <f t="shared" si="21"/>
        <v>2821.7280000000001</v>
      </c>
      <c r="M45" s="131">
        <f t="shared" si="16"/>
        <v>2821.7280000000001</v>
      </c>
      <c r="N45" s="131">
        <f t="shared" si="13"/>
        <v>2821.7280000000001</v>
      </c>
      <c r="O45" s="131">
        <f t="shared" si="22"/>
        <v>2821.7280000000001</v>
      </c>
      <c r="P45" s="131">
        <f t="shared" si="22"/>
        <v>2821.7280000000001</v>
      </c>
      <c r="Q45" s="131">
        <v>2958.066352806281</v>
      </c>
      <c r="R45" s="131">
        <f t="shared" si="23"/>
        <v>2958.066352806281</v>
      </c>
      <c r="S45" s="131">
        <f t="shared" si="8"/>
        <v>2958.066352806281</v>
      </c>
      <c r="T45" t="s">
        <v>3</v>
      </c>
      <c r="U45" t="str">
        <f t="shared" si="24"/>
        <v>N</v>
      </c>
    </row>
    <row r="46" spans="1:24">
      <c r="A46" t="s">
        <v>281</v>
      </c>
      <c r="B46" s="253" t="s">
        <v>287</v>
      </c>
      <c r="C46" s="253" t="str">
        <f t="shared" si="18"/>
        <v>Electric Preliminary Statement Part HJ</v>
      </c>
      <c r="D46" s="253" t="str">
        <f t="shared" si="19"/>
        <v>Electric Preliminary Statement Part HJ</v>
      </c>
      <c r="E46" s="253" t="str">
        <f t="shared" si="20"/>
        <v>Electric Preliminary Statement Part HJ</v>
      </c>
      <c r="F46" s="253" t="str">
        <f t="shared" si="14"/>
        <v>Electric Preliminary Statement Part HJ</v>
      </c>
      <c r="G46" s="253" t="str">
        <f t="shared" si="14"/>
        <v>Electric Preliminary Statement Part HJ</v>
      </c>
      <c r="H46" s="253" t="s">
        <v>287</v>
      </c>
      <c r="I46" s="253" t="str">
        <f t="shared" si="17"/>
        <v>Electric Preliminary Statement Part HJ</v>
      </c>
      <c r="J46" s="253" t="str">
        <f t="shared" si="4"/>
        <v>Electric Preliminary Statement Part HJ</v>
      </c>
      <c r="K46" s="131">
        <v>864.77092471394985</v>
      </c>
      <c r="L46" s="131">
        <f t="shared" si="21"/>
        <v>864.77092471394985</v>
      </c>
      <c r="M46" s="131">
        <f t="shared" si="16"/>
        <v>864.77092471394985</v>
      </c>
      <c r="N46" s="131">
        <f t="shared" si="13"/>
        <v>864.77092471394985</v>
      </c>
      <c r="O46" s="131">
        <f t="shared" si="22"/>
        <v>864.77092471394985</v>
      </c>
      <c r="P46" s="131">
        <f t="shared" si="22"/>
        <v>864.77092471394985</v>
      </c>
      <c r="Q46" s="131">
        <v>1360.3943314559999</v>
      </c>
      <c r="R46" s="131">
        <f t="shared" si="23"/>
        <v>1360.3943314559999</v>
      </c>
      <c r="S46" s="131">
        <f t="shared" si="8"/>
        <v>1360.3943314559999</v>
      </c>
      <c r="T46" t="s">
        <v>5</v>
      </c>
      <c r="U46" t="str">
        <f t="shared" si="24"/>
        <v>Y</v>
      </c>
    </row>
    <row r="47" spans="1:24">
      <c r="A47" t="s">
        <v>473</v>
      </c>
      <c r="B47" s="253" t="s">
        <v>475</v>
      </c>
      <c r="C47" s="253" t="s">
        <v>448</v>
      </c>
      <c r="D47" s="253" t="s">
        <v>475</v>
      </c>
      <c r="E47" s="253" t="s">
        <v>475</v>
      </c>
      <c r="F47" s="253" t="str">
        <f t="shared" si="14"/>
        <v>D.24-03-006</v>
      </c>
      <c r="G47" s="253" t="str">
        <f t="shared" si="14"/>
        <v>D.24-03-006</v>
      </c>
      <c r="H47" s="253" t="s">
        <v>475</v>
      </c>
      <c r="I47" s="253" t="str">
        <f t="shared" si="17"/>
        <v>D.24-03-006</v>
      </c>
      <c r="J47" s="253" t="str">
        <f t="shared" si="4"/>
        <v>D.24-03-006</v>
      </c>
      <c r="K47" s="131">
        <v>0</v>
      </c>
      <c r="L47" s="131">
        <v>0</v>
      </c>
      <c r="M47" s="131">
        <v>408416.68302289414</v>
      </c>
      <c r="N47" s="131">
        <f t="shared" si="13"/>
        <v>408416.68302289414</v>
      </c>
      <c r="O47" s="131">
        <f t="shared" si="22"/>
        <v>408416.68302289414</v>
      </c>
      <c r="P47" s="131">
        <f t="shared" si="22"/>
        <v>408416.68302289414</v>
      </c>
      <c r="Q47" s="131">
        <v>153156.25613358527</v>
      </c>
      <c r="R47" s="131">
        <f t="shared" si="23"/>
        <v>153156.25613358527</v>
      </c>
      <c r="S47" s="131">
        <v>0</v>
      </c>
      <c r="T47" t="s">
        <v>309</v>
      </c>
      <c r="U47" t="str">
        <f t="shared" si="24"/>
        <v>N</v>
      </c>
    </row>
    <row r="48" spans="1:24">
      <c r="A48" t="s">
        <v>473</v>
      </c>
      <c r="B48" s="253" t="s">
        <v>475</v>
      </c>
      <c r="C48" s="253" t="s">
        <v>448</v>
      </c>
      <c r="D48" s="253" t="s">
        <v>475</v>
      </c>
      <c r="E48" s="253" t="s">
        <v>475</v>
      </c>
      <c r="F48" s="253" t="str">
        <f t="shared" si="14"/>
        <v>D.24-03-006</v>
      </c>
      <c r="G48" s="253" t="str">
        <f t="shared" si="14"/>
        <v>D.24-03-006</v>
      </c>
      <c r="H48" s="253" t="s">
        <v>475</v>
      </c>
      <c r="I48" s="253" t="str">
        <f t="shared" si="17"/>
        <v>D.24-03-006</v>
      </c>
      <c r="J48" s="253" t="str">
        <f t="shared" si="4"/>
        <v>D.24-03-006</v>
      </c>
      <c r="K48" s="131"/>
      <c r="L48" s="131">
        <v>0</v>
      </c>
      <c r="M48" s="131">
        <v>6144.3180408703111</v>
      </c>
      <c r="N48" s="131">
        <f t="shared" si="13"/>
        <v>6144.3180408703111</v>
      </c>
      <c r="O48" s="131">
        <f t="shared" si="22"/>
        <v>6144.3180408703111</v>
      </c>
      <c r="P48" s="131">
        <f t="shared" si="22"/>
        <v>6144.3180408703111</v>
      </c>
      <c r="Q48" s="131">
        <v>2304.1192653263806</v>
      </c>
      <c r="R48" s="131">
        <f t="shared" si="23"/>
        <v>2304.1192653263806</v>
      </c>
      <c r="S48" s="131">
        <v>0</v>
      </c>
      <c r="T48" t="s">
        <v>5</v>
      </c>
      <c r="U48" t="str">
        <f t="shared" si="24"/>
        <v>N</v>
      </c>
    </row>
    <row r="49" spans="1:21">
      <c r="A49" t="s">
        <v>282</v>
      </c>
      <c r="B49" s="253" t="s">
        <v>448</v>
      </c>
      <c r="C49" s="253" t="str">
        <f t="shared" ref="C49:E51" si="25">B49</f>
        <v>n/a</v>
      </c>
      <c r="D49" s="253" t="str">
        <f t="shared" si="25"/>
        <v>n/a</v>
      </c>
      <c r="E49" s="253" t="str">
        <f t="shared" si="25"/>
        <v>n/a</v>
      </c>
      <c r="F49" s="253" t="str">
        <f t="shared" ref="F49:G55" si="26">E49</f>
        <v>n/a</v>
      </c>
      <c r="G49" s="253" t="str">
        <f t="shared" si="26"/>
        <v>n/a</v>
      </c>
      <c r="H49" s="253" t="s">
        <v>448</v>
      </c>
      <c r="I49" s="253" t="str">
        <f t="shared" si="17"/>
        <v>n/a</v>
      </c>
      <c r="J49" s="253" t="str">
        <f t="shared" si="4"/>
        <v>n/a</v>
      </c>
      <c r="K49" s="131">
        <v>0</v>
      </c>
      <c r="L49" s="131">
        <f t="shared" ref="L49:M51" si="27">K49</f>
        <v>0</v>
      </c>
      <c r="M49" s="131">
        <f t="shared" si="27"/>
        <v>0</v>
      </c>
      <c r="N49" s="131">
        <f t="shared" si="13"/>
        <v>0</v>
      </c>
      <c r="O49" s="131">
        <f t="shared" si="22"/>
        <v>0</v>
      </c>
      <c r="P49" s="131">
        <f t="shared" si="22"/>
        <v>0</v>
      </c>
      <c r="Q49" s="131">
        <f>P49</f>
        <v>0</v>
      </c>
      <c r="R49" s="131">
        <f t="shared" si="23"/>
        <v>0</v>
      </c>
      <c r="S49" s="131">
        <f t="shared" si="8"/>
        <v>0</v>
      </c>
      <c r="T49" t="s">
        <v>5</v>
      </c>
      <c r="U49" t="str">
        <f t="shared" si="24"/>
        <v>N</v>
      </c>
    </row>
    <row r="50" spans="1:21">
      <c r="A50" s="142" t="s">
        <v>314</v>
      </c>
      <c r="B50" s="253" t="s">
        <v>448</v>
      </c>
      <c r="C50" s="253" t="str">
        <f t="shared" si="25"/>
        <v>n/a</v>
      </c>
      <c r="D50" s="253" t="str">
        <f t="shared" si="25"/>
        <v>n/a</v>
      </c>
      <c r="E50" s="253" t="str">
        <f t="shared" si="25"/>
        <v>n/a</v>
      </c>
      <c r="F50" s="253" t="str">
        <f t="shared" si="26"/>
        <v>n/a</v>
      </c>
      <c r="G50" s="253" t="str">
        <f t="shared" si="26"/>
        <v>n/a</v>
      </c>
      <c r="H50" s="253" t="s">
        <v>448</v>
      </c>
      <c r="I50" s="253" t="str">
        <f t="shared" si="17"/>
        <v>n/a</v>
      </c>
      <c r="J50" s="253" t="str">
        <f t="shared" si="4"/>
        <v>n/a</v>
      </c>
      <c r="K50" s="131">
        <v>0</v>
      </c>
      <c r="L50" s="131">
        <f t="shared" si="27"/>
        <v>0</v>
      </c>
      <c r="M50" s="131">
        <f t="shared" si="27"/>
        <v>0</v>
      </c>
      <c r="N50" s="131">
        <f t="shared" si="13"/>
        <v>0</v>
      </c>
      <c r="O50" s="131">
        <f t="shared" si="22"/>
        <v>0</v>
      </c>
      <c r="P50" s="131">
        <f t="shared" si="22"/>
        <v>0</v>
      </c>
      <c r="Q50" s="131">
        <f>P50</f>
        <v>0</v>
      </c>
      <c r="R50" s="131">
        <f t="shared" si="23"/>
        <v>0</v>
      </c>
      <c r="S50" s="131">
        <f t="shared" si="8"/>
        <v>0</v>
      </c>
      <c r="T50" t="s">
        <v>309</v>
      </c>
      <c r="U50" t="str">
        <f t="shared" si="24"/>
        <v>N</v>
      </c>
    </row>
    <row r="51" spans="1:21">
      <c r="A51" t="s">
        <v>283</v>
      </c>
      <c r="B51" s="253" t="s">
        <v>448</v>
      </c>
      <c r="C51" s="253" t="str">
        <f t="shared" si="25"/>
        <v>n/a</v>
      </c>
      <c r="D51" s="253" t="str">
        <f t="shared" si="25"/>
        <v>n/a</v>
      </c>
      <c r="E51" s="253" t="str">
        <f t="shared" si="25"/>
        <v>n/a</v>
      </c>
      <c r="F51" s="253" t="str">
        <f t="shared" si="26"/>
        <v>n/a</v>
      </c>
      <c r="G51" s="253" t="str">
        <f t="shared" si="26"/>
        <v>n/a</v>
      </c>
      <c r="H51" s="253" t="s">
        <v>535</v>
      </c>
      <c r="I51" s="253" t="str">
        <f t="shared" si="17"/>
        <v>AL 7413-E</v>
      </c>
      <c r="J51" s="253" t="str">
        <f t="shared" si="4"/>
        <v>AL 7413-E</v>
      </c>
      <c r="K51" s="131">
        <v>0</v>
      </c>
      <c r="L51" s="131">
        <f t="shared" si="27"/>
        <v>0</v>
      </c>
      <c r="M51" s="131">
        <f t="shared" si="27"/>
        <v>0</v>
      </c>
      <c r="N51" s="131">
        <f t="shared" si="13"/>
        <v>0</v>
      </c>
      <c r="O51" s="131">
        <f t="shared" si="22"/>
        <v>0</v>
      </c>
      <c r="P51" s="131">
        <f t="shared" si="22"/>
        <v>0</v>
      </c>
      <c r="Q51" s="131">
        <v>-200072.08603701723</v>
      </c>
      <c r="R51" s="131">
        <f t="shared" si="23"/>
        <v>-200072.08603701723</v>
      </c>
      <c r="S51" s="131">
        <f t="shared" si="8"/>
        <v>-200072.08603701723</v>
      </c>
      <c r="T51" t="s">
        <v>309</v>
      </c>
      <c r="U51" t="str">
        <f t="shared" si="24"/>
        <v>N</v>
      </c>
    </row>
    <row r="52" spans="1:21">
      <c r="A52" t="s">
        <v>317</v>
      </c>
      <c r="B52" s="253" t="s">
        <v>442</v>
      </c>
      <c r="C52" s="253" t="s">
        <v>455</v>
      </c>
      <c r="D52" s="253" t="str">
        <f t="shared" ref="D52:E55" si="28">C52</f>
        <v>D.21-06-030, AL 7106-E</v>
      </c>
      <c r="E52" s="253" t="str">
        <f t="shared" si="28"/>
        <v>D.21-06-030, AL 7106-E</v>
      </c>
      <c r="F52" s="253" t="str">
        <f t="shared" si="26"/>
        <v>D.21-06-030, AL 7106-E</v>
      </c>
      <c r="G52" s="253" t="str">
        <f t="shared" si="26"/>
        <v>D.21-06-030, AL 7106-E</v>
      </c>
      <c r="H52" s="253" t="s">
        <v>455</v>
      </c>
      <c r="I52" s="253" t="str">
        <f t="shared" si="17"/>
        <v>D.21-06-030, AL 7106-E</v>
      </c>
      <c r="J52" s="253" t="str">
        <f t="shared" si="4"/>
        <v>D.21-06-030, AL 7106-E</v>
      </c>
      <c r="K52" s="131">
        <v>22478.598400784289</v>
      </c>
      <c r="L52" s="131" t="e">
        <f>#REF!/1000</f>
        <v>#REF!</v>
      </c>
      <c r="M52" s="131" t="e">
        <f>L52</f>
        <v>#REF!</v>
      </c>
      <c r="N52" s="131" t="e">
        <f t="shared" si="13"/>
        <v>#REF!</v>
      </c>
      <c r="O52" s="131" t="e">
        <f t="shared" si="22"/>
        <v>#REF!</v>
      </c>
      <c r="P52" s="131" t="e">
        <f t="shared" si="22"/>
        <v>#REF!</v>
      </c>
      <c r="Q52" s="131">
        <v>65206.364080501691</v>
      </c>
      <c r="R52" s="131">
        <v>39502.880411345875</v>
      </c>
      <c r="S52" s="131">
        <f t="shared" si="8"/>
        <v>39502.880411345875</v>
      </c>
      <c r="T52" t="s">
        <v>284</v>
      </c>
      <c r="U52" t="str">
        <f t="shared" si="24"/>
        <v>N</v>
      </c>
    </row>
    <row r="53" spans="1:21">
      <c r="A53" t="s">
        <v>317</v>
      </c>
      <c r="B53" s="253" t="s">
        <v>442</v>
      </c>
      <c r="C53" s="253" t="str">
        <f>B53</f>
        <v>D.21-06-030, AL 6390-E</v>
      </c>
      <c r="D53" s="253" t="str">
        <f t="shared" si="28"/>
        <v>D.21-06-030, AL 6390-E</v>
      </c>
      <c r="E53" s="253" t="str">
        <f t="shared" si="28"/>
        <v>D.21-06-030, AL 6390-E</v>
      </c>
      <c r="F53" s="253" t="str">
        <f t="shared" si="26"/>
        <v>D.21-06-030, AL 6390-E</v>
      </c>
      <c r="G53" s="253" t="str">
        <f t="shared" si="26"/>
        <v>D.21-06-030, AL 6390-E</v>
      </c>
      <c r="H53" s="253" t="s">
        <v>442</v>
      </c>
      <c r="I53" s="253" t="str">
        <f t="shared" si="17"/>
        <v>D.21-06-030, AL 6390-E</v>
      </c>
      <c r="J53" s="253" t="str">
        <f t="shared" si="4"/>
        <v>D.21-06-030, AL 6390-E</v>
      </c>
      <c r="K53" s="131">
        <v>-277.61216137696971</v>
      </c>
      <c r="L53" s="131">
        <f>K53</f>
        <v>-277.61216137696971</v>
      </c>
      <c r="M53" s="131">
        <f>L53</f>
        <v>-277.61216137696971</v>
      </c>
      <c r="N53" s="131">
        <f t="shared" si="13"/>
        <v>-277.61216137696971</v>
      </c>
      <c r="O53" s="131">
        <f t="shared" si="22"/>
        <v>-277.61216137696971</v>
      </c>
      <c r="P53" s="131">
        <f t="shared" si="22"/>
        <v>-277.61216137696971</v>
      </c>
      <c r="Q53" s="131">
        <v>694.73049344599997</v>
      </c>
      <c r="R53" s="131">
        <f>Q53</f>
        <v>694.73049344599997</v>
      </c>
      <c r="S53" s="131">
        <f t="shared" si="8"/>
        <v>694.73049344599997</v>
      </c>
      <c r="T53" t="s">
        <v>309</v>
      </c>
      <c r="U53" t="str">
        <f t="shared" si="24"/>
        <v>N</v>
      </c>
    </row>
    <row r="54" spans="1:21">
      <c r="A54" t="s">
        <v>318</v>
      </c>
      <c r="B54" s="253" t="s">
        <v>443</v>
      </c>
      <c r="C54" s="253" t="s">
        <v>456</v>
      </c>
      <c r="D54" s="253" t="str">
        <f t="shared" si="28"/>
        <v>D.22-08-004, AL 7126-E</v>
      </c>
      <c r="E54" s="253" t="str">
        <f t="shared" si="28"/>
        <v>D.22-08-004, AL 7126-E</v>
      </c>
      <c r="F54" s="253" t="str">
        <f t="shared" si="26"/>
        <v>D.22-08-004, AL 7126-E</v>
      </c>
      <c r="G54" s="253" t="str">
        <f t="shared" si="26"/>
        <v>D.22-08-004, AL 7126-E</v>
      </c>
      <c r="H54" s="253" t="s">
        <v>456</v>
      </c>
      <c r="I54" s="253" t="str">
        <f t="shared" si="17"/>
        <v>D.22-08-004, AL 7126-E</v>
      </c>
      <c r="J54" s="253" t="str">
        <f t="shared" si="4"/>
        <v>D.22-08-004, AL 7126-E</v>
      </c>
      <c r="K54" s="131">
        <v>123775.13325821608</v>
      </c>
      <c r="L54" s="131" t="e">
        <f>#REF!/1000</f>
        <v>#REF!</v>
      </c>
      <c r="M54" s="131" t="e">
        <f>L54</f>
        <v>#REF!</v>
      </c>
      <c r="N54" s="131" t="e">
        <f t="shared" si="13"/>
        <v>#REF!</v>
      </c>
      <c r="O54" s="131" t="e">
        <f t="shared" si="22"/>
        <v>#REF!</v>
      </c>
      <c r="P54" s="131" t="e">
        <f t="shared" si="22"/>
        <v>#REF!</v>
      </c>
      <c r="Q54" s="131">
        <v>54553.097813054708</v>
      </c>
      <c r="R54" s="131">
        <v>66437.360080157887</v>
      </c>
      <c r="S54" s="131">
        <f t="shared" si="8"/>
        <v>66437.360080157887</v>
      </c>
      <c r="T54" t="s">
        <v>284</v>
      </c>
      <c r="U54" t="str">
        <f t="shared" si="24"/>
        <v>N</v>
      </c>
    </row>
    <row r="55" spans="1:21">
      <c r="A55" t="s">
        <v>318</v>
      </c>
      <c r="B55" s="253" t="s">
        <v>443</v>
      </c>
      <c r="C55" s="253" t="str">
        <f>B55</f>
        <v>D.22-08-004, AL 6769-E</v>
      </c>
      <c r="D55" s="253" t="str">
        <f t="shared" si="28"/>
        <v>D.22-08-004, AL 6769-E</v>
      </c>
      <c r="E55" s="253" t="str">
        <f t="shared" si="28"/>
        <v>D.22-08-004, AL 6769-E</v>
      </c>
      <c r="F55" s="253" t="str">
        <f t="shared" si="26"/>
        <v>D.22-08-004, AL 6769-E</v>
      </c>
      <c r="G55" s="253" t="str">
        <f t="shared" si="26"/>
        <v>D.22-08-004, AL 6769-E</v>
      </c>
      <c r="H55" s="253" t="s">
        <v>443</v>
      </c>
      <c r="I55" s="253" t="str">
        <f t="shared" si="17"/>
        <v>D.22-08-004, AL 6769-E</v>
      </c>
      <c r="J55" s="253" t="str">
        <f t="shared" si="4"/>
        <v>D.22-08-004, AL 6769-E</v>
      </c>
      <c r="K55" s="131">
        <v>-13674.582966657574</v>
      </c>
      <c r="L55" s="131">
        <f>K55</f>
        <v>-13674.582966657574</v>
      </c>
      <c r="M55" s="131">
        <f>L55</f>
        <v>-13674.582966657574</v>
      </c>
      <c r="N55" s="131">
        <f t="shared" si="13"/>
        <v>-13674.582966657574</v>
      </c>
      <c r="O55" s="131">
        <f t="shared" si="22"/>
        <v>-13674.582966657574</v>
      </c>
      <c r="P55" s="131">
        <f t="shared" si="22"/>
        <v>-13674.582966657574</v>
      </c>
      <c r="Q55" s="131">
        <v>-6788.3511865014989</v>
      </c>
      <c r="R55" s="131">
        <f>Q55</f>
        <v>-6788.3511865014989</v>
      </c>
      <c r="S55" s="131">
        <f t="shared" si="8"/>
        <v>-6788.3511865014989</v>
      </c>
      <c r="T55" t="s">
        <v>309</v>
      </c>
      <c r="U55" t="str">
        <f t="shared" si="24"/>
        <v>N</v>
      </c>
    </row>
    <row r="56" spans="1:21">
      <c r="A56" t="s">
        <v>384</v>
      </c>
      <c r="B56" t="s">
        <v>448</v>
      </c>
      <c r="C56" s="253" t="s">
        <v>448</v>
      </c>
      <c r="D56" s="253" t="s">
        <v>448</v>
      </c>
      <c r="E56" t="s">
        <v>448</v>
      </c>
      <c r="F56" t="s">
        <v>435</v>
      </c>
      <c r="G56" s="253" t="str">
        <f>F56</f>
        <v>D.24-02-011, D.21-05-015</v>
      </c>
      <c r="H56" s="253" t="s">
        <v>435</v>
      </c>
      <c r="I56" s="253" t="str">
        <f t="shared" si="17"/>
        <v>D.24-02-011, D.21-05-015</v>
      </c>
      <c r="J56" s="253" t="str">
        <f t="shared" si="4"/>
        <v>D.24-02-011, D.21-05-015</v>
      </c>
      <c r="K56" s="131">
        <v>0</v>
      </c>
      <c r="L56" s="131">
        <f>K56</f>
        <v>0</v>
      </c>
      <c r="M56" s="131">
        <v>0</v>
      </c>
      <c r="N56" s="131">
        <f t="shared" si="13"/>
        <v>0</v>
      </c>
      <c r="O56" s="287">
        <v>175353.61802688477</v>
      </c>
      <c r="P56" s="131">
        <f>O56</f>
        <v>175353.61802688477</v>
      </c>
      <c r="Q56" s="131">
        <v>173452.08098940377</v>
      </c>
      <c r="R56" s="131">
        <v>173400.62507910313</v>
      </c>
      <c r="S56" s="105">
        <v>92172.437236289144</v>
      </c>
      <c r="T56" t="s">
        <v>284</v>
      </c>
      <c r="U56" t="str">
        <f t="shared" si="24"/>
        <v>N</v>
      </c>
    </row>
    <row r="57" spans="1:21">
      <c r="A57" t="s">
        <v>547</v>
      </c>
      <c r="B57" s="253" t="s">
        <v>448</v>
      </c>
      <c r="C57" s="253" t="s">
        <v>448</v>
      </c>
      <c r="D57" s="253" t="s">
        <v>448</v>
      </c>
      <c r="E57" s="253" t="s">
        <v>448</v>
      </c>
      <c r="F57" s="253" t="s">
        <v>448</v>
      </c>
      <c r="G57" s="253" t="s">
        <v>448</v>
      </c>
      <c r="H57" s="253" t="s">
        <v>448</v>
      </c>
      <c r="I57" s="253" t="s">
        <v>549</v>
      </c>
      <c r="J57" s="253" t="str">
        <f t="shared" si="4"/>
        <v>D.24-02-011</v>
      </c>
      <c r="K57" s="131">
        <v>0</v>
      </c>
      <c r="L57" s="131">
        <v>0</v>
      </c>
      <c r="M57" s="131">
        <v>0</v>
      </c>
      <c r="N57" s="131">
        <v>0</v>
      </c>
      <c r="O57" s="131">
        <v>0</v>
      </c>
      <c r="P57" s="131">
        <v>0</v>
      </c>
      <c r="Q57" s="131">
        <v>-76060.257264391286</v>
      </c>
      <c r="R57" s="131">
        <f t="shared" ref="R57:R70" si="29">Q57</f>
        <v>-76060.257264391286</v>
      </c>
      <c r="S57" s="131">
        <f t="shared" si="8"/>
        <v>-76060.257264391286</v>
      </c>
      <c r="T57" t="s">
        <v>309</v>
      </c>
      <c r="U57" t="str">
        <f t="shared" si="24"/>
        <v>N</v>
      </c>
    </row>
    <row r="58" spans="1:21">
      <c r="A58" t="s">
        <v>572</v>
      </c>
      <c r="B58" s="253" t="s">
        <v>448</v>
      </c>
      <c r="C58" s="253" t="s">
        <v>448</v>
      </c>
      <c r="D58" s="253" t="s">
        <v>448</v>
      </c>
      <c r="E58" s="253" t="s">
        <v>448</v>
      </c>
      <c r="F58" s="253" t="s">
        <v>448</v>
      </c>
      <c r="G58" s="253" t="s">
        <v>448</v>
      </c>
      <c r="H58" s="253" t="s">
        <v>448</v>
      </c>
      <c r="I58" s="253" t="s">
        <v>549</v>
      </c>
      <c r="J58" s="253" t="str">
        <f t="shared" si="4"/>
        <v>D.24-02-011</v>
      </c>
      <c r="K58" s="131">
        <v>0</v>
      </c>
      <c r="L58" s="131">
        <v>0</v>
      </c>
      <c r="M58" s="131">
        <v>0</v>
      </c>
      <c r="N58" s="131">
        <v>0</v>
      </c>
      <c r="O58" s="131">
        <v>0</v>
      </c>
      <c r="P58" s="131">
        <v>0</v>
      </c>
      <c r="Q58" s="131">
        <v>12431.124207946839</v>
      </c>
      <c r="R58" s="131">
        <f t="shared" si="29"/>
        <v>12431.124207946839</v>
      </c>
      <c r="S58" s="131">
        <f t="shared" si="8"/>
        <v>12431.124207946839</v>
      </c>
      <c r="T58" t="s">
        <v>309</v>
      </c>
      <c r="U58" t="str">
        <f t="shared" si="24"/>
        <v>N</v>
      </c>
    </row>
    <row r="59" spans="1:21">
      <c r="A59" t="s">
        <v>574</v>
      </c>
      <c r="B59" s="253" t="s">
        <v>448</v>
      </c>
      <c r="C59" s="253" t="s">
        <v>448</v>
      </c>
      <c r="D59" s="253" t="s">
        <v>448</v>
      </c>
      <c r="E59" s="253" t="s">
        <v>448</v>
      </c>
      <c r="F59" s="253" t="s">
        <v>448</v>
      </c>
      <c r="G59" s="253" t="s">
        <v>448</v>
      </c>
      <c r="H59" s="253" t="s">
        <v>448</v>
      </c>
      <c r="I59" s="253" t="s">
        <v>550</v>
      </c>
      <c r="J59" s="253" t="str">
        <f t="shared" si="4"/>
        <v>D.24-02-011, AL 7336-E</v>
      </c>
      <c r="K59" s="131">
        <v>0</v>
      </c>
      <c r="L59" s="131">
        <v>0</v>
      </c>
      <c r="M59" s="131">
        <v>0</v>
      </c>
      <c r="N59" s="131">
        <v>0</v>
      </c>
      <c r="O59" s="131">
        <v>0</v>
      </c>
      <c r="P59" s="131">
        <v>0</v>
      </c>
      <c r="Q59" s="131">
        <v>-57785.417038923748</v>
      </c>
      <c r="R59" s="131">
        <f t="shared" si="29"/>
        <v>-57785.417038923748</v>
      </c>
      <c r="S59" s="131">
        <f t="shared" si="8"/>
        <v>-57785.417038923748</v>
      </c>
      <c r="T59" t="s">
        <v>309</v>
      </c>
      <c r="U59" t="str">
        <f t="shared" si="24"/>
        <v>Y</v>
      </c>
    </row>
    <row r="60" spans="1:21">
      <c r="A60" t="s">
        <v>582</v>
      </c>
      <c r="B60" s="253" t="s">
        <v>298</v>
      </c>
      <c r="C60" s="253" t="str">
        <f t="shared" ref="C60:G66" si="30">B60</f>
        <v>D.21-03-056, D.21-12-015</v>
      </c>
      <c r="D60" s="253" t="str">
        <f t="shared" si="30"/>
        <v>D.21-03-056, D.21-12-015</v>
      </c>
      <c r="E60" s="253" t="str">
        <f t="shared" si="30"/>
        <v>D.21-03-056, D.21-12-015</v>
      </c>
      <c r="F60" s="253" t="str">
        <f t="shared" si="30"/>
        <v>D.21-03-056, D.21-12-015</v>
      </c>
      <c r="G60" s="253" t="str">
        <f t="shared" si="30"/>
        <v>D.21-03-056, D.21-12-015</v>
      </c>
      <c r="H60" s="253" t="s">
        <v>448</v>
      </c>
      <c r="I60" s="253" t="s">
        <v>448</v>
      </c>
      <c r="J60" s="253" t="str">
        <f t="shared" si="4"/>
        <v>n/a</v>
      </c>
      <c r="K60" s="131">
        <v>1324.7309499999999</v>
      </c>
      <c r="L60" s="131">
        <f t="shared" ref="L60:P66" si="31">K60</f>
        <v>1324.7309499999999</v>
      </c>
      <c r="M60" s="131">
        <f t="shared" si="31"/>
        <v>1324.7309499999999</v>
      </c>
      <c r="N60" s="131">
        <f t="shared" si="31"/>
        <v>1324.7309499999999</v>
      </c>
      <c r="O60" s="131">
        <f t="shared" si="31"/>
        <v>1324.7309499999999</v>
      </c>
      <c r="P60" s="131">
        <f t="shared" si="31"/>
        <v>1324.7309499999999</v>
      </c>
      <c r="Q60" s="131">
        <v>0</v>
      </c>
      <c r="R60" s="131">
        <f t="shared" si="29"/>
        <v>0</v>
      </c>
      <c r="S60" s="131">
        <f t="shared" si="8"/>
        <v>0</v>
      </c>
      <c r="T60" t="s">
        <v>5</v>
      </c>
      <c r="U60" t="str">
        <f t="shared" si="24"/>
        <v>N</v>
      </c>
    </row>
    <row r="61" spans="1:21">
      <c r="A61" t="s">
        <v>212</v>
      </c>
      <c r="B61" s="253" t="s">
        <v>279</v>
      </c>
      <c r="C61" s="253" t="str">
        <f t="shared" si="30"/>
        <v>D.21-08-027</v>
      </c>
      <c r="D61" s="253" t="str">
        <f t="shared" si="30"/>
        <v>D.21-08-027</v>
      </c>
      <c r="E61" s="253" t="str">
        <f t="shared" si="30"/>
        <v>D.21-08-027</v>
      </c>
      <c r="F61" s="253" t="str">
        <f t="shared" si="30"/>
        <v>D.21-08-027</v>
      </c>
      <c r="G61" s="253" t="str">
        <f t="shared" si="30"/>
        <v>D.21-08-027</v>
      </c>
      <c r="H61" s="253" t="s">
        <v>279</v>
      </c>
      <c r="I61" s="253" t="str">
        <f t="shared" ref="I61:I70" si="32">H61</f>
        <v>D.21-08-027</v>
      </c>
      <c r="J61" s="253" t="str">
        <f t="shared" si="4"/>
        <v>D.21-08-027</v>
      </c>
      <c r="K61" s="131">
        <v>-38657.658748985537</v>
      </c>
      <c r="L61" s="131">
        <f t="shared" si="31"/>
        <v>-38657.658748985537</v>
      </c>
      <c r="M61" s="131">
        <f t="shared" si="31"/>
        <v>-38657.658748985537</v>
      </c>
      <c r="N61" s="131">
        <f t="shared" si="31"/>
        <v>-38657.658748985537</v>
      </c>
      <c r="O61" s="131">
        <f t="shared" si="31"/>
        <v>-38657.658748985537</v>
      </c>
      <c r="P61" s="131">
        <f t="shared" si="31"/>
        <v>-38657.658748985537</v>
      </c>
      <c r="Q61" s="131">
        <v>-39916.957755412455</v>
      </c>
      <c r="R61" s="131">
        <f t="shared" si="29"/>
        <v>-39916.957755412455</v>
      </c>
      <c r="S61" s="131">
        <f t="shared" si="8"/>
        <v>-39916.957755412455</v>
      </c>
      <c r="T61" t="s">
        <v>5</v>
      </c>
      <c r="U61" t="str">
        <f t="shared" si="24"/>
        <v>N</v>
      </c>
    </row>
    <row r="62" spans="1:21">
      <c r="A62" t="s">
        <v>212</v>
      </c>
      <c r="B62" s="253" t="s">
        <v>279</v>
      </c>
      <c r="C62" s="253" t="str">
        <f t="shared" si="30"/>
        <v>D.21-08-027</v>
      </c>
      <c r="D62" s="253" t="str">
        <f t="shared" si="30"/>
        <v>D.21-08-027</v>
      </c>
      <c r="E62" s="253" t="str">
        <f t="shared" si="30"/>
        <v>D.21-08-027</v>
      </c>
      <c r="F62" s="253" t="str">
        <f t="shared" si="30"/>
        <v>D.21-08-027</v>
      </c>
      <c r="G62" s="253" t="str">
        <f t="shared" si="30"/>
        <v>D.21-08-027</v>
      </c>
      <c r="H62" s="253" t="s">
        <v>279</v>
      </c>
      <c r="I62" s="253" t="str">
        <f t="shared" si="32"/>
        <v>D.21-08-027</v>
      </c>
      <c r="J62" s="253" t="str">
        <f t="shared" si="4"/>
        <v>D.21-08-027</v>
      </c>
      <c r="K62" s="131">
        <v>-6566.0645929710518</v>
      </c>
      <c r="L62" s="131">
        <f t="shared" si="31"/>
        <v>-6566.0645929710518</v>
      </c>
      <c r="M62" s="131">
        <f t="shared" si="31"/>
        <v>-6566.0645929710518</v>
      </c>
      <c r="N62" s="131">
        <f t="shared" si="31"/>
        <v>-6566.0645929710518</v>
      </c>
      <c r="O62" s="131">
        <f t="shared" si="31"/>
        <v>-6566.0645929710518</v>
      </c>
      <c r="P62" s="131">
        <f t="shared" si="31"/>
        <v>-6566.0645929710518</v>
      </c>
      <c r="Q62" s="131">
        <v>-21650.502093028372</v>
      </c>
      <c r="R62" s="131">
        <f t="shared" si="29"/>
        <v>-21650.502093028372</v>
      </c>
      <c r="S62" s="131">
        <f t="shared" si="8"/>
        <v>-21650.502093028372</v>
      </c>
      <c r="T62" t="s">
        <v>211</v>
      </c>
      <c r="U62" t="str">
        <f t="shared" si="24"/>
        <v>N</v>
      </c>
    </row>
    <row r="63" spans="1:21">
      <c r="A63" t="s">
        <v>401</v>
      </c>
      <c r="B63" s="253" t="s">
        <v>448</v>
      </c>
      <c r="C63" s="253" t="str">
        <f t="shared" si="30"/>
        <v>n/a</v>
      </c>
      <c r="D63" s="253" t="str">
        <f t="shared" si="30"/>
        <v>n/a</v>
      </c>
      <c r="E63" s="253" t="str">
        <f t="shared" si="30"/>
        <v>n/a</v>
      </c>
      <c r="F63" s="253" t="str">
        <f t="shared" si="30"/>
        <v>n/a</v>
      </c>
      <c r="G63" s="253" t="str">
        <f t="shared" si="30"/>
        <v>n/a</v>
      </c>
      <c r="H63" s="253" t="s">
        <v>448</v>
      </c>
      <c r="I63" s="253" t="str">
        <f t="shared" si="32"/>
        <v>n/a</v>
      </c>
      <c r="J63" s="253" t="str">
        <f t="shared" si="4"/>
        <v>n/a</v>
      </c>
      <c r="K63" s="131">
        <v>76163.624360518428</v>
      </c>
      <c r="L63" s="131">
        <f t="shared" si="31"/>
        <v>76163.624360518428</v>
      </c>
      <c r="M63" s="131">
        <f t="shared" si="31"/>
        <v>76163.624360518428</v>
      </c>
      <c r="N63" s="131">
        <f t="shared" si="31"/>
        <v>76163.624360518428</v>
      </c>
      <c r="O63" s="131">
        <f t="shared" si="31"/>
        <v>76163.624360518428</v>
      </c>
      <c r="P63" s="131">
        <f t="shared" si="31"/>
        <v>76163.624360518428</v>
      </c>
      <c r="Q63" s="131">
        <v>38485.892894236385</v>
      </c>
      <c r="R63" s="131">
        <f t="shared" si="29"/>
        <v>38485.892894236385</v>
      </c>
      <c r="S63" s="131">
        <f t="shared" si="8"/>
        <v>38485.892894236385</v>
      </c>
      <c r="T63" t="s">
        <v>211</v>
      </c>
      <c r="U63" t="str">
        <f t="shared" si="24"/>
        <v>N</v>
      </c>
    </row>
    <row r="64" spans="1:21">
      <c r="A64" t="s">
        <v>459</v>
      </c>
      <c r="B64" s="253" t="s">
        <v>448</v>
      </c>
      <c r="C64" s="253" t="str">
        <f t="shared" si="30"/>
        <v>n/a</v>
      </c>
      <c r="D64" s="253" t="str">
        <f t="shared" si="30"/>
        <v>n/a</v>
      </c>
      <c r="E64" s="253" t="str">
        <f t="shared" si="30"/>
        <v>n/a</v>
      </c>
      <c r="F64" s="253" t="str">
        <f t="shared" si="30"/>
        <v>n/a</v>
      </c>
      <c r="G64" s="253" t="str">
        <f t="shared" si="30"/>
        <v>n/a</v>
      </c>
      <c r="H64" s="253" t="s">
        <v>447</v>
      </c>
      <c r="I64" s="253" t="str">
        <f t="shared" si="32"/>
        <v>Electric Preliminary Statement Part IM</v>
      </c>
      <c r="J64" s="253" t="str">
        <f t="shared" si="4"/>
        <v>Electric Preliminary Statement Part IM</v>
      </c>
      <c r="K64" s="131">
        <v>41793.584705409317</v>
      </c>
      <c r="L64" s="131">
        <f t="shared" si="31"/>
        <v>41793.584705409317</v>
      </c>
      <c r="M64" s="131">
        <f t="shared" si="31"/>
        <v>41793.584705409317</v>
      </c>
      <c r="N64" s="131">
        <f t="shared" si="31"/>
        <v>41793.584705409317</v>
      </c>
      <c r="O64" s="131">
        <f t="shared" si="31"/>
        <v>41793.584705409317</v>
      </c>
      <c r="P64" s="131">
        <f t="shared" si="31"/>
        <v>41793.584705409317</v>
      </c>
      <c r="Q64" s="131">
        <v>29940.319159426792</v>
      </c>
      <c r="R64" s="131">
        <f t="shared" si="29"/>
        <v>29940.319159426792</v>
      </c>
      <c r="S64" s="131">
        <f t="shared" si="8"/>
        <v>29940.319159426792</v>
      </c>
      <c r="T64" t="s">
        <v>211</v>
      </c>
      <c r="U64" t="str">
        <f t="shared" si="24"/>
        <v>N</v>
      </c>
    </row>
    <row r="65" spans="1:22">
      <c r="A65" t="s">
        <v>94</v>
      </c>
      <c r="B65" s="253" t="s">
        <v>448</v>
      </c>
      <c r="C65" s="253" t="str">
        <f t="shared" si="30"/>
        <v>n/a</v>
      </c>
      <c r="D65" s="253" t="str">
        <f t="shared" si="30"/>
        <v>n/a</v>
      </c>
      <c r="E65" s="253" t="str">
        <f t="shared" si="30"/>
        <v>n/a</v>
      </c>
      <c r="F65" s="253" t="str">
        <f t="shared" si="30"/>
        <v>n/a</v>
      </c>
      <c r="G65" s="253" t="str">
        <f t="shared" si="30"/>
        <v>n/a</v>
      </c>
      <c r="H65" s="253" t="s">
        <v>448</v>
      </c>
      <c r="I65" s="253" t="str">
        <f t="shared" si="32"/>
        <v>n/a</v>
      </c>
      <c r="J65" s="253" t="str">
        <f t="shared" si="4"/>
        <v>n/a</v>
      </c>
      <c r="K65" s="131"/>
      <c r="L65" s="131">
        <f t="shared" si="31"/>
        <v>0</v>
      </c>
      <c r="M65" s="131">
        <f t="shared" si="31"/>
        <v>0</v>
      </c>
      <c r="N65" s="131">
        <f t="shared" si="31"/>
        <v>0</v>
      </c>
      <c r="O65" s="131">
        <f t="shared" si="31"/>
        <v>0</v>
      </c>
      <c r="P65" s="131">
        <f t="shared" si="31"/>
        <v>0</v>
      </c>
      <c r="Q65" s="131">
        <f>P65</f>
        <v>0</v>
      </c>
      <c r="R65" s="131">
        <f t="shared" si="29"/>
        <v>0</v>
      </c>
      <c r="S65" s="131">
        <f t="shared" si="8"/>
        <v>0</v>
      </c>
      <c r="T65" t="s">
        <v>309</v>
      </c>
      <c r="U65" t="str">
        <f t="shared" si="24"/>
        <v>N</v>
      </c>
    </row>
    <row r="66" spans="1:22">
      <c r="A66" t="s">
        <v>362</v>
      </c>
      <c r="B66" s="253" t="s">
        <v>448</v>
      </c>
      <c r="C66" s="253" t="str">
        <f t="shared" si="30"/>
        <v>n/a</v>
      </c>
      <c r="D66" s="253" t="str">
        <f t="shared" si="30"/>
        <v>n/a</v>
      </c>
      <c r="E66" s="253" t="str">
        <f t="shared" si="30"/>
        <v>n/a</v>
      </c>
      <c r="F66" s="253" t="str">
        <f t="shared" si="30"/>
        <v>n/a</v>
      </c>
      <c r="G66" s="253" t="str">
        <f t="shared" si="30"/>
        <v>n/a</v>
      </c>
      <c r="H66" s="253" t="s">
        <v>448</v>
      </c>
      <c r="I66" s="253" t="str">
        <f t="shared" si="32"/>
        <v>n/a</v>
      </c>
      <c r="J66" s="253" t="str">
        <f t="shared" si="4"/>
        <v>n/a</v>
      </c>
      <c r="K66" s="131"/>
      <c r="L66" s="131">
        <f t="shared" si="31"/>
        <v>0</v>
      </c>
      <c r="M66" s="131">
        <f t="shared" si="31"/>
        <v>0</v>
      </c>
      <c r="N66" s="131">
        <f t="shared" si="31"/>
        <v>0</v>
      </c>
      <c r="O66" s="131">
        <f t="shared" si="31"/>
        <v>0</v>
      </c>
      <c r="P66" s="131">
        <f t="shared" si="31"/>
        <v>0</v>
      </c>
      <c r="Q66" s="131">
        <f>P66</f>
        <v>0</v>
      </c>
      <c r="R66" s="131">
        <f t="shared" si="29"/>
        <v>0</v>
      </c>
      <c r="S66" s="131">
        <f t="shared" si="8"/>
        <v>0</v>
      </c>
      <c r="T66" t="s">
        <v>5</v>
      </c>
      <c r="U66" t="str">
        <f t="shared" si="24"/>
        <v>N</v>
      </c>
    </row>
    <row r="67" spans="1:22">
      <c r="A67" t="s">
        <v>363</v>
      </c>
      <c r="B67" t="s">
        <v>364</v>
      </c>
      <c r="C67" s="253" t="str">
        <f t="shared" ref="C67:D70" si="33">B67</f>
        <v>D.23-06-004</v>
      </c>
      <c r="D67" s="253" t="str">
        <f t="shared" si="33"/>
        <v>D.23-06-004</v>
      </c>
      <c r="E67" s="253" t="s">
        <v>448</v>
      </c>
      <c r="F67" s="253" t="str">
        <f t="shared" ref="F67:G70" si="34">E67</f>
        <v>n/a</v>
      </c>
      <c r="G67" s="253" t="str">
        <f t="shared" si="34"/>
        <v>n/a</v>
      </c>
      <c r="H67" s="253" t="s">
        <v>448</v>
      </c>
      <c r="I67" s="253" t="str">
        <f t="shared" si="32"/>
        <v>n/a</v>
      </c>
      <c r="J67" s="253" t="str">
        <f t="shared" si="4"/>
        <v>n/a</v>
      </c>
      <c r="K67" s="253" t="e">
        <f>#REF!/1000</f>
        <v>#REF!</v>
      </c>
      <c r="L67" s="131" t="e">
        <f t="shared" ref="L67:M70" si="35">K67</f>
        <v>#REF!</v>
      </c>
      <c r="M67" s="131" t="e">
        <f t="shared" si="35"/>
        <v>#REF!</v>
      </c>
      <c r="N67" s="131">
        <v>0</v>
      </c>
      <c r="O67" s="131">
        <f t="shared" ref="O67:P70" si="36">N67</f>
        <v>0</v>
      </c>
      <c r="P67" s="131">
        <f t="shared" si="36"/>
        <v>0</v>
      </c>
      <c r="Q67" s="131">
        <f>P67</f>
        <v>0</v>
      </c>
      <c r="R67" s="131">
        <f t="shared" si="29"/>
        <v>0</v>
      </c>
      <c r="S67" s="131">
        <f t="shared" si="8"/>
        <v>0</v>
      </c>
      <c r="T67" t="s">
        <v>309</v>
      </c>
      <c r="U67" t="str">
        <f t="shared" si="24"/>
        <v>N</v>
      </c>
    </row>
    <row r="68" spans="1:22">
      <c r="A68" t="s">
        <v>363</v>
      </c>
      <c r="B68" t="s">
        <v>364</v>
      </c>
      <c r="C68" s="253" t="str">
        <f t="shared" si="33"/>
        <v>D.23-06-004</v>
      </c>
      <c r="D68" s="253" t="str">
        <f t="shared" si="33"/>
        <v>D.23-06-004</v>
      </c>
      <c r="E68" s="253" t="s">
        <v>448</v>
      </c>
      <c r="F68" s="253" t="str">
        <f t="shared" si="34"/>
        <v>n/a</v>
      </c>
      <c r="G68" s="253" t="str">
        <f t="shared" si="34"/>
        <v>n/a</v>
      </c>
      <c r="H68" s="253" t="s">
        <v>448</v>
      </c>
      <c r="I68" s="253" t="str">
        <f t="shared" si="32"/>
        <v>n/a</v>
      </c>
      <c r="J68" s="253" t="str">
        <f t="shared" si="4"/>
        <v>n/a</v>
      </c>
      <c r="K68" s="253" t="e">
        <v>#REF!</v>
      </c>
      <c r="L68" s="131" t="e">
        <f t="shared" si="35"/>
        <v>#REF!</v>
      </c>
      <c r="M68" s="131" t="e">
        <f t="shared" si="35"/>
        <v>#REF!</v>
      </c>
      <c r="N68" s="131">
        <v>0</v>
      </c>
      <c r="O68" s="131">
        <f t="shared" si="36"/>
        <v>0</v>
      </c>
      <c r="P68" s="131">
        <f t="shared" si="36"/>
        <v>0</v>
      </c>
      <c r="Q68" s="131">
        <f>P68</f>
        <v>0</v>
      </c>
      <c r="R68" s="131">
        <f t="shared" si="29"/>
        <v>0</v>
      </c>
      <c r="S68" s="131">
        <f t="shared" si="8"/>
        <v>0</v>
      </c>
      <c r="T68" t="s">
        <v>5</v>
      </c>
      <c r="U68" t="str">
        <f t="shared" si="24"/>
        <v>N</v>
      </c>
    </row>
    <row r="69" spans="1:22">
      <c r="A69" t="s">
        <v>367</v>
      </c>
      <c r="B69" t="s">
        <v>366</v>
      </c>
      <c r="C69" s="253" t="str">
        <f t="shared" si="33"/>
        <v>D.23-08-027</v>
      </c>
      <c r="D69" s="253" t="str">
        <f t="shared" si="33"/>
        <v>D.23-08-027</v>
      </c>
      <c r="E69" s="253" t="str">
        <f>D69</f>
        <v>D.23-08-027</v>
      </c>
      <c r="F69" s="253" t="str">
        <f t="shared" si="34"/>
        <v>D.23-08-027</v>
      </c>
      <c r="G69" s="253" t="str">
        <f t="shared" si="34"/>
        <v>D.23-08-027</v>
      </c>
      <c r="H69" s="253" t="s">
        <v>366</v>
      </c>
      <c r="I69" s="253" t="str">
        <f t="shared" si="32"/>
        <v>D.23-08-027</v>
      </c>
      <c r="J69" s="253" t="str">
        <f t="shared" si="4"/>
        <v>D.23-08-027</v>
      </c>
      <c r="K69" s="253" t="e">
        <f>#REF!/1000</f>
        <v>#REF!</v>
      </c>
      <c r="L69" s="131" t="e">
        <f t="shared" si="35"/>
        <v>#REF!</v>
      </c>
      <c r="M69" s="131" t="e">
        <f t="shared" si="35"/>
        <v>#REF!</v>
      </c>
      <c r="N69" s="131" t="e">
        <f>M69</f>
        <v>#REF!</v>
      </c>
      <c r="O69" s="131" t="e">
        <f t="shared" si="36"/>
        <v>#REF!</v>
      </c>
      <c r="P69" s="131" t="e">
        <f t="shared" si="36"/>
        <v>#REF!</v>
      </c>
      <c r="Q69" s="131">
        <v>348275.32428074593</v>
      </c>
      <c r="R69" s="131">
        <f t="shared" si="29"/>
        <v>348275.32428074593</v>
      </c>
      <c r="S69" s="131">
        <v>0</v>
      </c>
      <c r="T69" t="s">
        <v>309</v>
      </c>
      <c r="U69" t="str">
        <f t="shared" si="24"/>
        <v>N</v>
      </c>
    </row>
    <row r="70" spans="1:22">
      <c r="A70" t="s">
        <v>367</v>
      </c>
      <c r="B70" t="s">
        <v>366</v>
      </c>
      <c r="C70" s="253" t="str">
        <f t="shared" si="33"/>
        <v>D.23-08-027</v>
      </c>
      <c r="D70" s="253" t="str">
        <f t="shared" si="33"/>
        <v>D.23-08-027</v>
      </c>
      <c r="E70" s="253" t="str">
        <f>D70</f>
        <v>D.23-08-027</v>
      </c>
      <c r="F70" s="253" t="str">
        <f t="shared" si="34"/>
        <v>D.23-08-027</v>
      </c>
      <c r="G70" s="253" t="str">
        <f t="shared" si="34"/>
        <v>D.23-08-027</v>
      </c>
      <c r="H70" s="253" t="s">
        <v>366</v>
      </c>
      <c r="I70" s="253" t="str">
        <f t="shared" si="32"/>
        <v>D.23-08-027</v>
      </c>
      <c r="J70" s="253" t="str">
        <f t="shared" si="4"/>
        <v>D.23-08-027</v>
      </c>
      <c r="K70" s="253" t="e">
        <v>#REF!</v>
      </c>
      <c r="L70" s="131" t="e">
        <f t="shared" si="35"/>
        <v>#REF!</v>
      </c>
      <c r="M70" s="131" t="e">
        <f t="shared" si="35"/>
        <v>#REF!</v>
      </c>
      <c r="N70" s="131" t="e">
        <f>M70</f>
        <v>#REF!</v>
      </c>
      <c r="O70" s="131" t="e">
        <f t="shared" si="36"/>
        <v>#REF!</v>
      </c>
      <c r="P70" s="131" t="e">
        <f t="shared" si="36"/>
        <v>#REF!</v>
      </c>
      <c r="Q70" s="131">
        <v>15823.53951412344</v>
      </c>
      <c r="R70" s="131">
        <f t="shared" si="29"/>
        <v>15823.53951412344</v>
      </c>
      <c r="S70" s="131">
        <v>0</v>
      </c>
      <c r="T70" t="s">
        <v>5</v>
      </c>
      <c r="U70" t="str">
        <f t="shared" si="24"/>
        <v>N</v>
      </c>
      <c r="V70" s="285"/>
    </row>
    <row r="71" spans="1:22">
      <c r="A71" t="s">
        <v>368</v>
      </c>
      <c r="B71" s="253" t="s">
        <v>448</v>
      </c>
      <c r="C71" s="253" t="s">
        <v>448</v>
      </c>
      <c r="D71" s="253" t="s">
        <v>448</v>
      </c>
      <c r="E71" s="253" t="s">
        <v>448</v>
      </c>
      <c r="F71" s="253" t="s">
        <v>448</v>
      </c>
      <c r="G71" s="253" t="s">
        <v>448</v>
      </c>
      <c r="H71" s="253" t="s">
        <v>448</v>
      </c>
      <c r="I71" s="253" t="s">
        <v>564</v>
      </c>
      <c r="J71" s="253" t="str">
        <f>I71</f>
        <v>D.24-12-075</v>
      </c>
      <c r="K71" s="253"/>
      <c r="L71" s="131"/>
      <c r="M71" s="131"/>
      <c r="N71" s="131"/>
      <c r="O71" s="131"/>
      <c r="P71" s="131">
        <v>0</v>
      </c>
      <c r="Q71" s="276">
        <v>0</v>
      </c>
      <c r="R71" s="276">
        <v>142061.93755242301</v>
      </c>
      <c r="S71" s="131">
        <f t="shared" si="8"/>
        <v>142061.93755242301</v>
      </c>
      <c r="T71" t="s">
        <v>309</v>
      </c>
      <c r="U71" t="str">
        <f t="shared" si="24"/>
        <v>N</v>
      </c>
    </row>
    <row r="72" spans="1:22">
      <c r="A72" t="s">
        <v>368</v>
      </c>
      <c r="B72" s="253" t="s">
        <v>448</v>
      </c>
      <c r="C72" s="253" t="s">
        <v>448</v>
      </c>
      <c r="D72" s="253" t="s">
        <v>448</v>
      </c>
      <c r="E72" s="253" t="s">
        <v>448</v>
      </c>
      <c r="F72" s="253" t="s">
        <v>448</v>
      </c>
      <c r="G72" s="253" t="s">
        <v>448</v>
      </c>
      <c r="H72" s="253" t="s">
        <v>448</v>
      </c>
      <c r="I72" s="253" t="s">
        <v>564</v>
      </c>
      <c r="J72" s="253" t="str">
        <f t="shared" ref="J72:J130" si="37">I72</f>
        <v>D.24-12-075</v>
      </c>
      <c r="K72" s="253"/>
      <c r="L72" s="131"/>
      <c r="M72" s="131"/>
      <c r="N72" s="131"/>
      <c r="O72" s="131"/>
      <c r="P72" s="131">
        <v>0</v>
      </c>
      <c r="Q72" s="105">
        <v>0</v>
      </c>
      <c r="R72" s="105">
        <v>360737.04400514957</v>
      </c>
      <c r="S72" s="131">
        <f t="shared" si="8"/>
        <v>360737.04400514957</v>
      </c>
      <c r="T72" t="s">
        <v>5</v>
      </c>
      <c r="U72" t="str">
        <f t="shared" si="24"/>
        <v>N</v>
      </c>
    </row>
    <row r="73" spans="1:22">
      <c r="A73" t="s">
        <v>504</v>
      </c>
      <c r="B73" s="253" t="s">
        <v>448</v>
      </c>
      <c r="C73" s="253" t="str">
        <f t="shared" ref="C73:F74" si="38">B73</f>
        <v>n/a</v>
      </c>
      <c r="D73" s="253" t="str">
        <f t="shared" si="38"/>
        <v>n/a</v>
      </c>
      <c r="E73" s="253" t="str">
        <f t="shared" si="38"/>
        <v>n/a</v>
      </c>
      <c r="F73" s="253" t="str">
        <f t="shared" si="38"/>
        <v>n/a</v>
      </c>
      <c r="G73" t="s">
        <v>505</v>
      </c>
      <c r="H73" s="253" t="s">
        <v>505</v>
      </c>
      <c r="I73" s="253" t="str">
        <f t="shared" ref="I73:I80" si="39">H73</f>
        <v>D.24-09-003</v>
      </c>
      <c r="J73" s="253" t="str">
        <f t="shared" si="37"/>
        <v>D.24-09-003</v>
      </c>
      <c r="K73" s="131">
        <v>0</v>
      </c>
      <c r="L73" s="131">
        <v>0</v>
      </c>
      <c r="M73" s="131">
        <v>0</v>
      </c>
      <c r="N73" s="131">
        <v>0</v>
      </c>
      <c r="O73" s="131">
        <v>0</v>
      </c>
      <c r="P73" s="284" t="e">
        <f>#REF!/1000</f>
        <v>#REF!</v>
      </c>
      <c r="Q73" s="131">
        <v>597531.23777689342</v>
      </c>
      <c r="R73" s="284">
        <f t="shared" ref="R73:R80" si="40">Q73</f>
        <v>597531.23777689342</v>
      </c>
      <c r="S73" s="131">
        <f t="shared" si="8"/>
        <v>597531.23777689342</v>
      </c>
      <c r="T73" t="s">
        <v>309</v>
      </c>
      <c r="U73" t="str">
        <f t="shared" ref="U73:U80" si="41">IF(RIGHT(A73,1)="*","Y","N")</f>
        <v>N</v>
      </c>
      <c r="V73" s="284"/>
    </row>
    <row r="74" spans="1:22">
      <c r="A74" t="s">
        <v>504</v>
      </c>
      <c r="B74" t="s">
        <v>448</v>
      </c>
      <c r="C74" s="253" t="str">
        <f t="shared" si="38"/>
        <v>n/a</v>
      </c>
      <c r="D74" s="253" t="str">
        <f t="shared" si="38"/>
        <v>n/a</v>
      </c>
      <c r="E74" s="253" t="str">
        <f t="shared" si="38"/>
        <v>n/a</v>
      </c>
      <c r="F74" s="253" t="str">
        <f t="shared" si="38"/>
        <v>n/a</v>
      </c>
      <c r="G74" t="s">
        <v>505</v>
      </c>
      <c r="H74" s="253" t="s">
        <v>505</v>
      </c>
      <c r="I74" s="253" t="str">
        <f t="shared" si="39"/>
        <v>D.24-09-003</v>
      </c>
      <c r="J74" s="253" t="str">
        <f t="shared" si="37"/>
        <v>D.24-09-003</v>
      </c>
      <c r="K74" s="131">
        <v>0</v>
      </c>
      <c r="L74" s="131">
        <v>0</v>
      </c>
      <c r="M74" s="131">
        <v>0</v>
      </c>
      <c r="N74" s="287">
        <v>0</v>
      </c>
      <c r="O74" s="131">
        <v>0</v>
      </c>
      <c r="P74" s="284" t="e">
        <f>#REF!/1000</f>
        <v>#REF!</v>
      </c>
      <c r="Q74" s="284">
        <v>154644.36811786867</v>
      </c>
      <c r="R74" s="284">
        <f t="shared" si="40"/>
        <v>154644.36811786867</v>
      </c>
      <c r="S74" s="131">
        <f t="shared" ref="S74:S137" si="42">R74</f>
        <v>154644.36811786867</v>
      </c>
      <c r="T74" t="s">
        <v>5</v>
      </c>
      <c r="U74" t="str">
        <f t="shared" si="41"/>
        <v>N</v>
      </c>
    </row>
    <row r="75" spans="1:22" ht="23.25" customHeight="1">
      <c r="A75" t="s">
        <v>575</v>
      </c>
      <c r="B75" s="253" t="s">
        <v>448</v>
      </c>
      <c r="C75" s="253" t="s">
        <v>448</v>
      </c>
      <c r="D75" s="253" t="s">
        <v>448</v>
      </c>
      <c r="E75" s="253" t="s">
        <v>448</v>
      </c>
      <c r="F75" s="253" t="s">
        <v>448</v>
      </c>
      <c r="G75" s="253" t="s">
        <v>448</v>
      </c>
      <c r="H75" s="253" t="s">
        <v>551</v>
      </c>
      <c r="I75" s="253" t="str">
        <f t="shared" si="39"/>
        <v>Electric Preliminary Statement Part JZ</v>
      </c>
      <c r="J75" s="253" t="str">
        <f t="shared" si="37"/>
        <v>Electric Preliminary Statement Part JZ</v>
      </c>
      <c r="K75" s="131">
        <v>0</v>
      </c>
      <c r="L75" s="131">
        <v>0</v>
      </c>
      <c r="M75" s="131">
        <v>0</v>
      </c>
      <c r="N75" s="131">
        <v>0</v>
      </c>
      <c r="O75" s="131">
        <v>0</v>
      </c>
      <c r="P75" s="131">
        <v>0</v>
      </c>
      <c r="Q75" s="284">
        <v>121317.7211845625</v>
      </c>
      <c r="R75" s="284">
        <f t="shared" si="40"/>
        <v>121317.7211845625</v>
      </c>
      <c r="S75" s="131">
        <f t="shared" si="42"/>
        <v>121317.7211845625</v>
      </c>
      <c r="T75" t="s">
        <v>5</v>
      </c>
      <c r="U75" t="str">
        <f t="shared" si="41"/>
        <v>Y</v>
      </c>
    </row>
    <row r="76" spans="1:22" ht="23.25" customHeight="1">
      <c r="A76" t="s">
        <v>576</v>
      </c>
      <c r="B76" s="253" t="s">
        <v>448</v>
      </c>
      <c r="C76" s="253" t="s">
        <v>448</v>
      </c>
      <c r="D76" s="253" t="s">
        <v>448</v>
      </c>
      <c r="E76" s="253" t="s">
        <v>448</v>
      </c>
      <c r="F76" s="253" t="s">
        <v>448</v>
      </c>
      <c r="G76" s="253" t="s">
        <v>448</v>
      </c>
      <c r="H76" s="253" t="s">
        <v>552</v>
      </c>
      <c r="I76" s="253" t="str">
        <f t="shared" si="39"/>
        <v>Electric Preliminary Statement Part KA</v>
      </c>
      <c r="J76" s="253" t="str">
        <f t="shared" si="37"/>
        <v>Electric Preliminary Statement Part KA</v>
      </c>
      <c r="K76" s="131">
        <v>0</v>
      </c>
      <c r="L76" s="131">
        <v>0</v>
      </c>
      <c r="M76" s="131">
        <v>0</v>
      </c>
      <c r="N76" s="131">
        <v>0</v>
      </c>
      <c r="O76" s="131">
        <v>0</v>
      </c>
      <c r="P76" s="131">
        <v>0</v>
      </c>
      <c r="Q76" s="284">
        <v>4478.240601915044</v>
      </c>
      <c r="R76" s="284">
        <f t="shared" si="40"/>
        <v>4478.240601915044</v>
      </c>
      <c r="S76" s="131">
        <f t="shared" si="42"/>
        <v>4478.240601915044</v>
      </c>
      <c r="T76" t="s">
        <v>5</v>
      </c>
      <c r="U76" t="str">
        <f t="shared" si="41"/>
        <v>Y</v>
      </c>
    </row>
    <row r="77" spans="1:22" ht="23.25" customHeight="1">
      <c r="A77" t="s">
        <v>577</v>
      </c>
      <c r="B77" s="253" t="s">
        <v>448</v>
      </c>
      <c r="C77" s="253" t="s">
        <v>448</v>
      </c>
      <c r="D77" s="253" t="s">
        <v>448</v>
      </c>
      <c r="E77" s="253" t="s">
        <v>448</v>
      </c>
      <c r="F77" s="253" t="s">
        <v>448</v>
      </c>
      <c r="G77" s="253" t="s">
        <v>448</v>
      </c>
      <c r="H77" s="253" t="s">
        <v>553</v>
      </c>
      <c r="I77" s="253" t="str">
        <f t="shared" si="39"/>
        <v>Electric Preliminary Statement Part JD</v>
      </c>
      <c r="J77" s="253" t="str">
        <f t="shared" si="37"/>
        <v>Electric Preliminary Statement Part JD</v>
      </c>
      <c r="K77" s="131">
        <v>0</v>
      </c>
      <c r="L77" s="131">
        <v>0</v>
      </c>
      <c r="M77" s="131">
        <v>0</v>
      </c>
      <c r="N77" s="131">
        <v>0</v>
      </c>
      <c r="O77" s="131">
        <v>0</v>
      </c>
      <c r="P77" s="131">
        <v>0</v>
      </c>
      <c r="Q77" s="284">
        <v>5.4850873107244524</v>
      </c>
      <c r="R77" s="284">
        <f t="shared" si="40"/>
        <v>5.4850873107244524</v>
      </c>
      <c r="S77" s="131">
        <f t="shared" si="42"/>
        <v>5.4850873107244524</v>
      </c>
      <c r="T77" t="s">
        <v>5</v>
      </c>
      <c r="U77" t="str">
        <f t="shared" si="41"/>
        <v>Y</v>
      </c>
    </row>
    <row r="78" spans="1:22" ht="23.25" customHeight="1">
      <c r="A78" t="s">
        <v>544</v>
      </c>
      <c r="B78" s="253" t="s">
        <v>448</v>
      </c>
      <c r="C78" s="253" t="s">
        <v>448</v>
      </c>
      <c r="D78" s="253" t="s">
        <v>448</v>
      </c>
      <c r="E78" s="253" t="s">
        <v>448</v>
      </c>
      <c r="F78" s="253" t="s">
        <v>448</v>
      </c>
      <c r="G78" s="253" t="s">
        <v>448</v>
      </c>
      <c r="H78" s="253" t="s">
        <v>554</v>
      </c>
      <c r="I78" s="253" t="str">
        <f t="shared" si="39"/>
        <v xml:space="preserve">D.23-04-034/ AL 6962-E </v>
      </c>
      <c r="J78" s="253" t="str">
        <f t="shared" si="37"/>
        <v xml:space="preserve">D.23-04-034/ AL 6962-E </v>
      </c>
      <c r="K78" s="131">
        <v>0</v>
      </c>
      <c r="L78" s="131">
        <v>0</v>
      </c>
      <c r="M78" s="131">
        <v>0</v>
      </c>
      <c r="N78" s="131">
        <v>0</v>
      </c>
      <c r="O78" s="131">
        <v>0</v>
      </c>
      <c r="P78" s="131">
        <v>0</v>
      </c>
      <c r="Q78" s="284">
        <v>482.26226348</v>
      </c>
      <c r="R78" s="284">
        <f t="shared" si="40"/>
        <v>482.26226348</v>
      </c>
      <c r="S78" s="131">
        <f t="shared" si="42"/>
        <v>482.26226348</v>
      </c>
      <c r="T78" t="s">
        <v>309</v>
      </c>
      <c r="U78" t="str">
        <f t="shared" si="41"/>
        <v>N</v>
      </c>
    </row>
    <row r="79" spans="1:22">
      <c r="A79" s="253" t="s">
        <v>548</v>
      </c>
      <c r="B79" s="253" t="s">
        <v>448</v>
      </c>
      <c r="C79" s="253" t="s">
        <v>448</v>
      </c>
      <c r="D79" s="253" t="s">
        <v>448</v>
      </c>
      <c r="E79" s="253" t="s">
        <v>448</v>
      </c>
      <c r="F79" s="253" t="s">
        <v>448</v>
      </c>
      <c r="G79" s="253" t="s">
        <v>448</v>
      </c>
      <c r="H79" s="253" t="s">
        <v>555</v>
      </c>
      <c r="I79" s="253" t="str">
        <f t="shared" si="39"/>
        <v>D.24-08-009/ AL 7371-E</v>
      </c>
      <c r="J79" s="253" t="str">
        <f t="shared" si="37"/>
        <v>D.24-08-009/ AL 7371-E</v>
      </c>
      <c r="K79" s="131">
        <v>0</v>
      </c>
      <c r="L79" s="131">
        <v>0</v>
      </c>
      <c r="M79" s="131">
        <v>0</v>
      </c>
      <c r="N79" s="131">
        <v>0</v>
      </c>
      <c r="O79" s="131">
        <v>0</v>
      </c>
      <c r="P79" s="131">
        <v>0</v>
      </c>
      <c r="Q79" s="131">
        <v>141576.85188405539</v>
      </c>
      <c r="R79" s="284">
        <f t="shared" si="40"/>
        <v>141576.85188405539</v>
      </c>
      <c r="S79" s="131">
        <f t="shared" si="42"/>
        <v>141576.85188405539</v>
      </c>
      <c r="T79" t="s">
        <v>5</v>
      </c>
      <c r="U79" t="str">
        <f t="shared" si="41"/>
        <v>N</v>
      </c>
    </row>
    <row r="80" spans="1:22">
      <c r="A80" s="253" t="s">
        <v>548</v>
      </c>
      <c r="B80" s="253"/>
      <c r="C80" s="253"/>
      <c r="D80" s="253"/>
      <c r="E80" s="253"/>
      <c r="F80" s="253"/>
      <c r="G80" s="253"/>
      <c r="H80" s="253" t="s">
        <v>555</v>
      </c>
      <c r="I80" s="253" t="str">
        <f t="shared" si="39"/>
        <v>D.24-08-009/ AL 7371-E</v>
      </c>
      <c r="J80" s="253" t="str">
        <f t="shared" si="37"/>
        <v>D.24-08-009/ AL 7371-E</v>
      </c>
      <c r="K80" s="131"/>
      <c r="L80" s="131"/>
      <c r="M80" s="131"/>
      <c r="N80" s="131"/>
      <c r="O80" s="131"/>
      <c r="P80" s="131"/>
      <c r="Q80" s="131">
        <v>68189.673891719649</v>
      </c>
      <c r="R80" s="284">
        <f t="shared" si="40"/>
        <v>68189.673891719649</v>
      </c>
      <c r="S80" s="131">
        <f t="shared" si="42"/>
        <v>68189.673891719649</v>
      </c>
      <c r="T80" t="s">
        <v>211</v>
      </c>
      <c r="U80" t="str">
        <f t="shared" si="41"/>
        <v>N</v>
      </c>
    </row>
    <row r="81" spans="1:21">
      <c r="A81" s="31" t="s">
        <v>6</v>
      </c>
      <c r="B81" s="253"/>
      <c r="C81" s="253"/>
      <c r="D81" s="253"/>
      <c r="E81" s="253"/>
      <c r="F81" s="253"/>
      <c r="G81" s="253"/>
      <c r="H81" s="253"/>
      <c r="I81" s="253"/>
      <c r="J81" s="253"/>
      <c r="K81" s="288" t="e">
        <f>SUM(K9:K70)</f>
        <v>#REF!</v>
      </c>
      <c r="L81" s="288" t="e">
        <f>SUM(L9:L70)</f>
        <v>#REF!</v>
      </c>
      <c r="M81" s="288" t="e">
        <f>SUM(M9:M70)</f>
        <v>#REF!</v>
      </c>
      <c r="N81" s="288" t="e">
        <f>SUM(N9:N70)</f>
        <v>#REF!</v>
      </c>
      <c r="O81" s="288" t="e">
        <f>SUM(O9:O70)</f>
        <v>#REF!</v>
      </c>
      <c r="P81" s="288" t="e">
        <f>SUM(P9:P74)</f>
        <v>#REF!</v>
      </c>
      <c r="Q81" s="288">
        <f>SUM(Q9:Q80)</f>
        <v>17164205.618997265</v>
      </c>
      <c r="R81" s="288">
        <f>SUM(R9:R80)</f>
        <v>17323987.589253176</v>
      </c>
      <c r="S81" s="288">
        <f>SUM(S9:S80)</f>
        <v>16732973.334628174</v>
      </c>
      <c r="T81" s="285"/>
    </row>
    <row r="82" spans="1:21" ht="15" customHeight="1">
      <c r="B82" s="253"/>
      <c r="C82" s="253"/>
      <c r="D82" s="253"/>
      <c r="E82" s="253"/>
      <c r="F82" s="253"/>
      <c r="G82" s="253"/>
      <c r="H82" s="253"/>
      <c r="I82" s="253"/>
      <c r="J82" s="253"/>
      <c r="K82" s="131"/>
      <c r="L82" s="131"/>
      <c r="M82" s="131"/>
      <c r="N82" s="131"/>
      <c r="O82" s="131"/>
      <c r="P82" s="131"/>
      <c r="Q82" s="131"/>
      <c r="R82" s="131"/>
      <c r="S82" s="131">
        <f t="shared" si="42"/>
        <v>0</v>
      </c>
    </row>
    <row r="83" spans="1:21">
      <c r="A83" s="31" t="s">
        <v>7</v>
      </c>
      <c r="B83" s="253"/>
      <c r="C83" s="253"/>
      <c r="D83" s="253"/>
      <c r="E83" s="253"/>
      <c r="F83" s="253"/>
      <c r="G83" s="253"/>
      <c r="H83" s="253"/>
      <c r="I83" s="253"/>
      <c r="J83" s="253"/>
      <c r="K83" s="131"/>
      <c r="L83" s="131"/>
      <c r="M83" s="131"/>
      <c r="N83" s="131"/>
      <c r="O83" s="131"/>
      <c r="P83" s="131"/>
      <c r="Q83" s="131"/>
      <c r="R83" s="131"/>
      <c r="S83" s="131">
        <f t="shared" si="42"/>
        <v>0</v>
      </c>
    </row>
    <row r="84" spans="1:21">
      <c r="A84" t="s">
        <v>74</v>
      </c>
      <c r="B84" s="253" t="s">
        <v>437</v>
      </c>
      <c r="C84" s="253" t="str">
        <f t="shared" ref="C84:C126" si="43">B84</f>
        <v>D.23-12-022</v>
      </c>
      <c r="D84" s="253" t="str">
        <f t="shared" ref="D84:D107" si="44">C84</f>
        <v>D.23-12-022</v>
      </c>
      <c r="E84" s="253" t="str">
        <f>D84</f>
        <v>D.23-12-022</v>
      </c>
      <c r="F84" s="253" t="str">
        <f>E84</f>
        <v>D.23-12-022</v>
      </c>
      <c r="G84" s="253" t="str">
        <f>F84</f>
        <v>D.23-12-022</v>
      </c>
      <c r="H84" s="253" t="s">
        <v>580</v>
      </c>
      <c r="I84" s="253" t="str">
        <f t="shared" ref="I84:I98" si="45">H84</f>
        <v>D.24-12-038</v>
      </c>
      <c r="J84" s="253" t="str">
        <f t="shared" si="37"/>
        <v>D.24-12-038</v>
      </c>
      <c r="K84" s="131">
        <v>-689321.08387833403</v>
      </c>
      <c r="L84" s="131">
        <f t="shared" ref="L84:L126" si="46">K84</f>
        <v>-689321.08387833403</v>
      </c>
      <c r="M84" s="131">
        <f>L84</f>
        <v>-689321.08387833403</v>
      </c>
      <c r="N84" s="131">
        <f>M84</f>
        <v>-689321.08387833403</v>
      </c>
      <c r="O84" s="131">
        <f>N84</f>
        <v>-689321.08387833403</v>
      </c>
      <c r="P84" s="131">
        <f>O84</f>
        <v>-689321.08387833403</v>
      </c>
      <c r="Q84" s="131">
        <v>-721064.79799999995</v>
      </c>
      <c r="R84" s="131">
        <f t="shared" ref="R84:R127" si="47">Q84</f>
        <v>-721064.79799999995</v>
      </c>
      <c r="S84" s="131">
        <f t="shared" si="42"/>
        <v>-721064.79799999995</v>
      </c>
      <c r="T84" s="289" t="s">
        <v>133</v>
      </c>
      <c r="U84" t="str">
        <f t="shared" ref="U84:U130" si="48">IF(RIGHT(A84,1)="*","Y","N")</f>
        <v>N</v>
      </c>
    </row>
    <row r="85" spans="1:21">
      <c r="A85" t="s">
        <v>73</v>
      </c>
      <c r="B85" s="253" t="s">
        <v>288</v>
      </c>
      <c r="C85" s="253" t="str">
        <f t="shared" si="43"/>
        <v>D.20-01-021, AL 5857-E</v>
      </c>
      <c r="D85" s="253" t="str">
        <f t="shared" si="44"/>
        <v>D.20-01-021, AL 5857-E</v>
      </c>
      <c r="E85" s="253" t="str">
        <f t="shared" ref="E85:E126" si="49">D85</f>
        <v>D.20-01-021, AL 5857-E</v>
      </c>
      <c r="F85" s="253" t="str">
        <f t="shared" ref="F85:F126" si="50">E85</f>
        <v>D.20-01-021, AL 5857-E</v>
      </c>
      <c r="G85" s="253" t="str">
        <f t="shared" ref="G85:G126" si="51">F85</f>
        <v>D.20-01-021, AL 5857-E</v>
      </c>
      <c r="H85" s="253" t="s">
        <v>448</v>
      </c>
      <c r="I85" s="253" t="str">
        <f t="shared" si="45"/>
        <v>n/a</v>
      </c>
      <c r="J85" s="253" t="str">
        <f t="shared" si="37"/>
        <v>n/a</v>
      </c>
      <c r="K85" s="131">
        <v>59877.176383845785</v>
      </c>
      <c r="L85" s="131">
        <f t="shared" si="46"/>
        <v>59877.176383845785</v>
      </c>
      <c r="M85" s="131">
        <f t="shared" ref="M85:M106" si="52">L85</f>
        <v>59877.176383845785</v>
      </c>
      <c r="N85" s="131">
        <f t="shared" ref="N85:N126" si="53">M85</f>
        <v>59877.176383845785</v>
      </c>
      <c r="O85" s="131">
        <f t="shared" ref="O85:O126" si="54">N85</f>
        <v>59877.176383845785</v>
      </c>
      <c r="P85" s="131">
        <f t="shared" ref="P85:P127" si="55">O85</f>
        <v>59877.176383845785</v>
      </c>
      <c r="Q85" s="131">
        <v>0</v>
      </c>
      <c r="R85" s="131">
        <f t="shared" si="47"/>
        <v>0</v>
      </c>
      <c r="S85" s="131">
        <f t="shared" si="42"/>
        <v>0</v>
      </c>
      <c r="T85" t="s">
        <v>15</v>
      </c>
      <c r="U85" t="str">
        <f t="shared" si="48"/>
        <v>N</v>
      </c>
    </row>
    <row r="86" spans="1:21">
      <c r="A86" t="s">
        <v>325</v>
      </c>
      <c r="B86" s="253" t="s">
        <v>448</v>
      </c>
      <c r="C86" s="253" t="str">
        <f t="shared" si="43"/>
        <v>n/a</v>
      </c>
      <c r="D86" s="253" t="str">
        <f t="shared" si="44"/>
        <v>n/a</v>
      </c>
      <c r="E86" s="253" t="str">
        <f t="shared" si="49"/>
        <v>n/a</v>
      </c>
      <c r="F86" s="253" t="str">
        <f t="shared" si="50"/>
        <v>n/a</v>
      </c>
      <c r="G86" s="253" t="str">
        <f t="shared" si="51"/>
        <v>n/a</v>
      </c>
      <c r="H86" s="253" t="s">
        <v>448</v>
      </c>
      <c r="I86" s="253" t="str">
        <f t="shared" si="45"/>
        <v>n/a</v>
      </c>
      <c r="J86" s="253" t="str">
        <f t="shared" si="37"/>
        <v>n/a</v>
      </c>
      <c r="K86" s="131">
        <v>0</v>
      </c>
      <c r="L86" s="131">
        <f t="shared" si="46"/>
        <v>0</v>
      </c>
      <c r="M86" s="131">
        <f t="shared" si="52"/>
        <v>0</v>
      </c>
      <c r="N86" s="131">
        <f t="shared" si="53"/>
        <v>0</v>
      </c>
      <c r="O86" s="131">
        <f t="shared" si="54"/>
        <v>0</v>
      </c>
      <c r="P86" s="131">
        <f t="shared" si="55"/>
        <v>0</v>
      </c>
      <c r="Q86" s="131">
        <f>P86</f>
        <v>0</v>
      </c>
      <c r="R86" s="131">
        <f t="shared" si="47"/>
        <v>0</v>
      </c>
      <c r="S86" s="131">
        <f t="shared" si="42"/>
        <v>0</v>
      </c>
      <c r="T86" t="s">
        <v>15</v>
      </c>
      <c r="U86" t="str">
        <f t="shared" si="48"/>
        <v>N</v>
      </c>
    </row>
    <row r="87" spans="1:21">
      <c r="A87" t="s">
        <v>77</v>
      </c>
      <c r="B87" s="253" t="s">
        <v>426</v>
      </c>
      <c r="C87" s="253" t="str">
        <f t="shared" si="43"/>
        <v>Res. M-4870</v>
      </c>
      <c r="D87" s="253" t="str">
        <f t="shared" si="44"/>
        <v>Res. M-4870</v>
      </c>
      <c r="E87" s="253" t="str">
        <f t="shared" si="49"/>
        <v>Res. M-4870</v>
      </c>
      <c r="F87" s="253" t="str">
        <f t="shared" si="50"/>
        <v>Res. M-4870</v>
      </c>
      <c r="G87" s="253" t="str">
        <f t="shared" si="51"/>
        <v>Res. M-4870</v>
      </c>
      <c r="H87" s="253" t="s">
        <v>534</v>
      </c>
      <c r="I87" s="253" t="str">
        <f t="shared" si="45"/>
        <v>Res. M-4874</v>
      </c>
      <c r="J87" s="253" t="str">
        <f t="shared" si="37"/>
        <v>Res. M-4874</v>
      </c>
      <c r="K87" s="131">
        <v>79240.989000000001</v>
      </c>
      <c r="L87" s="131">
        <f t="shared" si="46"/>
        <v>79240.989000000001</v>
      </c>
      <c r="M87" s="131">
        <f t="shared" si="52"/>
        <v>79240.989000000001</v>
      </c>
      <c r="N87" s="131">
        <f t="shared" si="53"/>
        <v>79240.989000000001</v>
      </c>
      <c r="O87" s="131">
        <f t="shared" si="54"/>
        <v>79240.989000000001</v>
      </c>
      <c r="P87" s="131">
        <f t="shared" si="55"/>
        <v>79240.989000000001</v>
      </c>
      <c r="Q87" s="131">
        <v>61836.066753452789</v>
      </c>
      <c r="R87" s="131">
        <f t="shared" si="47"/>
        <v>61836.066753452789</v>
      </c>
      <c r="S87" s="131">
        <f t="shared" si="42"/>
        <v>61836.066753452789</v>
      </c>
      <c r="T87" t="s">
        <v>5</v>
      </c>
      <c r="U87" t="str">
        <f t="shared" si="48"/>
        <v>N</v>
      </c>
    </row>
    <row r="88" spans="1:21">
      <c r="A88" t="s">
        <v>106</v>
      </c>
      <c r="B88" s="253" t="s">
        <v>450</v>
      </c>
      <c r="C88" s="253" t="str">
        <f t="shared" si="43"/>
        <v>Electric Preliminary Statement Part HH</v>
      </c>
      <c r="D88" s="253" t="str">
        <f t="shared" si="44"/>
        <v>Electric Preliminary Statement Part HH</v>
      </c>
      <c r="E88" s="253" t="str">
        <f t="shared" si="49"/>
        <v>Electric Preliminary Statement Part HH</v>
      </c>
      <c r="F88" s="253" t="str">
        <f t="shared" si="50"/>
        <v>Electric Preliminary Statement Part HH</v>
      </c>
      <c r="G88" s="253" t="str">
        <f t="shared" si="51"/>
        <v>Electric Preliminary Statement Part HH</v>
      </c>
      <c r="H88" s="253" t="s">
        <v>450</v>
      </c>
      <c r="I88" s="253" t="str">
        <f t="shared" si="45"/>
        <v>Electric Preliminary Statement Part HH</v>
      </c>
      <c r="J88" s="253" t="str">
        <f t="shared" si="37"/>
        <v>Electric Preliminary Statement Part HH</v>
      </c>
      <c r="K88" s="131">
        <v>-29079.797719368577</v>
      </c>
      <c r="L88" s="131">
        <f t="shared" si="46"/>
        <v>-29079.797719368577</v>
      </c>
      <c r="M88" s="131">
        <f t="shared" si="52"/>
        <v>-29079.797719368577</v>
      </c>
      <c r="N88" s="131">
        <f>M88</f>
        <v>-29079.797719368577</v>
      </c>
      <c r="O88" s="131">
        <f t="shared" si="54"/>
        <v>-29079.797719368577</v>
      </c>
      <c r="P88" s="131">
        <f t="shared" si="55"/>
        <v>-29079.797719368577</v>
      </c>
      <c r="Q88" s="131">
        <v>-33471.164510847331</v>
      </c>
      <c r="R88" s="131">
        <f t="shared" si="47"/>
        <v>-33471.164510847331</v>
      </c>
      <c r="S88" s="131">
        <f t="shared" si="42"/>
        <v>-33471.164510847331</v>
      </c>
      <c r="T88" t="s">
        <v>5</v>
      </c>
      <c r="U88" t="str">
        <f t="shared" si="48"/>
        <v>Y</v>
      </c>
    </row>
    <row r="89" spans="1:21">
      <c r="A89" t="s">
        <v>75</v>
      </c>
      <c r="B89" s="253" t="s">
        <v>449</v>
      </c>
      <c r="C89" s="253" t="str">
        <f t="shared" si="43"/>
        <v>D.18-05-040, D.19-11-017, D.19-09-006, D.20-12-029, D.22-08-024</v>
      </c>
      <c r="D89" s="253" t="str">
        <f t="shared" si="44"/>
        <v>D.18-05-040, D.19-11-017, D.19-09-006, D.20-12-029, D.22-08-024</v>
      </c>
      <c r="E89" s="253" t="str">
        <f t="shared" si="49"/>
        <v>D.18-05-040, D.19-11-017, D.19-09-006, D.20-12-029, D.22-08-024</v>
      </c>
      <c r="F89" s="253" t="str">
        <f t="shared" si="50"/>
        <v>D.18-05-040, D.19-11-017, D.19-09-006, D.20-12-029, D.22-08-024</v>
      </c>
      <c r="G89" s="253" t="str">
        <f t="shared" si="51"/>
        <v>D.18-05-040, D.19-11-017, D.19-09-006, D.20-12-029, D.22-08-024</v>
      </c>
      <c r="H89" s="253" t="s">
        <v>449</v>
      </c>
      <c r="I89" s="253" t="str">
        <f t="shared" si="45"/>
        <v>D.18-05-040, D.19-11-017, D.19-09-006, D.20-12-029, D.22-08-024</v>
      </c>
      <c r="J89" s="253" t="str">
        <f t="shared" si="37"/>
        <v>D.18-05-040, D.19-11-017, D.19-09-006, D.20-12-029, D.22-08-024</v>
      </c>
      <c r="K89" s="131">
        <v>47917.91</v>
      </c>
      <c r="L89" s="131">
        <f t="shared" si="46"/>
        <v>47917.91</v>
      </c>
      <c r="M89" s="131">
        <f t="shared" si="52"/>
        <v>47917.91</v>
      </c>
      <c r="N89" s="131">
        <f>M89</f>
        <v>47917.91</v>
      </c>
      <c r="O89" s="131">
        <f t="shared" si="54"/>
        <v>47917.91</v>
      </c>
      <c r="P89" s="131">
        <f t="shared" si="55"/>
        <v>47917.91</v>
      </c>
      <c r="Q89" s="131">
        <v>34990.182999999997</v>
      </c>
      <c r="R89" s="131">
        <f t="shared" si="47"/>
        <v>34990.182999999997</v>
      </c>
      <c r="S89" s="131">
        <f t="shared" si="42"/>
        <v>34990.182999999997</v>
      </c>
      <c r="T89" t="s">
        <v>5</v>
      </c>
      <c r="U89" t="str">
        <f t="shared" si="48"/>
        <v>N</v>
      </c>
    </row>
    <row r="90" spans="1:21">
      <c r="A90" t="s">
        <v>457</v>
      </c>
      <c r="B90" s="253" t="s">
        <v>451</v>
      </c>
      <c r="C90" s="253" t="str">
        <f t="shared" si="43"/>
        <v>Electric Preliminary Statement Part P</v>
      </c>
      <c r="D90" s="253" t="str">
        <f t="shared" si="44"/>
        <v>Electric Preliminary Statement Part P</v>
      </c>
      <c r="E90" s="253" t="str">
        <f t="shared" si="49"/>
        <v>Electric Preliminary Statement Part P</v>
      </c>
      <c r="F90" s="253" t="str">
        <f t="shared" si="50"/>
        <v>Electric Preliminary Statement Part P</v>
      </c>
      <c r="G90" s="253" t="str">
        <f t="shared" si="51"/>
        <v>Electric Preliminary Statement Part P</v>
      </c>
      <c r="H90" s="253" t="s">
        <v>451</v>
      </c>
      <c r="I90" s="253" t="str">
        <f t="shared" si="45"/>
        <v>Electric Preliminary Statement Part P</v>
      </c>
      <c r="J90" s="253" t="str">
        <f t="shared" si="37"/>
        <v>Electric Preliminary Statement Part P</v>
      </c>
      <c r="K90" s="131">
        <v>-46.218309490625607</v>
      </c>
      <c r="L90" s="131">
        <f t="shared" si="46"/>
        <v>-46.218309490625607</v>
      </c>
      <c r="M90" s="131">
        <f t="shared" si="52"/>
        <v>-46.218309490625607</v>
      </c>
      <c r="N90" s="131">
        <f t="shared" si="53"/>
        <v>-46.218309490625607</v>
      </c>
      <c r="O90" s="131">
        <f t="shared" si="54"/>
        <v>-46.218309490625607</v>
      </c>
      <c r="P90" s="131">
        <f t="shared" si="55"/>
        <v>-46.218309490625607</v>
      </c>
      <c r="Q90" s="131">
        <v>-36.373772596829554</v>
      </c>
      <c r="R90" s="131">
        <f t="shared" si="47"/>
        <v>-36.373772596829554</v>
      </c>
      <c r="S90" s="131">
        <f t="shared" si="42"/>
        <v>-36.373772596829554</v>
      </c>
      <c r="T90" t="s">
        <v>15</v>
      </c>
      <c r="U90" t="str">
        <f t="shared" si="48"/>
        <v>Y</v>
      </c>
    </row>
    <row r="91" spans="1:21">
      <c r="A91" s="253" t="s">
        <v>82</v>
      </c>
      <c r="B91" s="253" t="s">
        <v>448</v>
      </c>
      <c r="C91" s="253" t="str">
        <f t="shared" si="43"/>
        <v>n/a</v>
      </c>
      <c r="D91" s="253" t="str">
        <f t="shared" si="44"/>
        <v>n/a</v>
      </c>
      <c r="E91" s="253" t="str">
        <f t="shared" si="49"/>
        <v>n/a</v>
      </c>
      <c r="F91" s="253" t="str">
        <f t="shared" si="50"/>
        <v>n/a</v>
      </c>
      <c r="G91" s="253" t="str">
        <f t="shared" si="51"/>
        <v>n/a</v>
      </c>
      <c r="H91" s="253" t="s">
        <v>448</v>
      </c>
      <c r="I91" s="253" t="str">
        <f t="shared" si="45"/>
        <v>n/a</v>
      </c>
      <c r="J91" s="253" t="str">
        <f t="shared" si="37"/>
        <v>n/a</v>
      </c>
      <c r="K91" s="131">
        <v>0</v>
      </c>
      <c r="L91" s="131">
        <f t="shared" si="46"/>
        <v>0</v>
      </c>
      <c r="M91" s="131">
        <f t="shared" si="52"/>
        <v>0</v>
      </c>
      <c r="N91" s="131">
        <f t="shared" si="53"/>
        <v>0</v>
      </c>
      <c r="O91" s="131">
        <f t="shared" si="54"/>
        <v>0</v>
      </c>
      <c r="P91" s="131">
        <f t="shared" si="55"/>
        <v>0</v>
      </c>
      <c r="Q91" s="131">
        <f>P91</f>
        <v>0</v>
      </c>
      <c r="R91" s="131">
        <f t="shared" si="47"/>
        <v>0</v>
      </c>
      <c r="S91" s="131">
        <f t="shared" si="42"/>
        <v>0</v>
      </c>
      <c r="T91" t="s">
        <v>5</v>
      </c>
      <c r="U91" t="str">
        <f t="shared" si="48"/>
        <v>N</v>
      </c>
    </row>
    <row r="92" spans="1:21">
      <c r="A92" t="s">
        <v>83</v>
      </c>
      <c r="B92" s="253" t="s">
        <v>436</v>
      </c>
      <c r="C92" s="253" t="str">
        <f t="shared" si="43"/>
        <v>D.23-12-005</v>
      </c>
      <c r="D92" s="253" t="str">
        <f t="shared" si="44"/>
        <v>D.23-12-005</v>
      </c>
      <c r="E92" s="253" t="str">
        <f t="shared" si="49"/>
        <v>D.23-12-005</v>
      </c>
      <c r="F92" s="253" t="str">
        <f t="shared" si="50"/>
        <v>D.23-12-005</v>
      </c>
      <c r="G92" s="253" t="str">
        <f t="shared" si="51"/>
        <v>D.23-12-005</v>
      </c>
      <c r="H92" s="253" t="s">
        <v>436</v>
      </c>
      <c r="I92" s="253" t="str">
        <f t="shared" si="45"/>
        <v>D.23-12-005</v>
      </c>
      <c r="J92" s="253" t="str">
        <f t="shared" si="37"/>
        <v>D.23-12-005</v>
      </c>
      <c r="K92" s="131">
        <v>197658.95894499999</v>
      </c>
      <c r="L92" s="131">
        <f t="shared" si="46"/>
        <v>197658.95894499999</v>
      </c>
      <c r="M92" s="131">
        <f t="shared" si="52"/>
        <v>197658.95894499999</v>
      </c>
      <c r="N92" s="131">
        <f t="shared" si="53"/>
        <v>197658.95894499999</v>
      </c>
      <c r="O92" s="131">
        <f t="shared" si="54"/>
        <v>197658.95894499999</v>
      </c>
      <c r="P92" s="131">
        <f t="shared" si="55"/>
        <v>197658.95894499999</v>
      </c>
      <c r="Q92" s="131">
        <v>199909.92375999998</v>
      </c>
      <c r="R92" s="131">
        <f t="shared" si="47"/>
        <v>199909.92375999998</v>
      </c>
      <c r="S92" s="131">
        <f t="shared" si="42"/>
        <v>199909.92375999998</v>
      </c>
      <c r="T92" t="s">
        <v>5</v>
      </c>
      <c r="U92" t="str">
        <f t="shared" si="48"/>
        <v>N</v>
      </c>
    </row>
    <row r="93" spans="1:21">
      <c r="A93" s="255" t="s">
        <v>85</v>
      </c>
      <c r="B93" s="253" t="s">
        <v>448</v>
      </c>
      <c r="C93" s="253" t="str">
        <f t="shared" si="43"/>
        <v>n/a</v>
      </c>
      <c r="D93" s="253" t="str">
        <f t="shared" si="44"/>
        <v>n/a</v>
      </c>
      <c r="E93" s="253" t="str">
        <f t="shared" si="49"/>
        <v>n/a</v>
      </c>
      <c r="F93" s="253" t="str">
        <f t="shared" si="50"/>
        <v>n/a</v>
      </c>
      <c r="G93" s="253" t="str">
        <f t="shared" si="51"/>
        <v>n/a</v>
      </c>
      <c r="H93" s="253" t="s">
        <v>448</v>
      </c>
      <c r="I93" s="253" t="str">
        <f t="shared" si="45"/>
        <v>n/a</v>
      </c>
      <c r="J93" s="253" t="str">
        <f t="shared" si="37"/>
        <v>n/a</v>
      </c>
      <c r="K93" s="131"/>
      <c r="L93" s="131">
        <f t="shared" si="46"/>
        <v>0</v>
      </c>
      <c r="M93" s="131">
        <f t="shared" si="52"/>
        <v>0</v>
      </c>
      <c r="N93" s="131">
        <f t="shared" si="53"/>
        <v>0</v>
      </c>
      <c r="O93" s="131">
        <f t="shared" si="54"/>
        <v>0</v>
      </c>
      <c r="P93" s="131">
        <f t="shared" si="55"/>
        <v>0</v>
      </c>
      <c r="Q93" s="131">
        <f>P93</f>
        <v>0</v>
      </c>
      <c r="R93" s="131">
        <f t="shared" si="47"/>
        <v>0</v>
      </c>
      <c r="S93" s="131">
        <f t="shared" si="42"/>
        <v>0</v>
      </c>
      <c r="T93" t="s">
        <v>5</v>
      </c>
      <c r="U93" t="str">
        <f t="shared" si="48"/>
        <v>N</v>
      </c>
    </row>
    <row r="94" spans="1:21">
      <c r="A94" s="255" t="s">
        <v>99</v>
      </c>
      <c r="B94" s="253" t="s">
        <v>119</v>
      </c>
      <c r="C94" s="253" t="str">
        <f t="shared" si="43"/>
        <v>Preliminary Statement  DX</v>
      </c>
      <c r="D94" s="253" t="str">
        <f t="shared" si="44"/>
        <v>Preliminary Statement  DX</v>
      </c>
      <c r="E94" s="253" t="str">
        <f t="shared" si="49"/>
        <v>Preliminary Statement  DX</v>
      </c>
      <c r="F94" s="253" t="str">
        <f t="shared" si="50"/>
        <v>Preliminary Statement  DX</v>
      </c>
      <c r="G94" s="253" t="str">
        <f t="shared" si="51"/>
        <v>Preliminary Statement  DX</v>
      </c>
      <c r="H94" s="253" t="s">
        <v>119</v>
      </c>
      <c r="I94" s="253" t="str">
        <f t="shared" si="45"/>
        <v>Preliminary Statement  DX</v>
      </c>
      <c r="J94" s="253" t="str">
        <f t="shared" si="37"/>
        <v>Preliminary Statement  DX</v>
      </c>
      <c r="K94" s="131">
        <v>21093.030379826989</v>
      </c>
      <c r="L94" s="131">
        <f t="shared" si="46"/>
        <v>21093.030379826989</v>
      </c>
      <c r="M94" s="131">
        <f t="shared" si="52"/>
        <v>21093.030379826989</v>
      </c>
      <c r="N94" s="131">
        <f t="shared" si="53"/>
        <v>21093.030379826989</v>
      </c>
      <c r="O94" s="131">
        <f t="shared" si="54"/>
        <v>21093.030379826989</v>
      </c>
      <c r="P94" s="131">
        <f t="shared" si="55"/>
        <v>21093.030379826989</v>
      </c>
      <c r="Q94" s="131">
        <v>24656.102156482048</v>
      </c>
      <c r="R94" s="131">
        <f t="shared" si="47"/>
        <v>24656.102156482048</v>
      </c>
      <c r="S94" s="131">
        <f t="shared" si="42"/>
        <v>24656.102156482048</v>
      </c>
      <c r="T94" t="s">
        <v>5</v>
      </c>
      <c r="U94" t="str">
        <f t="shared" si="48"/>
        <v>Y</v>
      </c>
    </row>
    <row r="95" spans="1:21">
      <c r="A95" s="255" t="s">
        <v>100</v>
      </c>
      <c r="B95" s="253" t="s">
        <v>120</v>
      </c>
      <c r="C95" s="253" t="str">
        <f t="shared" si="43"/>
        <v>Preliminary Statement  EC</v>
      </c>
      <c r="D95" s="253" t="str">
        <f t="shared" si="44"/>
        <v>Preliminary Statement  EC</v>
      </c>
      <c r="E95" s="253" t="str">
        <f t="shared" si="49"/>
        <v>Preliminary Statement  EC</v>
      </c>
      <c r="F95" s="253" t="str">
        <f t="shared" si="50"/>
        <v>Preliminary Statement  EC</v>
      </c>
      <c r="G95" s="253" t="str">
        <f t="shared" si="51"/>
        <v>Preliminary Statement  EC</v>
      </c>
      <c r="H95" s="253" t="s">
        <v>120</v>
      </c>
      <c r="I95" s="253" t="str">
        <f t="shared" si="45"/>
        <v>Preliminary Statement  EC</v>
      </c>
      <c r="J95" s="253" t="str">
        <f t="shared" si="37"/>
        <v>Preliminary Statement  EC</v>
      </c>
      <c r="K95" s="131">
        <v>-24482.493747437147</v>
      </c>
      <c r="L95" s="131">
        <f t="shared" si="46"/>
        <v>-24482.493747437147</v>
      </c>
      <c r="M95" s="131">
        <f t="shared" si="52"/>
        <v>-24482.493747437147</v>
      </c>
      <c r="N95" s="131">
        <f t="shared" si="53"/>
        <v>-24482.493747437147</v>
      </c>
      <c r="O95" s="131">
        <f t="shared" si="54"/>
        <v>-24482.493747437147</v>
      </c>
      <c r="P95" s="131">
        <f t="shared" si="55"/>
        <v>-24482.493747437147</v>
      </c>
      <c r="Q95" s="131">
        <v>-315283.21310148668</v>
      </c>
      <c r="R95" s="131">
        <f t="shared" si="47"/>
        <v>-315283.21310148668</v>
      </c>
      <c r="S95" s="131">
        <f t="shared" si="42"/>
        <v>-315283.21310148668</v>
      </c>
      <c r="T95" t="s">
        <v>5</v>
      </c>
      <c r="U95" t="str">
        <f t="shared" si="48"/>
        <v>Y</v>
      </c>
    </row>
    <row r="96" spans="1:21">
      <c r="A96" s="255" t="s">
        <v>101</v>
      </c>
      <c r="B96" s="253" t="s">
        <v>121</v>
      </c>
      <c r="C96" s="253" t="str">
        <f t="shared" si="43"/>
        <v>Preliminary Statement  GH</v>
      </c>
      <c r="D96" s="253" t="str">
        <f t="shared" si="44"/>
        <v>Preliminary Statement  GH</v>
      </c>
      <c r="E96" s="253" t="str">
        <f t="shared" si="49"/>
        <v>Preliminary Statement  GH</v>
      </c>
      <c r="F96" s="253" t="str">
        <f t="shared" si="50"/>
        <v>Preliminary Statement  GH</v>
      </c>
      <c r="G96" s="253" t="str">
        <f t="shared" si="51"/>
        <v>Preliminary Statement  GH</v>
      </c>
      <c r="H96" s="253" t="s">
        <v>121</v>
      </c>
      <c r="I96" s="253" t="str">
        <f t="shared" si="45"/>
        <v>Preliminary Statement  GH</v>
      </c>
      <c r="J96" s="253" t="str">
        <f t="shared" si="37"/>
        <v>Preliminary Statement  GH</v>
      </c>
      <c r="K96" s="131">
        <v>17475.578426639702</v>
      </c>
      <c r="L96" s="131">
        <f t="shared" si="46"/>
        <v>17475.578426639702</v>
      </c>
      <c r="M96" s="131">
        <f t="shared" si="52"/>
        <v>17475.578426639702</v>
      </c>
      <c r="N96" s="131">
        <f t="shared" si="53"/>
        <v>17475.578426639702</v>
      </c>
      <c r="O96" s="131">
        <f t="shared" si="54"/>
        <v>17475.578426639702</v>
      </c>
      <c r="P96" s="131">
        <f t="shared" si="55"/>
        <v>17475.578426639702</v>
      </c>
      <c r="Q96" s="131">
        <v>21076.82873400523</v>
      </c>
      <c r="R96" s="131">
        <f t="shared" si="47"/>
        <v>21076.82873400523</v>
      </c>
      <c r="S96" s="131">
        <f t="shared" si="42"/>
        <v>21076.82873400523</v>
      </c>
      <c r="T96" t="s">
        <v>5</v>
      </c>
      <c r="U96" t="str">
        <f t="shared" si="48"/>
        <v>Y</v>
      </c>
    </row>
    <row r="97" spans="1:21">
      <c r="A97" s="255" t="s">
        <v>102</v>
      </c>
      <c r="B97" s="253" t="s">
        <v>122</v>
      </c>
      <c r="C97" s="253" t="str">
        <f t="shared" si="43"/>
        <v>Preliminary Statement  GJ</v>
      </c>
      <c r="D97" s="253" t="str">
        <f t="shared" si="44"/>
        <v>Preliminary Statement  GJ</v>
      </c>
      <c r="E97" s="253" t="str">
        <f t="shared" si="49"/>
        <v>Preliminary Statement  GJ</v>
      </c>
      <c r="F97" s="253" t="str">
        <f t="shared" si="50"/>
        <v>Preliminary Statement  GJ</v>
      </c>
      <c r="G97" s="253" t="str">
        <f t="shared" si="51"/>
        <v>Preliminary Statement  GJ</v>
      </c>
      <c r="H97" s="253" t="s">
        <v>122</v>
      </c>
      <c r="I97" s="253" t="str">
        <f t="shared" si="45"/>
        <v>Preliminary Statement  GJ</v>
      </c>
      <c r="J97" s="253" t="str">
        <f t="shared" si="37"/>
        <v>Preliminary Statement  GJ</v>
      </c>
      <c r="K97" s="131">
        <v>4352.2811917450099</v>
      </c>
      <c r="L97" s="131">
        <f t="shared" si="46"/>
        <v>4352.2811917450099</v>
      </c>
      <c r="M97" s="131">
        <f t="shared" si="52"/>
        <v>4352.2811917450099</v>
      </c>
      <c r="N97" s="131">
        <f t="shared" si="53"/>
        <v>4352.2811917450099</v>
      </c>
      <c r="O97" s="131">
        <f t="shared" si="54"/>
        <v>4352.2811917450099</v>
      </c>
      <c r="P97" s="131">
        <f t="shared" si="55"/>
        <v>4352.2811917450099</v>
      </c>
      <c r="Q97" s="131">
        <v>156914.37871788791</v>
      </c>
      <c r="R97" s="131">
        <f t="shared" si="47"/>
        <v>156914.37871788791</v>
      </c>
      <c r="S97" s="131">
        <f t="shared" si="42"/>
        <v>156914.37871788791</v>
      </c>
      <c r="T97" t="s">
        <v>5</v>
      </c>
      <c r="U97" t="str">
        <f t="shared" si="48"/>
        <v>Y</v>
      </c>
    </row>
    <row r="98" spans="1:21">
      <c r="A98" s="255" t="s">
        <v>324</v>
      </c>
      <c r="B98" s="253" t="s">
        <v>334</v>
      </c>
      <c r="C98" s="253" t="str">
        <f t="shared" si="43"/>
        <v>Preliminary Statement  IT</v>
      </c>
      <c r="D98" s="253" t="str">
        <f t="shared" si="44"/>
        <v>Preliminary Statement  IT</v>
      </c>
      <c r="E98" s="253" t="str">
        <f t="shared" si="49"/>
        <v>Preliminary Statement  IT</v>
      </c>
      <c r="F98" s="253" t="str">
        <f t="shared" si="50"/>
        <v>Preliminary Statement  IT</v>
      </c>
      <c r="G98" s="253" t="str">
        <f t="shared" si="51"/>
        <v>Preliminary Statement  IT</v>
      </c>
      <c r="H98" s="253" t="s">
        <v>334</v>
      </c>
      <c r="I98" s="253" t="str">
        <f t="shared" si="45"/>
        <v>Preliminary Statement  IT</v>
      </c>
      <c r="J98" s="253" t="str">
        <f t="shared" si="37"/>
        <v>Preliminary Statement  IT</v>
      </c>
      <c r="K98" s="131">
        <v>1403.786522239265</v>
      </c>
      <c r="L98" s="131">
        <f t="shared" si="46"/>
        <v>1403.786522239265</v>
      </c>
      <c r="M98" s="131">
        <f t="shared" si="52"/>
        <v>1403.786522239265</v>
      </c>
      <c r="N98" s="131">
        <f t="shared" si="53"/>
        <v>1403.786522239265</v>
      </c>
      <c r="O98" s="131">
        <f t="shared" si="54"/>
        <v>1403.786522239265</v>
      </c>
      <c r="P98" s="131">
        <f t="shared" si="55"/>
        <v>1403.786522239265</v>
      </c>
      <c r="Q98" s="131">
        <v>2934.0348173068191</v>
      </c>
      <c r="R98" s="131">
        <f t="shared" si="47"/>
        <v>2934.0348173068191</v>
      </c>
      <c r="S98" s="131">
        <f t="shared" si="42"/>
        <v>2934.0348173068191</v>
      </c>
      <c r="T98" t="s">
        <v>309</v>
      </c>
      <c r="U98" t="str">
        <f t="shared" si="48"/>
        <v>Y</v>
      </c>
    </row>
    <row r="99" spans="1:21">
      <c r="A99" s="255" t="s">
        <v>103</v>
      </c>
      <c r="B99" s="253" t="s">
        <v>123</v>
      </c>
      <c r="C99" s="253" t="str">
        <f t="shared" si="43"/>
        <v>Preliminary Statement  FD</v>
      </c>
      <c r="D99" s="253" t="str">
        <f t="shared" si="44"/>
        <v>Preliminary Statement  FD</v>
      </c>
      <c r="E99" s="253" t="str">
        <f t="shared" si="49"/>
        <v>Preliminary Statement  FD</v>
      </c>
      <c r="F99" s="253" t="str">
        <f t="shared" si="50"/>
        <v>Preliminary Statement  FD</v>
      </c>
      <c r="G99" s="253" t="str">
        <f t="shared" si="51"/>
        <v>Preliminary Statement  FD</v>
      </c>
      <c r="H99" s="253" t="s">
        <v>448</v>
      </c>
      <c r="I99" s="253" t="s">
        <v>448</v>
      </c>
      <c r="J99" s="253" t="str">
        <f t="shared" si="37"/>
        <v>n/a</v>
      </c>
      <c r="K99" s="131">
        <v>725.77802834094234</v>
      </c>
      <c r="L99" s="131">
        <f t="shared" si="46"/>
        <v>725.77802834094234</v>
      </c>
      <c r="M99" s="131">
        <f t="shared" si="52"/>
        <v>725.77802834094234</v>
      </c>
      <c r="N99" s="131">
        <f t="shared" si="53"/>
        <v>725.77802834094234</v>
      </c>
      <c r="O99" s="131">
        <f t="shared" si="54"/>
        <v>725.77802834094234</v>
      </c>
      <c r="P99" s="131">
        <f t="shared" si="55"/>
        <v>725.77802834094234</v>
      </c>
      <c r="Q99" s="131">
        <v>0</v>
      </c>
      <c r="R99" s="131">
        <f t="shared" si="47"/>
        <v>0</v>
      </c>
      <c r="S99" s="131">
        <f t="shared" si="42"/>
        <v>0</v>
      </c>
      <c r="T99" t="s">
        <v>5</v>
      </c>
      <c r="U99" t="str">
        <f t="shared" si="48"/>
        <v>Y</v>
      </c>
    </row>
    <row r="100" spans="1:21">
      <c r="A100" s="255" t="s">
        <v>105</v>
      </c>
      <c r="B100" s="253" t="s">
        <v>124</v>
      </c>
      <c r="C100" s="253" t="str">
        <f t="shared" si="43"/>
        <v>Preliminary Statement  DA</v>
      </c>
      <c r="D100" s="253" t="str">
        <f t="shared" si="44"/>
        <v>Preliminary Statement  DA</v>
      </c>
      <c r="E100" s="253" t="str">
        <f t="shared" si="49"/>
        <v>Preliminary Statement  DA</v>
      </c>
      <c r="F100" s="253" t="str">
        <f t="shared" si="50"/>
        <v>Preliminary Statement  DA</v>
      </c>
      <c r="G100" s="253" t="str">
        <f t="shared" si="51"/>
        <v>Preliminary Statement  DA</v>
      </c>
      <c r="H100" s="253" t="s">
        <v>124</v>
      </c>
      <c r="I100" s="253" t="str">
        <f t="shared" ref="I100:I125" si="56">H100</f>
        <v>Preliminary Statement  DA</v>
      </c>
      <c r="J100" s="253" t="str">
        <f t="shared" si="37"/>
        <v>Preliminary Statement  DA</v>
      </c>
      <c r="K100" s="131">
        <v>-72626.597559881964</v>
      </c>
      <c r="L100" s="131">
        <f t="shared" si="46"/>
        <v>-72626.597559881964</v>
      </c>
      <c r="M100" s="131">
        <f t="shared" si="52"/>
        <v>-72626.597559881964</v>
      </c>
      <c r="N100" s="131">
        <f t="shared" si="53"/>
        <v>-72626.597559881964</v>
      </c>
      <c r="O100" s="131">
        <f t="shared" si="54"/>
        <v>-72626.597559881964</v>
      </c>
      <c r="P100" s="131">
        <f t="shared" si="55"/>
        <v>-72626.597559881964</v>
      </c>
      <c r="Q100" s="131">
        <v>-81304.271410274727</v>
      </c>
      <c r="R100" s="131">
        <f t="shared" si="47"/>
        <v>-81304.271410274727</v>
      </c>
      <c r="S100" s="131">
        <f t="shared" si="42"/>
        <v>-81304.271410274727</v>
      </c>
      <c r="T100" t="s">
        <v>15</v>
      </c>
      <c r="U100" t="str">
        <f t="shared" si="48"/>
        <v>Y</v>
      </c>
    </row>
    <row r="101" spans="1:21">
      <c r="A101" s="255" t="s">
        <v>76</v>
      </c>
      <c r="B101" s="253" t="s">
        <v>289</v>
      </c>
      <c r="C101" s="253" t="str">
        <f t="shared" si="43"/>
        <v>D.21-06-015</v>
      </c>
      <c r="D101" s="253" t="str">
        <f t="shared" si="44"/>
        <v>D.21-06-015</v>
      </c>
      <c r="E101" s="253" t="str">
        <f t="shared" si="49"/>
        <v>D.21-06-015</v>
      </c>
      <c r="F101" s="253" t="str">
        <f t="shared" si="50"/>
        <v>D.21-06-015</v>
      </c>
      <c r="G101" s="253" t="str">
        <f t="shared" si="51"/>
        <v>D.21-06-015</v>
      </c>
      <c r="H101" s="253" t="s">
        <v>289</v>
      </c>
      <c r="I101" s="253" t="str">
        <f t="shared" si="56"/>
        <v>D.21-06-015</v>
      </c>
      <c r="J101" s="253" t="str">
        <f t="shared" si="37"/>
        <v>D.21-06-015</v>
      </c>
      <c r="K101" s="131">
        <v>11256.48</v>
      </c>
      <c r="L101" s="131">
        <f t="shared" si="46"/>
        <v>11256.48</v>
      </c>
      <c r="M101" s="131">
        <f t="shared" si="52"/>
        <v>11256.48</v>
      </c>
      <c r="N101" s="131">
        <f t="shared" si="53"/>
        <v>11256.48</v>
      </c>
      <c r="O101" s="131">
        <f t="shared" si="54"/>
        <v>11256.48</v>
      </c>
      <c r="P101" s="131">
        <f t="shared" si="55"/>
        <v>11256.48</v>
      </c>
      <c r="Q101" s="131">
        <v>11555.36</v>
      </c>
      <c r="R101" s="131">
        <f t="shared" si="47"/>
        <v>11555.36</v>
      </c>
      <c r="S101" s="131">
        <f t="shared" si="42"/>
        <v>11555.36</v>
      </c>
      <c r="T101" t="s">
        <v>15</v>
      </c>
      <c r="U101" t="str">
        <f t="shared" si="48"/>
        <v>N</v>
      </c>
    </row>
    <row r="102" spans="1:21">
      <c r="A102" s="255" t="s">
        <v>113</v>
      </c>
      <c r="B102" s="253" t="s">
        <v>126</v>
      </c>
      <c r="C102" s="253" t="str">
        <f t="shared" si="43"/>
        <v>Preliminary Statement  M</v>
      </c>
      <c r="D102" s="253" t="str">
        <f t="shared" si="44"/>
        <v>Preliminary Statement  M</v>
      </c>
      <c r="E102" s="253" t="str">
        <f t="shared" si="49"/>
        <v>Preliminary Statement  M</v>
      </c>
      <c r="F102" s="253" t="str">
        <f t="shared" si="50"/>
        <v>Preliminary Statement  M</v>
      </c>
      <c r="G102" s="253" t="str">
        <f t="shared" si="51"/>
        <v>Preliminary Statement  M</v>
      </c>
      <c r="H102" s="253" t="s">
        <v>126</v>
      </c>
      <c r="I102" s="253" t="str">
        <f t="shared" si="56"/>
        <v>Preliminary Statement  M</v>
      </c>
      <c r="J102" s="253" t="str">
        <f t="shared" si="37"/>
        <v>Preliminary Statement  M</v>
      </c>
      <c r="K102" s="131">
        <v>-23400.689924411905</v>
      </c>
      <c r="L102" s="131">
        <f t="shared" si="46"/>
        <v>-23400.689924411905</v>
      </c>
      <c r="M102" s="131">
        <f t="shared" si="52"/>
        <v>-23400.689924411905</v>
      </c>
      <c r="N102" s="131">
        <f t="shared" si="53"/>
        <v>-23400.689924411905</v>
      </c>
      <c r="O102" s="131">
        <f t="shared" si="54"/>
        <v>-23400.689924411905</v>
      </c>
      <c r="P102" s="131">
        <f t="shared" si="55"/>
        <v>-23400.689924411905</v>
      </c>
      <c r="Q102" s="131">
        <v>-245541.44209077329</v>
      </c>
      <c r="R102" s="131">
        <f t="shared" si="47"/>
        <v>-245541.44209077329</v>
      </c>
      <c r="S102" s="131">
        <f t="shared" si="42"/>
        <v>-245541.44209077329</v>
      </c>
      <c r="T102" t="s">
        <v>15</v>
      </c>
      <c r="U102" t="str">
        <f t="shared" si="48"/>
        <v>Y</v>
      </c>
    </row>
    <row r="103" spans="1:21">
      <c r="A103" s="255" t="s">
        <v>78</v>
      </c>
      <c r="B103" s="253" t="s">
        <v>335</v>
      </c>
      <c r="C103" s="253" t="str">
        <f t="shared" si="43"/>
        <v>D.20-08-042</v>
      </c>
      <c r="D103" s="253" t="str">
        <f t="shared" si="44"/>
        <v>D.20-08-042</v>
      </c>
      <c r="E103" s="253" t="str">
        <f t="shared" si="49"/>
        <v>D.20-08-042</v>
      </c>
      <c r="F103" s="253" t="str">
        <f t="shared" si="50"/>
        <v>D.20-08-042</v>
      </c>
      <c r="G103" s="253" t="str">
        <f t="shared" si="51"/>
        <v>D.20-08-042</v>
      </c>
      <c r="H103" s="253" t="s">
        <v>536</v>
      </c>
      <c r="I103" s="253" t="str">
        <f t="shared" si="56"/>
        <v>D.21-11-028</v>
      </c>
      <c r="J103" s="253" t="str">
        <f t="shared" si="37"/>
        <v>D.21-11-028</v>
      </c>
      <c r="K103" s="131">
        <v>93732.733949070069</v>
      </c>
      <c r="L103" s="131">
        <f t="shared" si="46"/>
        <v>93732.733949070069</v>
      </c>
      <c r="M103" s="131">
        <f t="shared" si="52"/>
        <v>93732.733949070069</v>
      </c>
      <c r="N103" s="131">
        <f t="shared" si="53"/>
        <v>93732.733949070069</v>
      </c>
      <c r="O103" s="131">
        <f t="shared" si="54"/>
        <v>93732.733949070069</v>
      </c>
      <c r="P103" s="131">
        <f t="shared" si="55"/>
        <v>93732.733949070069</v>
      </c>
      <c r="Q103" s="131">
        <v>93845.416200000007</v>
      </c>
      <c r="R103" s="131">
        <f t="shared" si="47"/>
        <v>93845.416200000007</v>
      </c>
      <c r="S103" s="131">
        <f t="shared" si="42"/>
        <v>93845.416200000007</v>
      </c>
      <c r="T103" t="s">
        <v>15</v>
      </c>
      <c r="U103" t="str">
        <f t="shared" si="48"/>
        <v>N</v>
      </c>
    </row>
    <row r="104" spans="1:21">
      <c r="A104" s="255" t="s">
        <v>112</v>
      </c>
      <c r="B104" s="253" t="s">
        <v>127</v>
      </c>
      <c r="C104" s="253" t="str">
        <f t="shared" si="43"/>
        <v>Preliminary Statement  FY</v>
      </c>
      <c r="D104" s="253" t="str">
        <f t="shared" si="44"/>
        <v>Preliminary Statement  FY</v>
      </c>
      <c r="E104" s="253" t="str">
        <f t="shared" si="49"/>
        <v>Preliminary Statement  FY</v>
      </c>
      <c r="F104" s="253" t="str">
        <f t="shared" si="50"/>
        <v>Preliminary Statement  FY</v>
      </c>
      <c r="G104" s="253" t="str">
        <f t="shared" si="51"/>
        <v>Preliminary Statement  FY</v>
      </c>
      <c r="H104" s="253" t="s">
        <v>538</v>
      </c>
      <c r="I104" s="253" t="str">
        <f t="shared" si="56"/>
        <v>Preliminary Statement FU</v>
      </c>
      <c r="J104" s="253" t="str">
        <f t="shared" si="37"/>
        <v>Preliminary Statement FU</v>
      </c>
      <c r="K104" s="131">
        <v>5947.9542270593756</v>
      </c>
      <c r="L104" s="131">
        <f t="shared" si="46"/>
        <v>5947.9542270593756</v>
      </c>
      <c r="M104" s="131">
        <f t="shared" si="52"/>
        <v>5947.9542270593756</v>
      </c>
      <c r="N104" s="131">
        <f t="shared" si="53"/>
        <v>5947.9542270593756</v>
      </c>
      <c r="O104" s="131">
        <f t="shared" si="54"/>
        <v>5947.9542270593756</v>
      </c>
      <c r="P104" s="131">
        <f t="shared" si="55"/>
        <v>5947.9542270593756</v>
      </c>
      <c r="Q104" s="131">
        <v>3938.1121905905447</v>
      </c>
      <c r="R104" s="131">
        <f t="shared" si="47"/>
        <v>3938.1121905905447</v>
      </c>
      <c r="S104" s="131">
        <f t="shared" si="42"/>
        <v>3938.1121905905447</v>
      </c>
      <c r="T104" t="s">
        <v>15</v>
      </c>
      <c r="U104" t="str">
        <f t="shared" si="48"/>
        <v>Y</v>
      </c>
    </row>
    <row r="105" spans="1:21">
      <c r="A105" t="s">
        <v>80</v>
      </c>
      <c r="B105" s="253" t="s">
        <v>289</v>
      </c>
      <c r="C105" s="253" t="str">
        <f t="shared" si="43"/>
        <v>D.21-06-015</v>
      </c>
      <c r="D105" s="253" t="str">
        <f t="shared" si="44"/>
        <v>D.21-06-015</v>
      </c>
      <c r="E105" s="253" t="str">
        <f t="shared" si="49"/>
        <v>D.21-06-015</v>
      </c>
      <c r="F105" s="253" t="str">
        <f t="shared" si="50"/>
        <v>D.21-06-015</v>
      </c>
      <c r="G105" s="253" t="str">
        <f t="shared" si="51"/>
        <v>D.21-06-015</v>
      </c>
      <c r="H105" s="253" t="s">
        <v>289</v>
      </c>
      <c r="I105" s="253" t="str">
        <f t="shared" si="56"/>
        <v>D.21-06-015</v>
      </c>
      <c r="J105" s="253" t="str">
        <f t="shared" si="37"/>
        <v>D.21-06-015</v>
      </c>
      <c r="K105" s="131">
        <v>91031.31</v>
      </c>
      <c r="L105" s="131">
        <f t="shared" si="46"/>
        <v>91031.31</v>
      </c>
      <c r="M105" s="131">
        <f t="shared" si="52"/>
        <v>91031.31</v>
      </c>
      <c r="N105" s="131">
        <f t="shared" si="53"/>
        <v>91031.31</v>
      </c>
      <c r="O105" s="131">
        <f t="shared" si="54"/>
        <v>91031.31</v>
      </c>
      <c r="P105" s="131">
        <f t="shared" si="55"/>
        <v>91031.31</v>
      </c>
      <c r="Q105" s="131">
        <v>90694.046000000002</v>
      </c>
      <c r="R105" s="131">
        <f t="shared" si="47"/>
        <v>90694.046000000002</v>
      </c>
      <c r="S105" s="131">
        <f t="shared" si="42"/>
        <v>90694.046000000002</v>
      </c>
      <c r="T105" t="s">
        <v>15</v>
      </c>
      <c r="U105" t="str">
        <f t="shared" si="48"/>
        <v>N</v>
      </c>
    </row>
    <row r="106" spans="1:21">
      <c r="A106" t="s">
        <v>427</v>
      </c>
      <c r="B106" s="253" t="s">
        <v>289</v>
      </c>
      <c r="C106" s="253" t="str">
        <f t="shared" si="43"/>
        <v>D.21-06-015</v>
      </c>
      <c r="D106" s="253" t="str">
        <f t="shared" si="44"/>
        <v>D.21-06-015</v>
      </c>
      <c r="E106" s="253" t="str">
        <f t="shared" si="49"/>
        <v>D.21-06-015</v>
      </c>
      <c r="F106" s="253" t="str">
        <f t="shared" si="50"/>
        <v>D.21-06-015</v>
      </c>
      <c r="G106" s="253" t="str">
        <f t="shared" si="51"/>
        <v>D.21-06-015</v>
      </c>
      <c r="H106" s="253" t="s">
        <v>289</v>
      </c>
      <c r="I106" s="253" t="str">
        <f t="shared" si="56"/>
        <v>D.21-06-015</v>
      </c>
      <c r="J106" s="253" t="str">
        <f t="shared" si="37"/>
        <v>D.21-06-015</v>
      </c>
      <c r="K106" s="131">
        <v>-26000</v>
      </c>
      <c r="L106" s="131">
        <f t="shared" si="46"/>
        <v>-26000</v>
      </c>
      <c r="M106" s="131">
        <f t="shared" si="52"/>
        <v>-26000</v>
      </c>
      <c r="N106" s="131">
        <f t="shared" si="53"/>
        <v>-26000</v>
      </c>
      <c r="O106" s="131">
        <f t="shared" si="54"/>
        <v>-26000</v>
      </c>
      <c r="P106" s="131">
        <f t="shared" si="55"/>
        <v>-26000</v>
      </c>
      <c r="Q106" s="131">
        <v>-8000</v>
      </c>
      <c r="R106" s="131">
        <f t="shared" si="47"/>
        <v>-8000</v>
      </c>
      <c r="S106" s="131">
        <f t="shared" si="42"/>
        <v>-8000</v>
      </c>
      <c r="T106" t="s">
        <v>15</v>
      </c>
      <c r="U106" t="str">
        <f t="shared" si="48"/>
        <v>N</v>
      </c>
    </row>
    <row r="107" spans="1:21">
      <c r="A107" t="s">
        <v>98</v>
      </c>
      <c r="B107" s="253" t="s">
        <v>428</v>
      </c>
      <c r="C107" s="253" t="str">
        <f t="shared" si="43"/>
        <v>D.23-06-055/ AL 7047-E</v>
      </c>
      <c r="D107" s="253" t="str">
        <f t="shared" si="44"/>
        <v>D.23-06-055/ AL 7047-E</v>
      </c>
      <c r="E107" s="253" t="str">
        <f t="shared" si="49"/>
        <v>D.23-06-055/ AL 7047-E</v>
      </c>
      <c r="F107" s="253" t="str">
        <f t="shared" si="50"/>
        <v>D.23-06-055/ AL 7047-E</v>
      </c>
      <c r="G107" s="253" t="str">
        <f t="shared" si="51"/>
        <v>D.23-06-055/ AL 7047-E</v>
      </c>
      <c r="H107" s="253" t="s">
        <v>428</v>
      </c>
      <c r="I107" s="253" t="str">
        <f t="shared" si="56"/>
        <v>D.23-06-055/ AL 7047-E</v>
      </c>
      <c r="J107" s="253" t="str">
        <f t="shared" si="37"/>
        <v>D.23-06-055/ AL 7047-E</v>
      </c>
      <c r="K107" s="131">
        <v>120736.87385986045</v>
      </c>
      <c r="L107" s="131">
        <f t="shared" si="46"/>
        <v>120736.87385986045</v>
      </c>
      <c r="M107" s="131">
        <f>L107</f>
        <v>120736.87385986045</v>
      </c>
      <c r="N107" s="131">
        <f t="shared" si="53"/>
        <v>120736.87385986045</v>
      </c>
      <c r="O107" s="131">
        <f t="shared" si="54"/>
        <v>120736.87385986045</v>
      </c>
      <c r="P107" s="131">
        <f t="shared" si="55"/>
        <v>120736.87385986045</v>
      </c>
      <c r="Q107" s="131">
        <v>120736.87385986045</v>
      </c>
      <c r="R107" s="131">
        <f t="shared" si="47"/>
        <v>120736.87385986045</v>
      </c>
      <c r="S107" s="131">
        <f t="shared" si="42"/>
        <v>120736.87385986045</v>
      </c>
      <c r="T107" t="s">
        <v>15</v>
      </c>
      <c r="U107" t="str">
        <f t="shared" si="48"/>
        <v>N</v>
      </c>
    </row>
    <row r="108" spans="1:21">
      <c r="A108" t="s">
        <v>97</v>
      </c>
      <c r="B108" s="253" t="s">
        <v>428</v>
      </c>
      <c r="C108" s="253" t="str">
        <f t="shared" si="43"/>
        <v>D.23-06-055/ AL 7047-E</v>
      </c>
      <c r="D108" s="253" t="str">
        <f>C108</f>
        <v>D.23-06-055/ AL 7047-E</v>
      </c>
      <c r="E108" s="253" t="str">
        <f t="shared" si="49"/>
        <v>D.23-06-055/ AL 7047-E</v>
      </c>
      <c r="F108" s="253" t="str">
        <f t="shared" si="50"/>
        <v>D.23-06-055/ AL 7047-E</v>
      </c>
      <c r="G108" s="253" t="str">
        <f t="shared" si="51"/>
        <v>D.23-06-055/ AL 7047-E</v>
      </c>
      <c r="H108" s="253" t="s">
        <v>428</v>
      </c>
      <c r="I108" s="253" t="str">
        <f t="shared" si="56"/>
        <v>D.23-06-055/ AL 7047-E</v>
      </c>
      <c r="J108" s="253" t="str">
        <f t="shared" si="37"/>
        <v>D.23-06-055/ AL 7047-E</v>
      </c>
      <c r="K108" s="131">
        <v>101774.14331982819</v>
      </c>
      <c r="L108" s="131">
        <f t="shared" si="46"/>
        <v>101774.14331982819</v>
      </c>
      <c r="M108" s="131" t="e">
        <f>#REF!/1000</f>
        <v>#REF!</v>
      </c>
      <c r="N108" s="131" t="e">
        <f t="shared" si="53"/>
        <v>#REF!</v>
      </c>
      <c r="O108" s="131" t="e">
        <f t="shared" si="54"/>
        <v>#REF!</v>
      </c>
      <c r="P108" s="131" t="e">
        <f t="shared" si="55"/>
        <v>#REF!</v>
      </c>
      <c r="Q108" s="131">
        <v>80748.492843931701</v>
      </c>
      <c r="R108" s="131">
        <f t="shared" si="47"/>
        <v>80748.492843931701</v>
      </c>
      <c r="S108" s="131">
        <f t="shared" si="42"/>
        <v>80748.492843931701</v>
      </c>
      <c r="T108" t="s">
        <v>15</v>
      </c>
      <c r="U108" t="str">
        <f t="shared" si="48"/>
        <v>N</v>
      </c>
    </row>
    <row r="109" spans="1:21">
      <c r="A109" t="s">
        <v>104</v>
      </c>
      <c r="B109" s="253" t="s">
        <v>125</v>
      </c>
      <c r="C109" s="253" t="str">
        <f t="shared" si="43"/>
        <v>Preliminary Statement  EF</v>
      </c>
      <c r="D109" s="253" t="str">
        <f>C109</f>
        <v>Preliminary Statement  EF</v>
      </c>
      <c r="E109" s="253" t="str">
        <f t="shared" si="49"/>
        <v>Preliminary Statement  EF</v>
      </c>
      <c r="F109" s="253" t="str">
        <f t="shared" si="50"/>
        <v>Preliminary Statement  EF</v>
      </c>
      <c r="G109" s="253" t="str">
        <f t="shared" si="51"/>
        <v>Preliminary Statement  EF</v>
      </c>
      <c r="H109" s="253" t="s">
        <v>125</v>
      </c>
      <c r="I109" s="253" t="str">
        <f t="shared" si="56"/>
        <v>Preliminary Statement  EF</v>
      </c>
      <c r="J109" s="253" t="str">
        <f t="shared" si="37"/>
        <v>Preliminary Statement  EF</v>
      </c>
      <c r="K109" s="131">
        <v>23844.558569363431</v>
      </c>
      <c r="L109" s="131">
        <f t="shared" si="46"/>
        <v>23844.558569363431</v>
      </c>
      <c r="M109" s="131">
        <f>L109</f>
        <v>23844.558569363431</v>
      </c>
      <c r="N109" s="131">
        <f t="shared" si="53"/>
        <v>23844.558569363431</v>
      </c>
      <c r="O109" s="131">
        <f t="shared" si="54"/>
        <v>23844.558569363431</v>
      </c>
      <c r="P109" s="131">
        <f t="shared" si="55"/>
        <v>23844.558569363431</v>
      </c>
      <c r="Q109" s="131">
        <v>-9535.0830968026366</v>
      </c>
      <c r="R109" s="131">
        <f t="shared" si="47"/>
        <v>-9535.0830968026366</v>
      </c>
      <c r="S109" s="131">
        <f t="shared" si="42"/>
        <v>-9535.0830968026366</v>
      </c>
      <c r="T109" t="s">
        <v>15</v>
      </c>
      <c r="U109" t="str">
        <f t="shared" si="48"/>
        <v>Y</v>
      </c>
    </row>
    <row r="110" spans="1:21">
      <c r="A110" s="253" t="s">
        <v>326</v>
      </c>
      <c r="B110" s="253" t="s">
        <v>429</v>
      </c>
      <c r="C110" s="253" t="str">
        <f t="shared" si="43"/>
        <v>D.19-12-021, AL 4674-G/6747-E /AL RI-CalMTA-2</v>
      </c>
      <c r="D110" s="253" t="str">
        <f>C110</f>
        <v>D.19-12-021, AL 4674-G/6747-E /AL RI-CalMTA-2</v>
      </c>
      <c r="E110" s="253" t="str">
        <f t="shared" si="49"/>
        <v>D.19-12-021, AL 4674-G/6747-E /AL RI-CalMTA-2</v>
      </c>
      <c r="F110" s="253" t="str">
        <f t="shared" si="50"/>
        <v>D.19-12-021, AL 4674-G/6747-E /AL RI-CalMTA-2</v>
      </c>
      <c r="G110" s="253" t="str">
        <f t="shared" si="51"/>
        <v>D.19-12-021, AL 4674-G/6747-E /AL RI-CalMTA-2</v>
      </c>
      <c r="H110" s="253" t="s">
        <v>562</v>
      </c>
      <c r="I110" s="253" t="str">
        <f t="shared" si="56"/>
        <v>D.19-12-021 / Advice RI-CalMTA-3</v>
      </c>
      <c r="J110" s="253" t="str">
        <f t="shared" si="37"/>
        <v>D.19-12-021 / Advice RI-CalMTA-3</v>
      </c>
      <c r="K110" s="131">
        <v>0</v>
      </c>
      <c r="L110" s="131">
        <f t="shared" si="46"/>
        <v>0</v>
      </c>
      <c r="M110" s="131" t="e">
        <f>#REF!/1000</f>
        <v>#REF!</v>
      </c>
      <c r="N110" s="131" t="e">
        <f>M110</f>
        <v>#REF!</v>
      </c>
      <c r="O110" s="131" t="e">
        <f t="shared" si="54"/>
        <v>#REF!</v>
      </c>
      <c r="P110" s="131" t="e">
        <f t="shared" si="55"/>
        <v>#REF!</v>
      </c>
      <c r="Q110" s="131">
        <v>7223.7226880000017</v>
      </c>
      <c r="R110" s="131">
        <f t="shared" si="47"/>
        <v>7223.7226880000017</v>
      </c>
      <c r="S110" s="131">
        <f t="shared" si="42"/>
        <v>7223.7226880000017</v>
      </c>
      <c r="T110" t="s">
        <v>15</v>
      </c>
      <c r="U110" t="str">
        <f t="shared" si="48"/>
        <v>N</v>
      </c>
    </row>
    <row r="111" spans="1:21">
      <c r="A111" s="253" t="s">
        <v>84</v>
      </c>
      <c r="B111" s="253" t="s">
        <v>448</v>
      </c>
      <c r="C111" s="253" t="str">
        <f t="shared" si="43"/>
        <v>n/a</v>
      </c>
      <c r="D111" s="253" t="str">
        <f t="shared" ref="D111:D126" si="57">C111</f>
        <v>n/a</v>
      </c>
      <c r="E111" s="253" t="str">
        <f t="shared" si="49"/>
        <v>n/a</v>
      </c>
      <c r="F111" s="253" t="str">
        <f t="shared" si="50"/>
        <v>n/a</v>
      </c>
      <c r="G111" s="253" t="str">
        <f t="shared" si="51"/>
        <v>n/a</v>
      </c>
      <c r="H111" s="253" t="s">
        <v>448</v>
      </c>
      <c r="I111" s="253" t="str">
        <f t="shared" si="56"/>
        <v>n/a</v>
      </c>
      <c r="J111" s="253" t="str">
        <f t="shared" si="37"/>
        <v>n/a</v>
      </c>
      <c r="K111" s="131">
        <v>0</v>
      </c>
      <c r="L111" s="131">
        <f t="shared" si="46"/>
        <v>0</v>
      </c>
      <c r="M111" s="131">
        <f>L111</f>
        <v>0</v>
      </c>
      <c r="N111" s="131">
        <v>0</v>
      </c>
      <c r="O111" s="131">
        <f t="shared" si="54"/>
        <v>0</v>
      </c>
      <c r="P111" s="131">
        <f t="shared" si="55"/>
        <v>0</v>
      </c>
      <c r="Q111" s="131">
        <f>P111</f>
        <v>0</v>
      </c>
      <c r="R111" s="131">
        <f t="shared" si="47"/>
        <v>0</v>
      </c>
      <c r="S111" s="131">
        <f t="shared" si="42"/>
        <v>0</v>
      </c>
      <c r="T111" t="s">
        <v>5</v>
      </c>
      <c r="U111" t="str">
        <f t="shared" si="48"/>
        <v>N</v>
      </c>
    </row>
    <row r="112" spans="1:21">
      <c r="A112" t="s">
        <v>79</v>
      </c>
      <c r="B112" s="253" t="s">
        <v>448</v>
      </c>
      <c r="C112" s="253" t="str">
        <f t="shared" si="43"/>
        <v>n/a</v>
      </c>
      <c r="D112" s="253" t="str">
        <f t="shared" si="57"/>
        <v>n/a</v>
      </c>
      <c r="E112" s="253" t="str">
        <f t="shared" si="49"/>
        <v>n/a</v>
      </c>
      <c r="F112" s="253" t="str">
        <f t="shared" si="50"/>
        <v>n/a</v>
      </c>
      <c r="G112" s="253" t="str">
        <f t="shared" si="51"/>
        <v>n/a</v>
      </c>
      <c r="H112" s="253" t="s">
        <v>448</v>
      </c>
      <c r="I112" s="253" t="str">
        <f t="shared" si="56"/>
        <v>n/a</v>
      </c>
      <c r="J112" s="253" t="str">
        <f t="shared" si="37"/>
        <v>n/a</v>
      </c>
      <c r="K112" s="131">
        <v>0</v>
      </c>
      <c r="L112" s="131">
        <f t="shared" si="46"/>
        <v>0</v>
      </c>
      <c r="M112" s="131">
        <f t="shared" ref="M112:M126" si="58">L112</f>
        <v>0</v>
      </c>
      <c r="N112" s="131">
        <f t="shared" si="53"/>
        <v>0</v>
      </c>
      <c r="O112" s="131">
        <f t="shared" si="54"/>
        <v>0</v>
      </c>
      <c r="P112" s="131">
        <f t="shared" si="55"/>
        <v>0</v>
      </c>
      <c r="Q112" s="131">
        <f>P112</f>
        <v>0</v>
      </c>
      <c r="R112" s="131">
        <f t="shared" si="47"/>
        <v>0</v>
      </c>
      <c r="S112" s="131">
        <f t="shared" si="42"/>
        <v>0</v>
      </c>
      <c r="T112" t="s">
        <v>5</v>
      </c>
      <c r="U112" t="str">
        <f t="shared" si="48"/>
        <v>N</v>
      </c>
    </row>
    <row r="113" spans="1:21">
      <c r="A113" t="s">
        <v>219</v>
      </c>
      <c r="B113" t="s">
        <v>448</v>
      </c>
      <c r="C113" s="253" t="str">
        <f t="shared" si="43"/>
        <v>n/a</v>
      </c>
      <c r="D113" s="253" t="str">
        <f t="shared" si="57"/>
        <v>n/a</v>
      </c>
      <c r="E113" s="253" t="str">
        <f t="shared" si="49"/>
        <v>n/a</v>
      </c>
      <c r="F113" s="253" t="str">
        <f t="shared" si="50"/>
        <v>n/a</v>
      </c>
      <c r="G113" s="253" t="str">
        <f t="shared" si="51"/>
        <v>n/a</v>
      </c>
      <c r="H113" s="253" t="s">
        <v>448</v>
      </c>
      <c r="I113" s="253" t="str">
        <f t="shared" si="56"/>
        <v>n/a</v>
      </c>
      <c r="J113" s="253" t="str">
        <f t="shared" si="37"/>
        <v>n/a</v>
      </c>
      <c r="K113" s="131">
        <v>0</v>
      </c>
      <c r="L113" s="131">
        <f t="shared" si="46"/>
        <v>0</v>
      </c>
      <c r="M113" s="131">
        <f t="shared" si="58"/>
        <v>0</v>
      </c>
      <c r="N113" s="131">
        <f t="shared" si="53"/>
        <v>0</v>
      </c>
      <c r="O113" s="131">
        <f t="shared" si="54"/>
        <v>0</v>
      </c>
      <c r="P113" s="131">
        <f t="shared" si="55"/>
        <v>0</v>
      </c>
      <c r="Q113" s="131">
        <f>P113</f>
        <v>0</v>
      </c>
      <c r="R113" s="131">
        <f t="shared" si="47"/>
        <v>0</v>
      </c>
      <c r="S113" s="131">
        <f t="shared" si="42"/>
        <v>0</v>
      </c>
      <c r="T113" t="s">
        <v>15</v>
      </c>
      <c r="U113" t="str">
        <f t="shared" si="48"/>
        <v>N</v>
      </c>
    </row>
    <row r="114" spans="1:21">
      <c r="A114" s="253" t="s">
        <v>81</v>
      </c>
      <c r="B114" s="253" t="s">
        <v>437</v>
      </c>
      <c r="C114" s="253" t="str">
        <f t="shared" si="43"/>
        <v>D.23-12-022</v>
      </c>
      <c r="D114" s="253" t="str">
        <f t="shared" si="57"/>
        <v>D.23-12-022</v>
      </c>
      <c r="E114" s="253" t="str">
        <f t="shared" si="49"/>
        <v>D.23-12-022</v>
      </c>
      <c r="F114" s="253" t="str">
        <f t="shared" si="50"/>
        <v>D.23-12-022</v>
      </c>
      <c r="G114" s="253" t="str">
        <f t="shared" si="51"/>
        <v>D.23-12-022</v>
      </c>
      <c r="H114" s="253" t="s">
        <v>580</v>
      </c>
      <c r="I114" s="253" t="str">
        <f t="shared" si="56"/>
        <v>D.24-12-038</v>
      </c>
      <c r="J114" s="253" t="str">
        <f t="shared" si="37"/>
        <v>D.24-12-038</v>
      </c>
      <c r="K114" s="131">
        <v>23165.271583381906</v>
      </c>
      <c r="L114" s="131">
        <f t="shared" si="46"/>
        <v>23165.271583381906</v>
      </c>
      <c r="M114" s="131">
        <f t="shared" si="58"/>
        <v>23165.271583381906</v>
      </c>
      <c r="N114" s="131">
        <f t="shared" si="53"/>
        <v>23165.271583381906</v>
      </c>
      <c r="O114" s="131">
        <f t="shared" si="54"/>
        <v>23165.271583381906</v>
      </c>
      <c r="P114" s="131">
        <f t="shared" si="55"/>
        <v>23165.271583381906</v>
      </c>
      <c r="Q114" s="131">
        <v>35334.052496252858</v>
      </c>
      <c r="R114" s="131">
        <f t="shared" si="47"/>
        <v>35334.052496252858</v>
      </c>
      <c r="S114" s="131">
        <f t="shared" si="42"/>
        <v>35334.052496252858</v>
      </c>
      <c r="T114" t="s">
        <v>15</v>
      </c>
      <c r="U114" t="str">
        <f t="shared" si="48"/>
        <v>N</v>
      </c>
    </row>
    <row r="115" spans="1:21">
      <c r="A115" s="253" t="s">
        <v>217</v>
      </c>
      <c r="B115" s="253" t="s">
        <v>437</v>
      </c>
      <c r="C115" s="253" t="str">
        <f t="shared" si="43"/>
        <v>D.23-12-022</v>
      </c>
      <c r="D115" s="253" t="str">
        <f t="shared" si="57"/>
        <v>D.23-12-022</v>
      </c>
      <c r="E115" s="253" t="str">
        <f t="shared" si="49"/>
        <v>D.23-12-022</v>
      </c>
      <c r="F115" s="253" t="str">
        <f t="shared" si="50"/>
        <v>D.23-12-022</v>
      </c>
      <c r="G115" s="253" t="str">
        <f t="shared" si="51"/>
        <v>D.23-12-022</v>
      </c>
      <c r="H115" s="253" t="s">
        <v>580</v>
      </c>
      <c r="I115" s="253" t="str">
        <f t="shared" si="56"/>
        <v>D.24-12-038</v>
      </c>
      <c r="J115" s="253" t="str">
        <f t="shared" si="37"/>
        <v>D.24-12-038</v>
      </c>
      <c r="K115" s="131">
        <v>-2834.5456409490394</v>
      </c>
      <c r="L115" s="131">
        <f t="shared" si="46"/>
        <v>-2834.5456409490394</v>
      </c>
      <c r="M115" s="131">
        <f t="shared" si="58"/>
        <v>-2834.5456409490394</v>
      </c>
      <c r="N115" s="131">
        <f t="shared" si="53"/>
        <v>-2834.5456409490394</v>
      </c>
      <c r="O115" s="131">
        <f t="shared" si="54"/>
        <v>-2834.5456409490394</v>
      </c>
      <c r="P115" s="131">
        <f t="shared" si="55"/>
        <v>-2834.5456409490394</v>
      </c>
      <c r="Q115" s="131">
        <v>11673.648148556433</v>
      </c>
      <c r="R115" s="131">
        <f t="shared" si="47"/>
        <v>11673.648148556433</v>
      </c>
      <c r="S115" s="131">
        <f t="shared" si="42"/>
        <v>11673.648148556433</v>
      </c>
      <c r="T115" t="s">
        <v>15</v>
      </c>
      <c r="U115" t="str">
        <f t="shared" si="48"/>
        <v>Y</v>
      </c>
    </row>
    <row r="116" spans="1:21">
      <c r="A116" s="253" t="s">
        <v>431</v>
      </c>
      <c r="B116" s="253" t="s">
        <v>432</v>
      </c>
      <c r="C116" s="253" t="str">
        <f t="shared" si="43"/>
        <v>AL 7028-E</v>
      </c>
      <c r="D116" s="253" t="str">
        <f t="shared" si="57"/>
        <v>AL 7028-E</v>
      </c>
      <c r="E116" s="253" t="str">
        <f t="shared" si="49"/>
        <v>AL 7028-E</v>
      </c>
      <c r="F116" s="253" t="str">
        <f t="shared" si="50"/>
        <v>AL 7028-E</v>
      </c>
      <c r="G116" s="253" t="str">
        <f t="shared" si="51"/>
        <v>AL 7028-E</v>
      </c>
      <c r="H116" s="253" t="s">
        <v>563</v>
      </c>
      <c r="I116" s="253" t="str">
        <f t="shared" si="56"/>
        <v>Electric Preliminary Statement Part EO</v>
      </c>
      <c r="J116" s="253" t="str">
        <f t="shared" si="37"/>
        <v>Electric Preliminary Statement Part EO</v>
      </c>
      <c r="K116" s="131">
        <v>-54219.768369999998</v>
      </c>
      <c r="L116" s="131">
        <f t="shared" si="46"/>
        <v>-54219.768369999998</v>
      </c>
      <c r="M116" s="131">
        <f t="shared" si="58"/>
        <v>-54219.768369999998</v>
      </c>
      <c r="N116" s="131">
        <f t="shared" si="53"/>
        <v>-54219.768369999998</v>
      </c>
      <c r="O116" s="131">
        <f t="shared" si="54"/>
        <v>-54219.768369999998</v>
      </c>
      <c r="P116" s="131">
        <f t="shared" si="55"/>
        <v>-54219.768369999998</v>
      </c>
      <c r="Q116" s="131">
        <v>-9.3181304332000003</v>
      </c>
      <c r="R116" s="131">
        <f t="shared" si="47"/>
        <v>-9.3181304332000003</v>
      </c>
      <c r="S116" s="131">
        <f t="shared" si="42"/>
        <v>-9.3181304332000003</v>
      </c>
      <c r="T116" t="s">
        <v>15</v>
      </c>
      <c r="U116" t="str">
        <f t="shared" si="48"/>
        <v>Y</v>
      </c>
    </row>
    <row r="117" spans="1:21">
      <c r="A117" s="255" t="s">
        <v>433</v>
      </c>
      <c r="B117" s="253" t="s">
        <v>446</v>
      </c>
      <c r="C117" s="253" t="str">
        <f t="shared" si="43"/>
        <v>Electric Preliminary Statement Part JM</v>
      </c>
      <c r="D117" s="253" t="str">
        <f t="shared" si="57"/>
        <v>Electric Preliminary Statement Part JM</v>
      </c>
      <c r="E117" s="253" t="str">
        <f t="shared" si="49"/>
        <v>Electric Preliminary Statement Part JM</v>
      </c>
      <c r="F117" s="253" t="str">
        <f t="shared" si="50"/>
        <v>Electric Preliminary Statement Part JM</v>
      </c>
      <c r="G117" s="253" t="str">
        <f t="shared" si="51"/>
        <v>Electric Preliminary Statement Part JM</v>
      </c>
      <c r="H117" s="253" t="s">
        <v>446</v>
      </c>
      <c r="I117" s="253" t="str">
        <f t="shared" si="56"/>
        <v>Electric Preliminary Statement Part JM</v>
      </c>
      <c r="J117" s="253" t="str">
        <f t="shared" si="37"/>
        <v>Electric Preliminary Statement Part JM</v>
      </c>
      <c r="K117" s="131">
        <v>2856.617214959273</v>
      </c>
      <c r="L117" s="131">
        <f t="shared" si="46"/>
        <v>2856.617214959273</v>
      </c>
      <c r="M117" s="131">
        <f t="shared" si="58"/>
        <v>2856.617214959273</v>
      </c>
      <c r="N117" s="131">
        <f t="shared" si="53"/>
        <v>2856.617214959273</v>
      </c>
      <c r="O117" s="131">
        <f t="shared" si="54"/>
        <v>2856.617214959273</v>
      </c>
      <c r="P117" s="131">
        <f t="shared" si="55"/>
        <v>2856.617214959273</v>
      </c>
      <c r="Q117" s="131">
        <v>3954.6354430379315</v>
      </c>
      <c r="R117" s="131">
        <f t="shared" si="47"/>
        <v>3954.6354430379315</v>
      </c>
      <c r="S117" s="131">
        <f t="shared" si="42"/>
        <v>3954.6354430379315</v>
      </c>
      <c r="T117" t="s">
        <v>15</v>
      </c>
      <c r="U117" t="str">
        <f t="shared" si="48"/>
        <v>Y</v>
      </c>
    </row>
    <row r="118" spans="1:21">
      <c r="A118" s="255" t="s">
        <v>296</v>
      </c>
      <c r="B118" s="253" t="s">
        <v>447</v>
      </c>
      <c r="C118" s="253" t="str">
        <f t="shared" si="43"/>
        <v>Electric Preliminary Statement Part IM</v>
      </c>
      <c r="D118" s="253" t="str">
        <f t="shared" si="57"/>
        <v>Electric Preliminary Statement Part IM</v>
      </c>
      <c r="E118" s="253" t="str">
        <f t="shared" si="49"/>
        <v>Electric Preliminary Statement Part IM</v>
      </c>
      <c r="F118" s="253" t="str">
        <f t="shared" si="50"/>
        <v>Electric Preliminary Statement Part IM</v>
      </c>
      <c r="G118" s="253" t="str">
        <f t="shared" si="51"/>
        <v>Electric Preliminary Statement Part IM</v>
      </c>
      <c r="H118" s="253" t="s">
        <v>447</v>
      </c>
      <c r="I118" s="253" t="str">
        <f t="shared" si="56"/>
        <v>Electric Preliminary Statement Part IM</v>
      </c>
      <c r="J118" s="253" t="str">
        <f t="shared" si="37"/>
        <v>Electric Preliminary Statement Part IM</v>
      </c>
      <c r="K118" s="131">
        <v>282433.59691895678</v>
      </c>
      <c r="L118" s="131">
        <f t="shared" si="46"/>
        <v>282433.59691895678</v>
      </c>
      <c r="M118" s="131">
        <f t="shared" si="58"/>
        <v>282433.59691895678</v>
      </c>
      <c r="N118" s="131">
        <f t="shared" si="53"/>
        <v>282433.59691895678</v>
      </c>
      <c r="O118" s="131">
        <f t="shared" si="54"/>
        <v>282433.59691895678</v>
      </c>
      <c r="P118" s="131">
        <f t="shared" si="55"/>
        <v>282433.59691895678</v>
      </c>
      <c r="Q118" s="131">
        <v>182850.99519907762</v>
      </c>
      <c r="R118" s="131">
        <f t="shared" si="47"/>
        <v>182850.99519907762</v>
      </c>
      <c r="S118" s="131">
        <f t="shared" si="42"/>
        <v>182850.99519907762</v>
      </c>
      <c r="T118" t="s">
        <v>15</v>
      </c>
      <c r="U118" t="str">
        <f t="shared" si="48"/>
        <v>Y</v>
      </c>
    </row>
    <row r="119" spans="1:21">
      <c r="A119" s="255" t="s">
        <v>291</v>
      </c>
      <c r="B119" s="253" t="s">
        <v>437</v>
      </c>
      <c r="C119" s="253" t="str">
        <f t="shared" si="43"/>
        <v>D.23-12-022</v>
      </c>
      <c r="D119" s="253" t="str">
        <f t="shared" si="57"/>
        <v>D.23-12-022</v>
      </c>
      <c r="E119" s="253" t="str">
        <f t="shared" si="49"/>
        <v>D.23-12-022</v>
      </c>
      <c r="F119" s="253" t="str">
        <f t="shared" si="50"/>
        <v>D.23-12-022</v>
      </c>
      <c r="G119" s="253" t="str">
        <f t="shared" si="51"/>
        <v>D.23-12-022</v>
      </c>
      <c r="H119" s="253" t="s">
        <v>580</v>
      </c>
      <c r="I119" s="253" t="str">
        <f t="shared" si="56"/>
        <v>D.24-12-038</v>
      </c>
      <c r="J119" s="253" t="str">
        <f t="shared" si="37"/>
        <v>D.24-12-038</v>
      </c>
      <c r="K119" s="131">
        <v>14061.230709652091</v>
      </c>
      <c r="L119" s="131">
        <f t="shared" si="46"/>
        <v>14061.230709652091</v>
      </c>
      <c r="M119" s="131">
        <f t="shared" si="58"/>
        <v>14061.230709652091</v>
      </c>
      <c r="N119" s="131">
        <f t="shared" si="53"/>
        <v>14061.230709652091</v>
      </c>
      <c r="O119" s="131">
        <f t="shared" si="54"/>
        <v>14061.230709652091</v>
      </c>
      <c r="P119" s="131">
        <f t="shared" si="55"/>
        <v>14061.230709652091</v>
      </c>
      <c r="Q119" s="131">
        <v>3567.3432714293558</v>
      </c>
      <c r="R119" s="131">
        <f t="shared" si="47"/>
        <v>3567.3432714293558</v>
      </c>
      <c r="S119" s="131">
        <f t="shared" si="42"/>
        <v>3567.3432714293558</v>
      </c>
      <c r="T119" t="s">
        <v>15</v>
      </c>
      <c r="U119" t="str">
        <f t="shared" si="48"/>
        <v>N</v>
      </c>
    </row>
    <row r="120" spans="1:21">
      <c r="A120" s="255" t="s">
        <v>292</v>
      </c>
      <c r="B120" s="253" t="s">
        <v>444</v>
      </c>
      <c r="C120" s="253" t="str">
        <f t="shared" si="43"/>
        <v>Electric Preliminary Statement Part IJ</v>
      </c>
      <c r="D120" s="253" t="str">
        <f t="shared" si="57"/>
        <v>Electric Preliminary Statement Part IJ</v>
      </c>
      <c r="E120" s="253" t="str">
        <f t="shared" si="49"/>
        <v>Electric Preliminary Statement Part IJ</v>
      </c>
      <c r="F120" s="253" t="str">
        <f t="shared" si="50"/>
        <v>Electric Preliminary Statement Part IJ</v>
      </c>
      <c r="G120" s="253" t="str">
        <f t="shared" si="51"/>
        <v>Electric Preliminary Statement Part IJ</v>
      </c>
      <c r="H120" s="253" t="s">
        <v>444</v>
      </c>
      <c r="I120" s="253" t="str">
        <f t="shared" si="56"/>
        <v>Electric Preliminary Statement Part IJ</v>
      </c>
      <c r="J120" s="253" t="str">
        <f t="shared" si="37"/>
        <v>Electric Preliminary Statement Part IJ</v>
      </c>
      <c r="K120" s="131">
        <v>-7066.9374676668658</v>
      </c>
      <c r="L120" s="131">
        <f t="shared" si="46"/>
        <v>-7066.9374676668658</v>
      </c>
      <c r="M120" s="131">
        <f t="shared" si="58"/>
        <v>-7066.9374676668658</v>
      </c>
      <c r="N120" s="131">
        <f t="shared" si="53"/>
        <v>-7066.9374676668658</v>
      </c>
      <c r="O120" s="131">
        <f t="shared" si="54"/>
        <v>-7066.9374676668658</v>
      </c>
      <c r="P120" s="131">
        <f t="shared" si="55"/>
        <v>-7066.9374676668658</v>
      </c>
      <c r="Q120" s="131">
        <v>-7539.0974332761898</v>
      </c>
      <c r="R120" s="131">
        <f t="shared" si="47"/>
        <v>-7539.0974332761898</v>
      </c>
      <c r="S120" s="131">
        <f t="shared" si="42"/>
        <v>-7539.0974332761898</v>
      </c>
      <c r="T120" t="s">
        <v>15</v>
      </c>
      <c r="U120" t="str">
        <f t="shared" si="48"/>
        <v>Y</v>
      </c>
    </row>
    <row r="121" spans="1:21">
      <c r="A121" s="255" t="s">
        <v>293</v>
      </c>
      <c r="B121" s="253" t="s">
        <v>437</v>
      </c>
      <c r="C121" s="253" t="str">
        <f t="shared" si="43"/>
        <v>D.23-12-022</v>
      </c>
      <c r="D121" s="253" t="str">
        <f t="shared" si="57"/>
        <v>D.23-12-022</v>
      </c>
      <c r="E121" s="253" t="str">
        <f t="shared" si="49"/>
        <v>D.23-12-022</v>
      </c>
      <c r="F121" s="253" t="str">
        <f t="shared" si="50"/>
        <v>D.23-12-022</v>
      </c>
      <c r="G121" s="253" t="str">
        <f t="shared" si="51"/>
        <v>D.23-12-022</v>
      </c>
      <c r="H121" s="253" t="s">
        <v>580</v>
      </c>
      <c r="I121" s="253" t="str">
        <f t="shared" si="56"/>
        <v>D.24-12-038</v>
      </c>
      <c r="J121" s="253" t="str">
        <f t="shared" si="37"/>
        <v>D.24-12-038</v>
      </c>
      <c r="K121" s="131">
        <v>-475.83281547354295</v>
      </c>
      <c r="L121" s="131">
        <f t="shared" si="46"/>
        <v>-475.83281547354295</v>
      </c>
      <c r="M121" s="131">
        <f t="shared" si="58"/>
        <v>-475.83281547354295</v>
      </c>
      <c r="N121" s="131">
        <f t="shared" si="53"/>
        <v>-475.83281547354295</v>
      </c>
      <c r="O121" s="131">
        <f t="shared" si="54"/>
        <v>-475.83281547354295</v>
      </c>
      <c r="P121" s="131">
        <f t="shared" si="55"/>
        <v>-475.83281547354295</v>
      </c>
      <c r="Q121" s="131">
        <v>-1476.3266710935602</v>
      </c>
      <c r="R121" s="131">
        <f t="shared" si="47"/>
        <v>-1476.3266710935602</v>
      </c>
      <c r="S121" s="131">
        <f t="shared" si="42"/>
        <v>-1476.3266710935602</v>
      </c>
      <c r="T121" t="s">
        <v>15</v>
      </c>
      <c r="U121" t="str">
        <f t="shared" si="48"/>
        <v>N</v>
      </c>
    </row>
    <row r="122" spans="1:21">
      <c r="A122" s="255" t="s">
        <v>322</v>
      </c>
      <c r="B122" s="253" t="s">
        <v>445</v>
      </c>
      <c r="C122" s="253" t="str">
        <f t="shared" si="43"/>
        <v>Electric Preliminary Statement Part HM</v>
      </c>
      <c r="D122" s="253" t="str">
        <f t="shared" si="57"/>
        <v>Electric Preliminary Statement Part HM</v>
      </c>
      <c r="E122" s="253" t="str">
        <f t="shared" si="49"/>
        <v>Electric Preliminary Statement Part HM</v>
      </c>
      <c r="F122" s="253" t="str">
        <f t="shared" si="50"/>
        <v>Electric Preliminary Statement Part HM</v>
      </c>
      <c r="G122" s="253" t="str">
        <f t="shared" si="51"/>
        <v>Electric Preliminary Statement Part HM</v>
      </c>
      <c r="H122" s="253" t="s">
        <v>445</v>
      </c>
      <c r="I122" s="253" t="str">
        <f t="shared" si="56"/>
        <v>Electric Preliminary Statement Part HM</v>
      </c>
      <c r="J122" s="253" t="str">
        <f t="shared" si="37"/>
        <v>Electric Preliminary Statement Part HM</v>
      </c>
      <c r="K122" s="131">
        <v>2664.8339139312566</v>
      </c>
      <c r="L122" s="131">
        <f t="shared" si="46"/>
        <v>2664.8339139312566</v>
      </c>
      <c r="M122" s="131">
        <f t="shared" si="58"/>
        <v>2664.8339139312566</v>
      </c>
      <c r="N122" s="131">
        <f t="shared" si="53"/>
        <v>2664.8339139312566</v>
      </c>
      <c r="O122" s="131">
        <f t="shared" si="54"/>
        <v>2664.8339139312566</v>
      </c>
      <c r="P122" s="131">
        <f t="shared" si="55"/>
        <v>2664.8339139312566</v>
      </c>
      <c r="Q122" s="131">
        <v>-552.31704325409123</v>
      </c>
      <c r="R122" s="131">
        <f t="shared" si="47"/>
        <v>-552.31704325409123</v>
      </c>
      <c r="S122" s="131">
        <f t="shared" si="42"/>
        <v>-552.31704325409123</v>
      </c>
      <c r="T122" t="s">
        <v>15</v>
      </c>
      <c r="U122" t="str">
        <f t="shared" si="48"/>
        <v>Y</v>
      </c>
    </row>
    <row r="123" spans="1:21">
      <c r="A123" s="255" t="s">
        <v>294</v>
      </c>
      <c r="B123" s="253" t="s">
        <v>437</v>
      </c>
      <c r="C123" s="253" t="str">
        <f t="shared" si="43"/>
        <v>D.23-12-022</v>
      </c>
      <c r="D123" s="253" t="str">
        <f t="shared" si="57"/>
        <v>D.23-12-022</v>
      </c>
      <c r="E123" s="253" t="str">
        <f t="shared" si="49"/>
        <v>D.23-12-022</v>
      </c>
      <c r="F123" s="253" t="str">
        <f t="shared" si="50"/>
        <v>D.23-12-022</v>
      </c>
      <c r="G123" s="253" t="str">
        <f t="shared" si="51"/>
        <v>D.23-12-022</v>
      </c>
      <c r="H123" s="253" t="s">
        <v>580</v>
      </c>
      <c r="I123" s="253" t="str">
        <f t="shared" si="56"/>
        <v>D.24-12-038</v>
      </c>
      <c r="J123" s="253" t="str">
        <f t="shared" si="37"/>
        <v>D.24-12-038</v>
      </c>
      <c r="K123" s="131">
        <v>13908.018</v>
      </c>
      <c r="L123" s="131">
        <f t="shared" si="46"/>
        <v>13908.018</v>
      </c>
      <c r="M123" s="131">
        <f t="shared" si="58"/>
        <v>13908.018</v>
      </c>
      <c r="N123" s="131">
        <f t="shared" si="53"/>
        <v>13908.018</v>
      </c>
      <c r="O123" s="131">
        <f t="shared" si="54"/>
        <v>13908.018</v>
      </c>
      <c r="P123" s="131">
        <f t="shared" si="55"/>
        <v>13908.018</v>
      </c>
      <c r="Q123" s="131">
        <v>16260.33661</v>
      </c>
      <c r="R123" s="131">
        <f t="shared" si="47"/>
        <v>16260.33661</v>
      </c>
      <c r="S123" s="131">
        <f t="shared" si="42"/>
        <v>16260.33661</v>
      </c>
      <c r="T123" t="s">
        <v>15</v>
      </c>
      <c r="U123" t="str">
        <f t="shared" si="48"/>
        <v>N</v>
      </c>
    </row>
    <row r="124" spans="1:21">
      <c r="A124" s="255" t="s">
        <v>323</v>
      </c>
      <c r="B124" s="253" t="s">
        <v>336</v>
      </c>
      <c r="C124" s="253" t="str">
        <f t="shared" si="43"/>
        <v>Preliminary Statement  JH</v>
      </c>
      <c r="D124" s="253" t="str">
        <f t="shared" si="57"/>
        <v>Preliminary Statement  JH</v>
      </c>
      <c r="E124" s="253" t="str">
        <f t="shared" si="49"/>
        <v>Preliminary Statement  JH</v>
      </c>
      <c r="F124" s="253" t="str">
        <f t="shared" si="50"/>
        <v>Preliminary Statement  JH</v>
      </c>
      <c r="G124" s="253" t="str">
        <f t="shared" si="51"/>
        <v>Preliminary Statement  JH</v>
      </c>
      <c r="H124" s="253" t="s">
        <v>336</v>
      </c>
      <c r="I124" s="253" t="str">
        <f t="shared" si="56"/>
        <v>Preliminary Statement  JH</v>
      </c>
      <c r="J124" s="253" t="str">
        <f t="shared" si="37"/>
        <v>Preliminary Statement  JH</v>
      </c>
      <c r="K124" s="131">
        <v>2820.1164937631061</v>
      </c>
      <c r="L124" s="131">
        <f t="shared" si="46"/>
        <v>2820.1164937631061</v>
      </c>
      <c r="M124" s="131">
        <f t="shared" si="58"/>
        <v>2820.1164937631061</v>
      </c>
      <c r="N124" s="131">
        <f t="shared" si="53"/>
        <v>2820.1164937631061</v>
      </c>
      <c r="O124" s="131">
        <f t="shared" si="54"/>
        <v>2820.1164937631061</v>
      </c>
      <c r="P124" s="131">
        <f t="shared" si="55"/>
        <v>2820.1164937631061</v>
      </c>
      <c r="Q124" s="131">
        <v>1665.9631875911125</v>
      </c>
      <c r="R124" s="131">
        <f t="shared" si="47"/>
        <v>1665.9631875911125</v>
      </c>
      <c r="S124" s="131">
        <f t="shared" si="42"/>
        <v>1665.9631875911125</v>
      </c>
      <c r="T124" t="s">
        <v>15</v>
      </c>
      <c r="U124" t="str">
        <f t="shared" si="48"/>
        <v>Y</v>
      </c>
    </row>
    <row r="125" spans="1:21">
      <c r="A125" s="253" t="s">
        <v>295</v>
      </c>
      <c r="B125" s="253" t="s">
        <v>448</v>
      </c>
      <c r="C125" s="253" t="str">
        <f t="shared" si="43"/>
        <v>n/a</v>
      </c>
      <c r="D125" s="253" t="str">
        <f t="shared" si="57"/>
        <v>n/a</v>
      </c>
      <c r="E125" s="253" t="str">
        <f t="shared" si="49"/>
        <v>n/a</v>
      </c>
      <c r="F125" s="253" t="str">
        <f t="shared" si="50"/>
        <v>n/a</v>
      </c>
      <c r="G125" s="253" t="str">
        <f t="shared" si="51"/>
        <v>n/a</v>
      </c>
      <c r="H125" s="253" t="s">
        <v>448</v>
      </c>
      <c r="I125" s="253" t="str">
        <f t="shared" si="56"/>
        <v>n/a</v>
      </c>
      <c r="J125" s="253" t="str">
        <f t="shared" si="37"/>
        <v>n/a</v>
      </c>
      <c r="K125" s="131">
        <v>0</v>
      </c>
      <c r="L125" s="131">
        <f t="shared" si="46"/>
        <v>0</v>
      </c>
      <c r="M125" s="131">
        <f t="shared" si="58"/>
        <v>0</v>
      </c>
      <c r="N125" s="131">
        <f t="shared" si="53"/>
        <v>0</v>
      </c>
      <c r="O125" s="131">
        <f t="shared" si="54"/>
        <v>0</v>
      </c>
      <c r="P125" s="131">
        <f t="shared" si="55"/>
        <v>0</v>
      </c>
      <c r="Q125" s="131">
        <v>0</v>
      </c>
      <c r="R125" s="131">
        <f t="shared" si="47"/>
        <v>0</v>
      </c>
      <c r="S125" s="131">
        <f t="shared" si="42"/>
        <v>0</v>
      </c>
      <c r="T125" t="s">
        <v>17</v>
      </c>
      <c r="U125" t="str">
        <f t="shared" si="48"/>
        <v>N</v>
      </c>
    </row>
    <row r="126" spans="1:21">
      <c r="A126" s="253" t="s">
        <v>297</v>
      </c>
      <c r="B126" s="253" t="s">
        <v>448</v>
      </c>
      <c r="C126" s="253" t="str">
        <f t="shared" si="43"/>
        <v>n/a</v>
      </c>
      <c r="D126" s="253" t="str">
        <f t="shared" si="57"/>
        <v>n/a</v>
      </c>
      <c r="E126" s="253" t="str">
        <f t="shared" si="49"/>
        <v>n/a</v>
      </c>
      <c r="F126" s="253" t="str">
        <f t="shared" si="50"/>
        <v>n/a</v>
      </c>
      <c r="G126" s="253" t="str">
        <f t="shared" si="51"/>
        <v>n/a</v>
      </c>
      <c r="H126" s="253" t="s">
        <v>448</v>
      </c>
      <c r="I126" s="253" t="s">
        <v>448</v>
      </c>
      <c r="J126" s="253" t="str">
        <f t="shared" si="37"/>
        <v>n/a</v>
      </c>
      <c r="K126" s="131">
        <v>0</v>
      </c>
      <c r="L126" s="131">
        <f t="shared" si="46"/>
        <v>0</v>
      </c>
      <c r="M126" s="131">
        <f t="shared" si="58"/>
        <v>0</v>
      </c>
      <c r="N126" s="131">
        <f t="shared" si="53"/>
        <v>0</v>
      </c>
      <c r="O126" s="131">
        <f t="shared" si="54"/>
        <v>0</v>
      </c>
      <c r="P126" s="131">
        <f t="shared" si="55"/>
        <v>0</v>
      </c>
      <c r="Q126" s="131">
        <f>P126</f>
        <v>0</v>
      </c>
      <c r="R126" s="131">
        <f t="shared" si="47"/>
        <v>0</v>
      </c>
      <c r="S126" s="131">
        <f t="shared" si="42"/>
        <v>0</v>
      </c>
      <c r="T126" t="s">
        <v>15</v>
      </c>
      <c r="U126" t="str">
        <f t="shared" si="48"/>
        <v>N</v>
      </c>
    </row>
    <row r="127" spans="1:21">
      <c r="A127" t="s">
        <v>480</v>
      </c>
      <c r="B127" s="253" t="s">
        <v>448</v>
      </c>
      <c r="C127" s="253" t="s">
        <v>448</v>
      </c>
      <c r="D127" s="253" t="s">
        <v>448</v>
      </c>
      <c r="E127" s="253" t="s">
        <v>448</v>
      </c>
      <c r="F127" s="253" t="s">
        <v>448</v>
      </c>
      <c r="G127" s="253" t="s">
        <v>448</v>
      </c>
      <c r="H127" t="s">
        <v>581</v>
      </c>
      <c r="I127" t="str">
        <f>H127</f>
        <v>D.24-12- 033</v>
      </c>
      <c r="J127" s="253" t="str">
        <f t="shared" si="37"/>
        <v>D.24-12- 033</v>
      </c>
      <c r="K127" s="131"/>
      <c r="L127" s="131"/>
      <c r="M127" s="131"/>
      <c r="N127" s="131"/>
      <c r="O127" s="131"/>
      <c r="P127" s="131">
        <f t="shared" si="55"/>
        <v>0</v>
      </c>
      <c r="Q127" s="131">
        <v>365364.52039999055</v>
      </c>
      <c r="R127" s="131">
        <f t="shared" si="47"/>
        <v>365364.52039999055</v>
      </c>
      <c r="S127" s="131">
        <f t="shared" si="42"/>
        <v>365364.52039999055</v>
      </c>
      <c r="T127" t="s">
        <v>15</v>
      </c>
      <c r="U127" t="str">
        <f t="shared" si="48"/>
        <v>N</v>
      </c>
    </row>
    <row r="128" spans="1:21">
      <c r="A128" s="253" t="s">
        <v>546</v>
      </c>
      <c r="B128" s="253" t="s">
        <v>448</v>
      </c>
      <c r="C128" s="253" t="s">
        <v>448</v>
      </c>
      <c r="D128" s="253" t="s">
        <v>448</v>
      </c>
      <c r="E128" s="253" t="s">
        <v>448</v>
      </c>
      <c r="F128" s="253" t="s">
        <v>448</v>
      </c>
      <c r="G128" s="253" t="s">
        <v>448</v>
      </c>
      <c r="H128" t="s">
        <v>556</v>
      </c>
      <c r="I128" t="str">
        <f>H128</f>
        <v>AL 7407-E</v>
      </c>
      <c r="J128" s="253" t="str">
        <f t="shared" si="37"/>
        <v>AL 7407-E</v>
      </c>
      <c r="K128" s="131"/>
      <c r="L128" s="131"/>
      <c r="M128" s="131"/>
      <c r="N128" s="131"/>
      <c r="O128" s="131"/>
      <c r="P128" s="131"/>
      <c r="Q128" s="131">
        <v>-22374.489000000001</v>
      </c>
      <c r="R128" s="131">
        <f t="shared" ref="R128:R130" si="59">Q128</f>
        <v>-22374.489000000001</v>
      </c>
      <c r="S128" s="131">
        <f t="shared" si="42"/>
        <v>-22374.489000000001</v>
      </c>
      <c r="T128" t="s">
        <v>15</v>
      </c>
      <c r="U128" t="str">
        <f t="shared" si="48"/>
        <v>N</v>
      </c>
    </row>
    <row r="129" spans="1:23">
      <c r="A129" s="253" t="s">
        <v>545</v>
      </c>
      <c r="B129" s="253" t="s">
        <v>448</v>
      </c>
      <c r="C129" s="253" t="s">
        <v>448</v>
      </c>
      <c r="D129" s="253" t="s">
        <v>448</v>
      </c>
      <c r="E129" s="253" t="s">
        <v>448</v>
      </c>
      <c r="F129" s="253" t="s">
        <v>448</v>
      </c>
      <c r="G129" s="253" t="s">
        <v>448</v>
      </c>
      <c r="H129" t="s">
        <v>557</v>
      </c>
      <c r="I129" t="str">
        <f>H129</f>
        <v>D.18-01-008</v>
      </c>
      <c r="J129" s="253" t="str">
        <f t="shared" si="37"/>
        <v>D.18-01-008</v>
      </c>
      <c r="K129" s="131"/>
      <c r="L129" s="131"/>
      <c r="M129" s="131"/>
      <c r="N129" s="131"/>
      <c r="O129" s="131"/>
      <c r="P129" s="131"/>
      <c r="Q129" s="131">
        <v>-30507.544526242891</v>
      </c>
      <c r="R129" s="131">
        <f t="shared" si="59"/>
        <v>-30507.544526242891</v>
      </c>
      <c r="S129" s="131">
        <f t="shared" si="42"/>
        <v>-30507.544526242891</v>
      </c>
      <c r="T129" t="s">
        <v>15</v>
      </c>
      <c r="U129" t="str">
        <f t="shared" si="48"/>
        <v>N</v>
      </c>
    </row>
    <row r="130" spans="1:23">
      <c r="A130" s="253" t="s">
        <v>578</v>
      </c>
      <c r="B130" s="253" t="s">
        <v>448</v>
      </c>
      <c r="C130" s="253" t="s">
        <v>448</v>
      </c>
      <c r="D130" s="253" t="s">
        <v>448</v>
      </c>
      <c r="E130" s="253" t="s">
        <v>448</v>
      </c>
      <c r="F130" s="253" t="s">
        <v>448</v>
      </c>
      <c r="G130" s="253" t="s">
        <v>448</v>
      </c>
      <c r="H130" t="s">
        <v>558</v>
      </c>
      <c r="I130" t="str">
        <f>H130</f>
        <v>Electric Preliminary Statement Part JV</v>
      </c>
      <c r="J130" s="253" t="str">
        <f t="shared" si="37"/>
        <v>Electric Preliminary Statement Part JV</v>
      </c>
      <c r="K130" s="131"/>
      <c r="L130" s="131"/>
      <c r="M130" s="131"/>
      <c r="N130" s="131"/>
      <c r="O130" s="131"/>
      <c r="P130" s="131"/>
      <c r="Q130" s="131">
        <v>104.44120369330369</v>
      </c>
      <c r="R130" s="131">
        <f t="shared" si="59"/>
        <v>104.44120369330369</v>
      </c>
      <c r="S130" s="131">
        <f t="shared" si="42"/>
        <v>104.44120369330369</v>
      </c>
      <c r="T130" t="s">
        <v>15</v>
      </c>
      <c r="U130" t="str">
        <f t="shared" si="48"/>
        <v>Y</v>
      </c>
    </row>
    <row r="131" spans="1:23">
      <c r="A131" s="253"/>
      <c r="B131" s="253"/>
      <c r="C131" s="253"/>
      <c r="D131" s="253"/>
      <c r="E131" s="253"/>
      <c r="F131" s="253"/>
      <c r="G131" s="253"/>
      <c r="H131" s="253"/>
      <c r="I131" s="253"/>
      <c r="J131" s="253"/>
      <c r="K131" s="131"/>
      <c r="L131" s="131"/>
      <c r="M131" s="131"/>
      <c r="N131" s="131"/>
      <c r="O131" s="131"/>
      <c r="P131" s="131"/>
      <c r="Q131" s="131"/>
      <c r="R131" s="131"/>
      <c r="S131" s="131">
        <f t="shared" si="42"/>
        <v>0</v>
      </c>
    </row>
    <row r="132" spans="1:23">
      <c r="B132" s="253"/>
      <c r="C132" s="253"/>
      <c r="D132" s="253"/>
      <c r="E132" s="253"/>
      <c r="F132" s="253"/>
      <c r="G132" s="253"/>
      <c r="H132" s="253"/>
      <c r="I132" s="253"/>
      <c r="J132" s="253"/>
      <c r="K132" s="131"/>
      <c r="L132" s="131"/>
      <c r="M132" s="131"/>
      <c r="N132" s="131"/>
      <c r="O132" s="131"/>
      <c r="P132" s="131"/>
      <c r="Q132" s="131"/>
      <c r="R132" s="131"/>
      <c r="S132" s="131">
        <f t="shared" si="42"/>
        <v>0</v>
      </c>
    </row>
    <row r="133" spans="1:23">
      <c r="A133" s="31" t="s">
        <v>8</v>
      </c>
      <c r="B133" s="253"/>
      <c r="C133" s="253"/>
      <c r="D133" s="253"/>
      <c r="E133" s="253"/>
      <c r="F133" s="253"/>
      <c r="G133" s="253"/>
      <c r="H133" s="253"/>
      <c r="I133" s="253"/>
      <c r="J133" s="253"/>
      <c r="K133" s="288">
        <f t="shared" ref="K133:O133" si="60">SUM(K84:K126)</f>
        <v>290425.26220444986</v>
      </c>
      <c r="L133" s="288">
        <f t="shared" si="60"/>
        <v>290425.26220444986</v>
      </c>
      <c r="M133" s="288" t="e">
        <f t="shared" si="60"/>
        <v>#REF!</v>
      </c>
      <c r="N133" s="288" t="e">
        <f t="shared" si="60"/>
        <v>#REF!</v>
      </c>
      <c r="O133" s="288" t="e">
        <f t="shared" si="60"/>
        <v>#REF!</v>
      </c>
      <c r="P133" s="288" t="e">
        <f>SUM(P84:P126)</f>
        <v>#REF!</v>
      </c>
      <c r="Q133" s="288">
        <f>SUM(Q84:Q131)</f>
        <v>55140.038894065328</v>
      </c>
      <c r="R133" s="288">
        <f>SUM(R84:R130)</f>
        <v>55140.038894065328</v>
      </c>
      <c r="S133" s="288">
        <f>SUM(S84:S130)</f>
        <v>55140.038894065328</v>
      </c>
    </row>
    <row r="134" spans="1:23">
      <c r="B134" s="253"/>
      <c r="C134" s="253"/>
      <c r="D134" s="253"/>
      <c r="E134" s="253"/>
      <c r="F134" s="253"/>
      <c r="G134" s="253"/>
      <c r="H134" s="253"/>
      <c r="I134" s="253"/>
      <c r="J134" s="253"/>
      <c r="K134" s="131"/>
      <c r="L134" s="131"/>
      <c r="M134" s="131"/>
      <c r="N134" s="131"/>
      <c r="O134" s="131"/>
      <c r="P134" s="131"/>
      <c r="Q134" s="131"/>
      <c r="R134" s="131"/>
      <c r="S134" s="131">
        <f t="shared" si="42"/>
        <v>0</v>
      </c>
    </row>
    <row r="135" spans="1:23">
      <c r="A135" s="31" t="s">
        <v>9</v>
      </c>
      <c r="B135" s="253"/>
      <c r="C135" s="253"/>
      <c r="D135" s="253"/>
      <c r="E135" s="253"/>
      <c r="F135" s="253"/>
      <c r="G135" s="253"/>
      <c r="H135" s="253"/>
      <c r="I135" s="253"/>
      <c r="J135" s="253"/>
      <c r="K135" s="131"/>
      <c r="L135" s="131"/>
      <c r="M135" s="131"/>
      <c r="N135" s="131"/>
      <c r="O135" s="131"/>
      <c r="P135" s="131"/>
      <c r="Q135" s="131"/>
      <c r="R135" s="131"/>
      <c r="S135" s="131">
        <f t="shared" si="42"/>
        <v>0</v>
      </c>
    </row>
    <row r="136" spans="1:23">
      <c r="A136" t="s">
        <v>152</v>
      </c>
      <c r="B136" s="253" t="s">
        <v>453</v>
      </c>
      <c r="C136" s="253" t="s">
        <v>453</v>
      </c>
      <c r="D136" s="253" t="str">
        <f t="shared" ref="D136:G136" si="61">C136</f>
        <v>ER24-96-000</v>
      </c>
      <c r="E136" s="253" t="str">
        <f t="shared" si="61"/>
        <v>ER24-96-000</v>
      </c>
      <c r="F136" s="253" t="str">
        <f t="shared" si="61"/>
        <v>ER24-96-000</v>
      </c>
      <c r="G136" s="253" t="str">
        <f t="shared" si="61"/>
        <v>ER24-96-000</v>
      </c>
      <c r="H136" s="253" t="s">
        <v>453</v>
      </c>
      <c r="I136" s="253" t="str">
        <f>H136</f>
        <v>ER24-96-000</v>
      </c>
      <c r="J136" s="253" t="str">
        <f t="shared" ref="J136:J140" si="62">I136</f>
        <v>ER24-96-000</v>
      </c>
      <c r="K136" s="131" t="e">
        <f>#REF!/1000</f>
        <v>#REF!</v>
      </c>
      <c r="L136" s="131" t="e">
        <f>#REF!/1000</f>
        <v>#REF!</v>
      </c>
      <c r="M136" s="131" t="e">
        <f>L136</f>
        <v>#REF!</v>
      </c>
      <c r="N136" s="131" t="e">
        <f>M136</f>
        <v>#REF!</v>
      </c>
      <c r="O136" s="131" t="e">
        <f>N136</f>
        <v>#REF!</v>
      </c>
      <c r="P136" s="131" t="e">
        <f>O136</f>
        <v>#REF!</v>
      </c>
      <c r="Q136" s="131">
        <v>2903023.3845576458</v>
      </c>
      <c r="R136" s="131">
        <f>Q136</f>
        <v>2903023.3845576458</v>
      </c>
      <c r="S136" s="131">
        <f t="shared" si="42"/>
        <v>2903023.3845576458</v>
      </c>
      <c r="T136" t="s">
        <v>10</v>
      </c>
      <c r="U136" t="str">
        <f>IF(RIGHT(A136,1)="*","Y","N")</f>
        <v>N</v>
      </c>
    </row>
    <row r="137" spans="1:23">
      <c r="A137" t="s">
        <v>87</v>
      </c>
      <c r="B137" s="253" t="s">
        <v>340</v>
      </c>
      <c r="C137" s="253" t="s">
        <v>452</v>
      </c>
      <c r="D137" s="253" t="str">
        <f t="shared" ref="D137:E140" si="63">C137</f>
        <v>ER24-599-000</v>
      </c>
      <c r="E137" s="253" t="str">
        <f t="shared" si="63"/>
        <v>ER24-599-000</v>
      </c>
      <c r="F137" s="253" t="str">
        <f t="shared" ref="F137:G140" si="64">E137</f>
        <v>ER24-599-000</v>
      </c>
      <c r="G137" s="253" t="str">
        <f t="shared" si="64"/>
        <v>ER24-599-000</v>
      </c>
      <c r="H137" s="253" t="s">
        <v>452</v>
      </c>
      <c r="I137" s="253" t="str">
        <f>H137</f>
        <v>ER24-599-000</v>
      </c>
      <c r="J137" s="253" t="str">
        <f t="shared" si="62"/>
        <v>ER24-599-000</v>
      </c>
      <c r="K137" s="131" t="e">
        <f>#REF!/1000</f>
        <v>#REF!</v>
      </c>
      <c r="L137" s="131" t="e">
        <f>#REF!/1000</f>
        <v>#REF!</v>
      </c>
      <c r="M137" s="131" t="e">
        <f t="shared" ref="M137:N139" si="65">L137</f>
        <v>#REF!</v>
      </c>
      <c r="N137" s="131" t="e">
        <f t="shared" si="65"/>
        <v>#REF!</v>
      </c>
      <c r="O137" s="131" t="e">
        <f t="shared" ref="O137:O140" si="66">N137</f>
        <v>#REF!</v>
      </c>
      <c r="P137" s="131" t="e">
        <f t="shared" ref="P137" si="67">O137</f>
        <v>#REF!</v>
      </c>
      <c r="Q137" s="131">
        <v>360149.10174242745</v>
      </c>
      <c r="R137" s="131">
        <v>585052.33827356366</v>
      </c>
      <c r="S137" s="131">
        <f t="shared" si="42"/>
        <v>585052.33827356366</v>
      </c>
      <c r="T137" t="s">
        <v>138</v>
      </c>
      <c r="U137" t="str">
        <f>IF(RIGHT(A137,1)="*","Y","N")</f>
        <v>N</v>
      </c>
    </row>
    <row r="138" spans="1:23">
      <c r="A138" t="s">
        <v>88</v>
      </c>
      <c r="B138" s="253" t="s">
        <v>454</v>
      </c>
      <c r="C138" s="253" t="str">
        <f>B138</f>
        <v>ER23-2968-000</v>
      </c>
      <c r="D138" s="253" t="str">
        <f t="shared" si="63"/>
        <v>ER23-2968-000</v>
      </c>
      <c r="E138" s="253" t="str">
        <f t="shared" si="63"/>
        <v>ER23-2968-000</v>
      </c>
      <c r="F138" s="253" t="str">
        <f t="shared" si="64"/>
        <v>ER23-2968-000</v>
      </c>
      <c r="G138" s="253" t="str">
        <f t="shared" si="64"/>
        <v>ER23-2968-000</v>
      </c>
      <c r="H138" s="253" t="s">
        <v>454</v>
      </c>
      <c r="I138" s="253" t="str">
        <f>H138</f>
        <v>ER23-2968-000</v>
      </c>
      <c r="J138" s="253" t="str">
        <f t="shared" si="62"/>
        <v>ER23-2968-000</v>
      </c>
      <c r="K138" s="131" t="e">
        <f>#REF!/1000</f>
        <v>#REF!</v>
      </c>
      <c r="L138" s="131" t="e">
        <f>K138</f>
        <v>#REF!</v>
      </c>
      <c r="M138" s="131" t="e">
        <f t="shared" si="65"/>
        <v>#REF!</v>
      </c>
      <c r="N138" s="131" t="e">
        <f t="shared" si="65"/>
        <v>#REF!</v>
      </c>
      <c r="O138" s="131" t="e">
        <f t="shared" si="66"/>
        <v>#REF!</v>
      </c>
      <c r="P138" s="131" t="e">
        <f t="shared" ref="P138" si="68">O138</f>
        <v>#REF!</v>
      </c>
      <c r="Q138" s="131">
        <v>-362428.52643699979</v>
      </c>
      <c r="R138" s="131">
        <f>Q138</f>
        <v>-362428.52643699979</v>
      </c>
      <c r="S138" s="131">
        <f t="shared" ref="S138:S142" si="69">R138</f>
        <v>-362428.52643699979</v>
      </c>
      <c r="T138" t="s">
        <v>138</v>
      </c>
      <c r="U138" t="str">
        <f>IF(RIGHT(A138,1)="*","Y","N")</f>
        <v>N</v>
      </c>
    </row>
    <row r="139" spans="1:23">
      <c r="A139" t="s">
        <v>89</v>
      </c>
      <c r="B139" s="253" t="s">
        <v>454</v>
      </c>
      <c r="C139" s="253" t="str">
        <f>B139</f>
        <v>ER23-2968-000</v>
      </c>
      <c r="D139" s="253" t="str">
        <f t="shared" si="63"/>
        <v>ER23-2968-000</v>
      </c>
      <c r="E139" s="253" t="str">
        <f t="shared" si="63"/>
        <v>ER23-2968-000</v>
      </c>
      <c r="F139" s="253" t="str">
        <f t="shared" si="64"/>
        <v>ER23-2968-000</v>
      </c>
      <c r="G139" s="253" t="str">
        <f t="shared" si="64"/>
        <v>ER23-2968-000</v>
      </c>
      <c r="H139" s="253" t="s">
        <v>454</v>
      </c>
      <c r="I139" s="253" t="str">
        <f>H139</f>
        <v>ER23-2968-000</v>
      </c>
      <c r="J139" s="253" t="str">
        <f t="shared" si="62"/>
        <v>ER23-2968-000</v>
      </c>
      <c r="K139" s="131" t="e">
        <f>#REF!/1000</f>
        <v>#REF!</v>
      </c>
      <c r="L139" s="131" t="e">
        <f>K139</f>
        <v>#REF!</v>
      </c>
      <c r="M139" s="131" t="e">
        <f t="shared" si="65"/>
        <v>#REF!</v>
      </c>
      <c r="N139" s="131" t="e">
        <f t="shared" si="65"/>
        <v>#REF!</v>
      </c>
      <c r="O139" s="131" t="e">
        <f t="shared" si="66"/>
        <v>#REF!</v>
      </c>
      <c r="P139" s="131" t="e">
        <f t="shared" ref="P139" si="70">O139</f>
        <v>#REF!</v>
      </c>
      <c r="Q139" s="131">
        <v>18138.177452851731</v>
      </c>
      <c r="R139" s="131">
        <f>Q139</f>
        <v>18138.177452851731</v>
      </c>
      <c r="S139" s="131">
        <f t="shared" si="69"/>
        <v>18138.177452851731</v>
      </c>
      <c r="T139" t="s">
        <v>138</v>
      </c>
      <c r="U139" t="str">
        <f>IF(RIGHT(A139,1)="*","Y","N")</f>
        <v>N</v>
      </c>
    </row>
    <row r="140" spans="1:23">
      <c r="A140" t="s">
        <v>90</v>
      </c>
      <c r="B140" s="253" t="s">
        <v>454</v>
      </c>
      <c r="C140" s="253" t="str">
        <f>B140</f>
        <v>ER23-2968-000</v>
      </c>
      <c r="D140" s="253" t="str">
        <f t="shared" si="63"/>
        <v>ER23-2968-000</v>
      </c>
      <c r="E140" s="253" t="str">
        <f t="shared" si="63"/>
        <v>ER23-2968-000</v>
      </c>
      <c r="F140" s="253" t="str">
        <f t="shared" si="64"/>
        <v>ER23-2968-000</v>
      </c>
      <c r="G140" s="253" t="str">
        <f t="shared" si="64"/>
        <v>ER23-2968-000</v>
      </c>
      <c r="H140" s="253" t="s">
        <v>454</v>
      </c>
      <c r="I140" s="253" t="str">
        <f>H140</f>
        <v>ER23-2968-000</v>
      </c>
      <c r="J140" s="253" t="str">
        <f t="shared" si="62"/>
        <v>ER23-2968-000</v>
      </c>
      <c r="K140" s="131" t="e">
        <f>#REF!</f>
        <v>#REF!</v>
      </c>
      <c r="L140" s="131" t="e">
        <f>K140</f>
        <v>#REF!</v>
      </c>
      <c r="M140" s="131" t="e">
        <f>L140</f>
        <v>#REF!</v>
      </c>
      <c r="N140" s="131" t="e">
        <f>#REF!/1000</f>
        <v>#REF!</v>
      </c>
      <c r="O140" s="131" t="e">
        <f t="shared" si="66"/>
        <v>#REF!</v>
      </c>
      <c r="P140" s="131" t="e">
        <f t="shared" ref="P140" si="71">O140</f>
        <v>#REF!</v>
      </c>
      <c r="Q140" s="131">
        <v>-852305.91485261393</v>
      </c>
      <c r="R140" s="131">
        <f>Q140</f>
        <v>-852305.91485261393</v>
      </c>
      <c r="S140" s="131">
        <f t="shared" si="69"/>
        <v>-852305.91485261393</v>
      </c>
      <c r="T140" t="s">
        <v>138</v>
      </c>
      <c r="U140" t="str">
        <f>IF(RIGHT(A140,1)="*","Y","N")</f>
        <v>N</v>
      </c>
    </row>
    <row r="141" spans="1:23">
      <c r="A141" s="31" t="s">
        <v>11</v>
      </c>
      <c r="K141" s="288" t="e">
        <f t="shared" ref="K141:O141" si="72">SUM(K136:K140)</f>
        <v>#REF!</v>
      </c>
      <c r="L141" s="288" t="e">
        <f t="shared" si="72"/>
        <v>#REF!</v>
      </c>
      <c r="M141" s="288" t="e">
        <f t="shared" si="72"/>
        <v>#REF!</v>
      </c>
      <c r="N141" s="288" t="e">
        <f t="shared" si="72"/>
        <v>#REF!</v>
      </c>
      <c r="O141" s="288" t="e">
        <f t="shared" si="72"/>
        <v>#REF!</v>
      </c>
      <c r="P141" s="181" t="e">
        <f>SUM(P136:P140)</f>
        <v>#REF!</v>
      </c>
      <c r="Q141" s="181">
        <f>SUM(Q136:Q140)</f>
        <v>2066576.2224633107</v>
      </c>
      <c r="R141" s="181">
        <f>SUM(R136:R140)</f>
        <v>2291479.4589944468</v>
      </c>
      <c r="S141" s="181">
        <f>SUM(S136:S140)</f>
        <v>2291479.4589944468</v>
      </c>
    </row>
    <row r="142" spans="1:23">
      <c r="K142" s="131"/>
      <c r="L142" s="131"/>
      <c r="M142" s="288"/>
      <c r="N142" s="288"/>
      <c r="O142" s="288"/>
      <c r="P142" s="288"/>
      <c r="Q142" s="288"/>
      <c r="R142" s="288"/>
      <c r="S142" s="131">
        <f t="shared" si="69"/>
        <v>0</v>
      </c>
      <c r="W142" s="285"/>
    </row>
    <row r="143" spans="1:23" ht="15" thickBot="1">
      <c r="A143" s="31" t="s">
        <v>55</v>
      </c>
      <c r="K143" s="290" t="e">
        <f t="shared" ref="K143:P143" si="73">K81+K133+K141</f>
        <v>#REF!</v>
      </c>
      <c r="L143" s="290" t="e">
        <f t="shared" si="73"/>
        <v>#REF!</v>
      </c>
      <c r="M143" s="290" t="e">
        <f t="shared" si="73"/>
        <v>#REF!</v>
      </c>
      <c r="N143" s="290" t="e">
        <f t="shared" si="73"/>
        <v>#REF!</v>
      </c>
      <c r="O143" s="290" t="e">
        <f t="shared" si="73"/>
        <v>#REF!</v>
      </c>
      <c r="P143" s="290" t="e">
        <f t="shared" si="73"/>
        <v>#REF!</v>
      </c>
      <c r="Q143" s="290">
        <f>Q81+Q133+Q141</f>
        <v>19285921.880354639</v>
      </c>
      <c r="R143" s="290">
        <f>R81+R133+R141</f>
        <v>19670607.087141689</v>
      </c>
      <c r="S143" s="290">
        <f>S81+S133+S141</f>
        <v>19079592.832516689</v>
      </c>
      <c r="T143" s="284"/>
      <c r="U143" s="287"/>
    </row>
    <row r="144" spans="1:23" ht="15" thickTop="1">
      <c r="K144" s="131" t="e">
        <f>#REF!/1000</f>
        <v>#REF!</v>
      </c>
      <c r="L144" s="131" t="e">
        <f>#REF!/1000</f>
        <v>#REF!</v>
      </c>
      <c r="M144" s="131" t="e">
        <f>#REF!/1000</f>
        <v>#REF!</v>
      </c>
      <c r="N144" s="131" t="e">
        <f>#REF!/1000</f>
        <v>#REF!</v>
      </c>
      <c r="O144" s="131" t="e">
        <f>(#REF!/1000)+175353.55945386</f>
        <v>#REF!</v>
      </c>
      <c r="P144" s="131" t="e">
        <f>(#REF!/1000)+175353.55945386</f>
        <v>#REF!</v>
      </c>
      <c r="Q144" s="131">
        <v>19285921.735167537</v>
      </c>
      <c r="R144" s="131">
        <v>19670606.94195459</v>
      </c>
      <c r="S144" s="131">
        <v>19079592.687461212</v>
      </c>
      <c r="T144" s="284"/>
    </row>
    <row r="145" spans="1:21">
      <c r="K145" s="131" t="e">
        <f t="shared" ref="K145:M145" si="74">K143-K144</f>
        <v>#REF!</v>
      </c>
      <c r="L145" s="131" t="e">
        <f t="shared" si="74"/>
        <v>#REF!</v>
      </c>
      <c r="M145" s="131" t="e">
        <f t="shared" si="74"/>
        <v>#REF!</v>
      </c>
      <c r="N145" s="131" t="e">
        <f t="shared" ref="N145:S145" si="75">N143-N144</f>
        <v>#REF!</v>
      </c>
      <c r="O145" s="131" t="e">
        <f t="shared" si="75"/>
        <v>#REF!</v>
      </c>
      <c r="P145" s="131" t="e">
        <f t="shared" si="75"/>
        <v>#REF!</v>
      </c>
      <c r="Q145" s="131">
        <f t="shared" si="75"/>
        <v>0.14518710225820541</v>
      </c>
      <c r="R145" s="131">
        <f t="shared" si="75"/>
        <v>0.14518709853291512</v>
      </c>
      <c r="S145" s="131">
        <f t="shared" si="75"/>
        <v>0.14505547657608986</v>
      </c>
      <c r="T145" s="287"/>
      <c r="U145" s="287"/>
    </row>
    <row r="146" spans="1:21">
      <c r="K146" s="131"/>
      <c r="L146" s="131"/>
      <c r="M146" s="131"/>
      <c r="N146" s="131"/>
      <c r="O146" s="131"/>
      <c r="P146" s="131"/>
      <c r="Q146" s="131"/>
      <c r="R146" s="131"/>
      <c r="S146" s="131"/>
    </row>
    <row r="147" spans="1:21">
      <c r="K147" s="131"/>
      <c r="L147" s="131"/>
      <c r="M147" s="131"/>
      <c r="N147" s="131"/>
      <c r="O147" s="131"/>
      <c r="P147" s="131"/>
      <c r="Q147" s="187"/>
      <c r="R147" s="131"/>
      <c r="S147" s="131"/>
    </row>
    <row r="148" spans="1:21">
      <c r="K148" s="131"/>
      <c r="L148" s="131"/>
      <c r="M148" s="131"/>
      <c r="N148" s="131"/>
      <c r="O148" s="131"/>
      <c r="P148" s="131"/>
      <c r="Q148" s="291"/>
      <c r="R148" s="131"/>
      <c r="S148" s="131"/>
    </row>
    <row r="149" spans="1:21">
      <c r="A149" t="s">
        <v>63</v>
      </c>
      <c r="K149" s="131"/>
      <c r="L149" s="131"/>
      <c r="M149" s="131"/>
      <c r="N149" s="131"/>
      <c r="O149" s="131"/>
      <c r="P149" s="131"/>
      <c r="Q149" s="131"/>
      <c r="R149" s="187"/>
      <c r="S149" s="187"/>
    </row>
    <row r="150" spans="1:21">
      <c r="A150" t="s">
        <v>566</v>
      </c>
      <c r="K150" s="131"/>
      <c r="L150" s="131"/>
      <c r="M150" s="131"/>
      <c r="N150" s="131"/>
      <c r="O150" s="131"/>
      <c r="P150" s="131"/>
      <c r="Q150" s="131"/>
      <c r="R150" s="187"/>
      <c r="S150" s="187"/>
    </row>
    <row r="151" spans="1:21">
      <c r="A151" t="s">
        <v>567</v>
      </c>
      <c r="K151" s="131"/>
      <c r="L151" s="131"/>
      <c r="M151" s="131"/>
      <c r="N151" s="131"/>
      <c r="O151" s="131"/>
      <c r="P151" s="131"/>
      <c r="Q151" s="131"/>
      <c r="R151" s="187"/>
      <c r="S151" s="187"/>
    </row>
    <row r="152" spans="1:21">
      <c r="A152" t="s">
        <v>568</v>
      </c>
      <c r="K152" s="131"/>
      <c r="L152" s="131"/>
      <c r="M152" s="131"/>
      <c r="N152" s="131"/>
      <c r="O152" s="131"/>
      <c r="P152" s="131"/>
      <c r="Q152" s="131"/>
      <c r="R152" s="187"/>
      <c r="S152" s="187"/>
    </row>
    <row r="153" spans="1:21">
      <c r="A153" t="s">
        <v>569</v>
      </c>
      <c r="K153" s="131"/>
      <c r="L153" s="131"/>
      <c r="M153" s="131"/>
      <c r="N153" s="131"/>
      <c r="O153" s="131"/>
      <c r="P153" s="131"/>
      <c r="Q153" s="131"/>
      <c r="R153" s="187"/>
      <c r="S153" s="187"/>
    </row>
    <row r="154" spans="1:21">
      <c r="A154" t="s">
        <v>570</v>
      </c>
      <c r="K154" s="131"/>
      <c r="L154" s="131"/>
      <c r="M154" s="131"/>
      <c r="N154" s="131"/>
      <c r="O154" s="131"/>
      <c r="P154" s="131"/>
      <c r="Q154" s="131"/>
      <c r="R154" s="187"/>
      <c r="S154" s="187"/>
    </row>
    <row r="155" spans="1:21">
      <c r="A155" t="s">
        <v>571</v>
      </c>
      <c r="K155" s="131"/>
      <c r="L155" s="131"/>
      <c r="M155" s="131"/>
      <c r="N155" s="131"/>
      <c r="O155" s="131"/>
      <c r="P155" s="131"/>
      <c r="Q155" s="131"/>
      <c r="R155" s="187"/>
      <c r="S155" s="187"/>
    </row>
    <row r="156" spans="1:21">
      <c r="A156" t="s">
        <v>528</v>
      </c>
      <c r="Q156" s="291"/>
    </row>
    <row r="157" spans="1:21">
      <c r="A157" s="292" t="s">
        <v>588</v>
      </c>
      <c r="Q157" s="293"/>
    </row>
    <row r="158" spans="1:21">
      <c r="A158" t="s">
        <v>686</v>
      </c>
      <c r="Q158" s="293"/>
      <c r="T158" s="265"/>
    </row>
    <row r="161" spans="17:17">
      <c r="Q161" s="294"/>
    </row>
  </sheetData>
  <mergeCells count="2">
    <mergeCell ref="K7:L7"/>
    <mergeCell ref="B7:C7"/>
  </mergeCells>
  <phoneticPr fontId="34" type="noConversion"/>
  <pageMargins left="0.7" right="0.7" top="0.75" bottom="0.75" header="0.3" footer="0.3"/>
  <pageSetup orientation="portrait" r:id="rId1"/>
  <headerFooter>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F7DA5-8F2A-447A-9B23-06CD6D8B0E1D}">
  <sheetPr codeName="Sheet2">
    <pageSetUpPr autoPageBreaks="0"/>
  </sheetPr>
  <dimension ref="B2:AD265"/>
  <sheetViews>
    <sheetView tabSelected="1" topLeftCell="A105" zoomScale="80" zoomScaleNormal="80" workbookViewId="0">
      <selection activeCell="A35" sqref="A35:XFD1048576"/>
    </sheetView>
  </sheetViews>
  <sheetFormatPr defaultColWidth="9.1796875" defaultRowHeight="14.5"/>
  <cols>
    <col min="2" max="2" width="46.54296875" customWidth="1"/>
    <col min="3" max="3" width="26.81640625" customWidth="1"/>
    <col min="4" max="4" width="58.26953125" customWidth="1"/>
    <col min="5" max="5" width="14.81640625" style="271" customWidth="1"/>
    <col min="6" max="6" width="23" customWidth="1"/>
    <col min="7" max="7" width="15.7265625" bestFit="1" customWidth="1"/>
    <col min="8" max="8" width="15" bestFit="1" customWidth="1"/>
    <col min="9" max="9" width="15.453125" bestFit="1" customWidth="1"/>
    <col min="10" max="10" width="15.453125" customWidth="1"/>
    <col min="11" max="11" width="15.453125" style="284" customWidth="1"/>
    <col min="12" max="12" width="13.81640625" customWidth="1"/>
    <col min="13" max="13" width="26.26953125" customWidth="1"/>
    <col min="14" max="14" width="13" bestFit="1" customWidth="1"/>
    <col min="15" max="15" width="27.7265625" customWidth="1"/>
    <col min="16" max="16" width="17.7265625" customWidth="1"/>
    <col min="18" max="18" width="22.1796875" bestFit="1" customWidth="1"/>
    <col min="19" max="19" width="17.26953125" customWidth="1"/>
    <col min="20" max="20" width="18.81640625" bestFit="1" customWidth="1"/>
    <col min="21" max="21" width="14.7265625" customWidth="1"/>
    <col min="22" max="22" width="13.81640625" customWidth="1"/>
    <col min="23" max="23" width="13.7265625" customWidth="1"/>
    <col min="24" max="24" width="25.453125" customWidth="1"/>
    <col min="25" max="25" width="15.453125" customWidth="1"/>
    <col min="30" max="30" width="11.54296875" bestFit="1" customWidth="1"/>
  </cols>
  <sheetData>
    <row r="2" spans="2:24">
      <c r="B2" t="str">
        <f>'Authorized Rev Req'!A2</f>
        <v>Annual Period 2025</v>
      </c>
      <c r="C2" s="295"/>
    </row>
    <row r="3" spans="2:24">
      <c r="B3" t="str">
        <f>'Authorized Rev Req'!A3</f>
        <v>Reporting Date: September 1, 2025</v>
      </c>
      <c r="C3" s="295"/>
      <c r="F3" s="276"/>
      <c r="G3" s="276"/>
      <c r="H3" s="276"/>
    </row>
    <row r="4" spans="2:24">
      <c r="C4" s="295"/>
      <c r="D4" s="253"/>
      <c r="G4" s="276"/>
    </row>
    <row r="5" spans="2:24">
      <c r="B5" s="31" t="s">
        <v>60</v>
      </c>
      <c r="C5" s="296">
        <f>'Authorized Rev Req'!S143</f>
        <v>19079592.832516689</v>
      </c>
      <c r="G5" s="285"/>
    </row>
    <row r="6" spans="2:24">
      <c r="B6" s="31" t="s">
        <v>153</v>
      </c>
      <c r="C6" s="296" t="str">
        <f>'Authorized Rev Req'!J5</f>
        <v>September 1, 2025</v>
      </c>
      <c r="I6" s="276"/>
    </row>
    <row r="7" spans="2:24" ht="32.25" customHeight="1">
      <c r="B7" s="449" t="s">
        <v>58</v>
      </c>
      <c r="C7" s="449"/>
      <c r="D7" s="449"/>
      <c r="E7" s="449"/>
      <c r="F7" s="449"/>
      <c r="G7" s="449"/>
      <c r="H7" s="449"/>
      <c r="I7" s="449"/>
      <c r="J7" s="449"/>
      <c r="K7" s="449"/>
    </row>
    <row r="8" spans="2:24" ht="71.25" customHeight="1">
      <c r="B8" s="297" t="s">
        <v>0</v>
      </c>
      <c r="C8" s="297" t="s">
        <v>506</v>
      </c>
      <c r="D8" s="298" t="s">
        <v>4</v>
      </c>
      <c r="E8" s="299" t="s">
        <v>525</v>
      </c>
      <c r="F8" s="298" t="s">
        <v>1</v>
      </c>
      <c r="G8" s="297"/>
      <c r="H8" s="297"/>
      <c r="I8" s="297"/>
      <c r="J8" s="297"/>
      <c r="K8" s="298" t="s">
        <v>61</v>
      </c>
      <c r="R8" s="300" t="s">
        <v>173</v>
      </c>
      <c r="S8" s="300"/>
    </row>
    <row r="9" spans="2:24">
      <c r="B9" s="31" t="s">
        <v>2</v>
      </c>
      <c r="G9">
        <v>2025</v>
      </c>
      <c r="H9">
        <f>G9+1</f>
        <v>2026</v>
      </c>
      <c r="I9">
        <f>H9+1</f>
        <v>2027</v>
      </c>
      <c r="J9">
        <f>I9+1</f>
        <v>2028</v>
      </c>
      <c r="S9" s="32">
        <f>G9</f>
        <v>2025</v>
      </c>
      <c r="T9" s="32">
        <f>H9</f>
        <v>2026</v>
      </c>
      <c r="U9" s="32">
        <f>I9</f>
        <v>2027</v>
      </c>
      <c r="V9" s="32">
        <f>J9</f>
        <v>2028</v>
      </c>
      <c r="W9" s="32"/>
    </row>
    <row r="10" spans="2:24">
      <c r="B10" t="s">
        <v>150</v>
      </c>
      <c r="D10" s="283" t="s">
        <v>406</v>
      </c>
      <c r="E10" s="283">
        <f>'Authorized Rev Req'!R9</f>
        <v>6884278.1674621208</v>
      </c>
      <c r="F10" t="s">
        <v>5</v>
      </c>
      <c r="G10" s="105">
        <f>E10</f>
        <v>6884278.1674621208</v>
      </c>
      <c r="H10" s="105">
        <v>7465284.4180195453</v>
      </c>
      <c r="I10" s="105">
        <f t="shared" ref="I10:J12" si="0">H10</f>
        <v>7465284.4180195453</v>
      </c>
      <c r="J10" s="105">
        <f t="shared" si="0"/>
        <v>7465284.4180195453</v>
      </c>
      <c r="K10" s="284" t="s">
        <v>130</v>
      </c>
      <c r="R10" t="s">
        <v>3</v>
      </c>
      <c r="S10" s="105">
        <f t="shared" ref="S10:S23" si="1">SUMIF($F$10:$F$99,$R10,G$10:G$99)</f>
        <v>4502517.1329402486</v>
      </c>
      <c r="T10" s="105">
        <f t="shared" ref="T10:T23" si="2">SUMIF($F$10:$F$99,$R10,H$10:H$99)</f>
        <v>4502508.7833402483</v>
      </c>
      <c r="U10" s="105">
        <f t="shared" ref="U10:U23" si="3">SUMIF($F$10:$F$99,$R10,I$10:I$99)</f>
        <v>4502517.1329402486</v>
      </c>
      <c r="V10" s="105">
        <f t="shared" ref="V10:V23" si="4">SUMIF($F$10:$F$99,$R10,J$10:J$99)</f>
        <v>4502517.1329402486</v>
      </c>
      <c r="W10" s="105"/>
      <c r="X10" s="105"/>
    </row>
    <row r="11" spans="2:24">
      <c r="B11" t="s">
        <v>316</v>
      </c>
      <c r="D11" s="283" t="s">
        <v>406</v>
      </c>
      <c r="E11" s="283">
        <f>'Authorized Rev Req'!R10</f>
        <v>978572.41428428795</v>
      </c>
      <c r="F11" t="s">
        <v>309</v>
      </c>
      <c r="G11" s="105">
        <f t="shared" ref="G11:G25" si="5">E11</f>
        <v>978572.41428428795</v>
      </c>
      <c r="H11" s="105">
        <f>G11</f>
        <v>978572.41428428795</v>
      </c>
      <c r="I11" s="105">
        <f t="shared" si="0"/>
        <v>978572.41428428795</v>
      </c>
      <c r="J11" s="105">
        <f t="shared" si="0"/>
        <v>978572.41428428795</v>
      </c>
      <c r="K11" s="284" t="s">
        <v>130</v>
      </c>
      <c r="R11" s="255" t="s">
        <v>14</v>
      </c>
      <c r="S11" s="105">
        <f t="shared" si="1"/>
        <v>325539.01622175635</v>
      </c>
      <c r="T11" s="105">
        <f t="shared" si="2"/>
        <v>373939.22244951449</v>
      </c>
      <c r="U11" s="105">
        <f t="shared" si="3"/>
        <v>373939.22244951449</v>
      </c>
      <c r="V11" s="105">
        <f t="shared" si="4"/>
        <v>373939.22244951449</v>
      </c>
      <c r="W11" s="105"/>
      <c r="X11" s="105"/>
    </row>
    <row r="12" spans="2:24">
      <c r="B12" t="s">
        <v>150</v>
      </c>
      <c r="D12" s="283" t="s">
        <v>406</v>
      </c>
      <c r="E12" s="283">
        <f>'Authorized Rev Req'!R15</f>
        <v>1850084.3723644684</v>
      </c>
      <c r="F12" t="s">
        <v>211</v>
      </c>
      <c r="G12" s="105">
        <f>E12</f>
        <v>1850084.3723644684</v>
      </c>
      <c r="H12" s="105">
        <v>1205677.1825411695</v>
      </c>
      <c r="I12" s="105">
        <f t="shared" si="0"/>
        <v>1205677.1825411695</v>
      </c>
      <c r="J12" s="105">
        <f t="shared" si="0"/>
        <v>1205677.1825411695</v>
      </c>
      <c r="K12" s="284" t="s">
        <v>130</v>
      </c>
      <c r="R12" t="s">
        <v>5</v>
      </c>
      <c r="S12" s="105">
        <f t="shared" si="1"/>
        <v>10405674.733848579</v>
      </c>
      <c r="T12" s="105">
        <f t="shared" si="2"/>
        <v>8075076.4170550192</v>
      </c>
      <c r="U12" s="105">
        <f t="shared" si="3"/>
        <v>8165141.4053219045</v>
      </c>
      <c r="V12" s="105">
        <f t="shared" si="4"/>
        <v>7961522.4053219045</v>
      </c>
      <c r="W12" s="105"/>
      <c r="X12" s="105"/>
    </row>
    <row r="13" spans="2:24">
      <c r="B13" t="s">
        <v>407</v>
      </c>
      <c r="D13" s="283" t="s">
        <v>406</v>
      </c>
      <c r="E13" s="283">
        <f>'Authorized Rev Req'!R12</f>
        <v>872096.71037771134</v>
      </c>
      <c r="F13" t="s">
        <v>5</v>
      </c>
      <c r="G13" s="284">
        <f t="shared" si="5"/>
        <v>872096.71037771134</v>
      </c>
      <c r="H13" s="284">
        <v>0</v>
      </c>
      <c r="I13" s="105">
        <v>0</v>
      </c>
      <c r="J13" s="105">
        <v>0</v>
      </c>
      <c r="K13" s="284" t="s">
        <v>129</v>
      </c>
      <c r="R13" t="s">
        <v>133</v>
      </c>
      <c r="S13" s="105">
        <f t="shared" si="1"/>
        <v>-721064.79799999995</v>
      </c>
      <c r="T13" s="105">
        <f t="shared" si="2"/>
        <v>-721064.79799999995</v>
      </c>
      <c r="U13" s="105">
        <f t="shared" si="3"/>
        <v>-721064.79799999995</v>
      </c>
      <c r="V13" s="105">
        <f t="shared" si="4"/>
        <v>-721064.79799999995</v>
      </c>
      <c r="W13" s="105"/>
      <c r="X13" s="105"/>
    </row>
    <row r="14" spans="2:24">
      <c r="B14" t="s">
        <v>407</v>
      </c>
      <c r="D14" s="283" t="s">
        <v>406</v>
      </c>
      <c r="E14" s="283">
        <f>'Authorized Rev Req'!R16</f>
        <v>-993.7272371893788</v>
      </c>
      <c r="F14" t="s">
        <v>211</v>
      </c>
      <c r="G14" s="284">
        <f t="shared" si="5"/>
        <v>-993.7272371893788</v>
      </c>
      <c r="H14" s="284">
        <v>0</v>
      </c>
      <c r="I14" s="105">
        <v>0</v>
      </c>
      <c r="J14" s="105">
        <v>0</v>
      </c>
      <c r="K14" s="284" t="s">
        <v>129</v>
      </c>
      <c r="R14" t="s">
        <v>68</v>
      </c>
      <c r="S14" s="105">
        <f t="shared" si="1"/>
        <v>-51714.55454002523</v>
      </c>
      <c r="T14" s="105">
        <f t="shared" si="2"/>
        <v>-28147.512925982206</v>
      </c>
      <c r="U14" s="105">
        <f t="shared" si="3"/>
        <v>-28147.512925982206</v>
      </c>
      <c r="V14" s="105">
        <f t="shared" si="4"/>
        <v>-28147.512925982206</v>
      </c>
      <c r="W14" s="105"/>
      <c r="X14" s="105"/>
    </row>
    <row r="15" spans="2:24">
      <c r="B15" t="s">
        <v>601</v>
      </c>
      <c r="D15" s="283" t="s">
        <v>590</v>
      </c>
      <c r="E15" s="283">
        <v>0</v>
      </c>
      <c r="F15" t="s">
        <v>5</v>
      </c>
      <c r="G15" s="276">
        <v>12980</v>
      </c>
      <c r="H15" s="276">
        <f>91568+G15</f>
        <v>104548</v>
      </c>
      <c r="I15" s="276">
        <f>99071+H15</f>
        <v>203619</v>
      </c>
      <c r="J15" s="276">
        <v>0</v>
      </c>
      <c r="K15" s="284" t="s">
        <v>130</v>
      </c>
      <c r="R15" t="s">
        <v>16</v>
      </c>
      <c r="S15" s="105">
        <f t="shared" si="1"/>
        <v>-19018.951371683193</v>
      </c>
      <c r="T15" s="105">
        <f t="shared" si="2"/>
        <v>0</v>
      </c>
      <c r="U15" s="105">
        <f t="shared" si="3"/>
        <v>0</v>
      </c>
      <c r="V15" s="105">
        <f t="shared" si="4"/>
        <v>0</v>
      </c>
      <c r="W15" s="105"/>
      <c r="X15" s="105"/>
    </row>
    <row r="16" spans="2:24">
      <c r="B16" t="s">
        <v>67</v>
      </c>
      <c r="D16" s="283" t="s">
        <v>594</v>
      </c>
      <c r="E16" s="276">
        <f>'Authorized Rev Req'!S17</f>
        <v>81329.474023171992</v>
      </c>
      <c r="F16" t="s">
        <v>5</v>
      </c>
      <c r="G16" s="276">
        <v>81329.474154799551</v>
      </c>
      <c r="H16" s="276">
        <f t="shared" ref="H16:J17" si="6">G16</f>
        <v>81329.474154799551</v>
      </c>
      <c r="I16" s="276">
        <f t="shared" si="6"/>
        <v>81329.474154799551</v>
      </c>
      <c r="J16" s="276">
        <f t="shared" si="6"/>
        <v>81329.474154799551</v>
      </c>
      <c r="K16" s="284" t="s">
        <v>130</v>
      </c>
      <c r="R16" t="s">
        <v>15</v>
      </c>
      <c r="S16" s="105">
        <f t="shared" si="1"/>
        <v>622641.69656726439</v>
      </c>
      <c r="T16" s="105">
        <f t="shared" si="2"/>
        <v>795322.84608701896</v>
      </c>
      <c r="U16" s="105">
        <f t="shared" si="3"/>
        <v>771838.78678901889</v>
      </c>
      <c r="V16" s="105">
        <f t="shared" si="4"/>
        <v>771838.78678901889</v>
      </c>
      <c r="W16" s="105"/>
      <c r="X16" s="105"/>
    </row>
    <row r="17" spans="2:24">
      <c r="B17" t="s">
        <v>67</v>
      </c>
      <c r="D17" s="283" t="s">
        <v>594</v>
      </c>
      <c r="E17" s="276">
        <f>'Authorized Rev Req'!R19</f>
        <v>39491.613222698499</v>
      </c>
      <c r="F17" t="s">
        <v>211</v>
      </c>
      <c r="G17" s="276">
        <f>E17</f>
        <v>39491.613222698499</v>
      </c>
      <c r="H17" s="276">
        <v>30252.388441054864</v>
      </c>
      <c r="I17" s="276">
        <f t="shared" si="6"/>
        <v>30252.388441054864</v>
      </c>
      <c r="J17" s="276">
        <f t="shared" si="6"/>
        <v>30252.388441054864</v>
      </c>
      <c r="K17" s="284" t="s">
        <v>130</v>
      </c>
      <c r="R17" t="s">
        <v>17</v>
      </c>
      <c r="S17" s="105">
        <f t="shared" si="1"/>
        <v>412561.55548204755</v>
      </c>
      <c r="T17" s="105">
        <f t="shared" si="2"/>
        <v>412561.55548204755</v>
      </c>
      <c r="U17" s="105">
        <f t="shared" si="3"/>
        <v>412561.55548204755</v>
      </c>
      <c r="V17" s="105">
        <f t="shared" si="4"/>
        <v>412561.55548204755</v>
      </c>
      <c r="W17" s="105"/>
      <c r="X17" s="105"/>
    </row>
    <row r="18" spans="2:24">
      <c r="B18" t="s">
        <v>405</v>
      </c>
      <c r="D18" s="283" t="s">
        <v>406</v>
      </c>
      <c r="E18" s="283">
        <f>'Authorized Rev Req'!R13</f>
        <v>8940.0690988847255</v>
      </c>
      <c r="F18" t="s">
        <v>5</v>
      </c>
      <c r="G18" s="105">
        <f>E18</f>
        <v>8940.0690988847255</v>
      </c>
      <c r="H18" s="105">
        <v>0</v>
      </c>
      <c r="I18" s="105">
        <v>0</v>
      </c>
      <c r="J18" s="105">
        <v>0</v>
      </c>
      <c r="K18" s="284" t="s">
        <v>129</v>
      </c>
      <c r="R18" s="255" t="s">
        <v>131</v>
      </c>
      <c r="S18" s="105">
        <f t="shared" si="1"/>
        <v>699.27697046948424</v>
      </c>
      <c r="T18" s="105">
        <f t="shared" si="2"/>
        <v>0</v>
      </c>
      <c r="U18" s="105">
        <f t="shared" si="3"/>
        <v>0</v>
      </c>
      <c r="V18" s="105">
        <f t="shared" si="4"/>
        <v>0</v>
      </c>
      <c r="W18" s="105"/>
      <c r="X18" s="105"/>
    </row>
    <row r="19" spans="2:24">
      <c r="B19" t="s">
        <v>72</v>
      </c>
      <c r="D19" s="283" t="s">
        <v>406</v>
      </c>
      <c r="E19" s="283">
        <f>'Authorized Rev Req'!R20</f>
        <v>-1939</v>
      </c>
      <c r="F19" t="s">
        <v>211</v>
      </c>
      <c r="G19" s="105">
        <f t="shared" si="5"/>
        <v>-1939</v>
      </c>
      <c r="H19" s="105">
        <f t="shared" ref="H19:I21" si="7">G19</f>
        <v>-1939</v>
      </c>
      <c r="I19" s="105">
        <f t="shared" si="7"/>
        <v>-1939</v>
      </c>
      <c r="J19" s="105">
        <f>I19</f>
        <v>-1939</v>
      </c>
      <c r="K19" s="284" t="s">
        <v>130</v>
      </c>
      <c r="R19" t="s">
        <v>10</v>
      </c>
      <c r="S19" s="105">
        <f t="shared" si="1"/>
        <v>2903023.3845576458</v>
      </c>
      <c r="T19" s="105">
        <f t="shared" si="2"/>
        <v>2903016.3845576458</v>
      </c>
      <c r="U19" s="105">
        <f t="shared" si="3"/>
        <v>2903023.3845576458</v>
      </c>
      <c r="V19" s="105">
        <f t="shared" si="4"/>
        <v>2903023.3845576458</v>
      </c>
      <c r="W19" s="105"/>
      <c r="X19" s="105"/>
    </row>
    <row r="20" spans="2:24">
      <c r="B20" t="s">
        <v>399</v>
      </c>
      <c r="D20" s="283" t="s">
        <v>437</v>
      </c>
      <c r="E20" s="283">
        <f>'Authorized Rev Req'!R21</f>
        <v>4499559.0665874425</v>
      </c>
      <c r="F20" t="s">
        <v>3</v>
      </c>
      <c r="G20" s="105">
        <f t="shared" si="5"/>
        <v>4499559.0665874425</v>
      </c>
      <c r="H20" s="105">
        <f t="shared" si="7"/>
        <v>4499559.0665874425</v>
      </c>
      <c r="I20" s="105">
        <f t="shared" si="7"/>
        <v>4499559.0665874425</v>
      </c>
      <c r="J20" s="105">
        <f>I20</f>
        <v>4499559.0665874425</v>
      </c>
      <c r="K20" s="284" t="s">
        <v>130</v>
      </c>
      <c r="R20" t="s">
        <v>138</v>
      </c>
      <c r="S20" s="105">
        <f t="shared" si="1"/>
        <v>-611543.92556319828</v>
      </c>
      <c r="T20" s="105">
        <f t="shared" si="2"/>
        <v>240761.98928941565</v>
      </c>
      <c r="U20" s="105">
        <f t="shared" si="3"/>
        <v>240761.98928941565</v>
      </c>
      <c r="V20" s="105">
        <f t="shared" si="4"/>
        <v>240761.98928941565</v>
      </c>
      <c r="W20" s="105"/>
      <c r="X20" s="105"/>
    </row>
    <row r="21" spans="2:24">
      <c r="B21" t="s">
        <v>399</v>
      </c>
      <c r="D21" s="283" t="s">
        <v>437</v>
      </c>
      <c r="E21" s="283">
        <f>'Authorized Rev Req'!R22</f>
        <v>-2331331.0225770986</v>
      </c>
      <c r="F21" t="s">
        <v>211</v>
      </c>
      <c r="G21" s="105">
        <f t="shared" si="5"/>
        <v>-2331331.0225770986</v>
      </c>
      <c r="H21" s="105">
        <f t="shared" si="7"/>
        <v>-2331331.0225770986</v>
      </c>
      <c r="I21" s="105">
        <f t="shared" si="7"/>
        <v>-2331331.0225770986</v>
      </c>
      <c r="J21" s="105">
        <f>I21</f>
        <v>-2331331.0225770986</v>
      </c>
      <c r="K21" s="284" t="s">
        <v>130</v>
      </c>
      <c r="R21" t="s">
        <v>211</v>
      </c>
      <c r="S21" s="105">
        <f t="shared" si="1"/>
        <v>-310246.31505594333</v>
      </c>
      <c r="T21" s="105">
        <f t="shared" si="2"/>
        <v>-1092329.4691793472</v>
      </c>
      <c r="U21" s="105">
        <f t="shared" si="3"/>
        <v>-1078908.3052446018</v>
      </c>
      <c r="V21" s="105">
        <f t="shared" si="4"/>
        <v>-1078908.3052446018</v>
      </c>
      <c r="W21" s="105"/>
      <c r="X21" s="105"/>
    </row>
    <row r="22" spans="2:24">
      <c r="B22" t="s">
        <v>400</v>
      </c>
      <c r="D22" s="283" t="s">
        <v>437</v>
      </c>
      <c r="E22" s="283">
        <f>'Authorized Rev Req'!R28</f>
        <v>-28147.512925982206</v>
      </c>
      <c r="F22" t="s">
        <v>68</v>
      </c>
      <c r="G22" s="105">
        <f t="shared" si="5"/>
        <v>-28147.512925982206</v>
      </c>
      <c r="H22" s="105">
        <f t="shared" ref="H22:I23" si="8">G22</f>
        <v>-28147.512925982206</v>
      </c>
      <c r="I22" s="105">
        <f t="shared" si="8"/>
        <v>-28147.512925982206</v>
      </c>
      <c r="J22" s="105">
        <f>I22</f>
        <v>-28147.512925982206</v>
      </c>
      <c r="K22" s="284" t="s">
        <v>130</v>
      </c>
      <c r="R22" t="s">
        <v>284</v>
      </c>
      <c r="S22" s="105">
        <f t="shared" si="1"/>
        <v>198112.67772779291</v>
      </c>
      <c r="T22" s="105">
        <f t="shared" si="2"/>
        <v>198112.67772779291</v>
      </c>
      <c r="U22" s="105">
        <f t="shared" si="3"/>
        <v>198112.67772779291</v>
      </c>
      <c r="V22" s="105">
        <f t="shared" si="4"/>
        <v>198112.67772779291</v>
      </c>
      <c r="W22" s="105"/>
      <c r="X22" s="105"/>
    </row>
    <row r="23" spans="2:24">
      <c r="B23" t="s">
        <v>108</v>
      </c>
      <c r="D23" s="283" t="s">
        <v>437</v>
      </c>
      <c r="E23" s="283">
        <f>'Authorized Rev Req'!R30</f>
        <v>373939.22244951449</v>
      </c>
      <c r="F23" t="s">
        <v>14</v>
      </c>
      <c r="G23" s="105">
        <f t="shared" si="5"/>
        <v>373939.22244951449</v>
      </c>
      <c r="H23" s="105">
        <f t="shared" si="8"/>
        <v>373939.22244951449</v>
      </c>
      <c r="I23" s="105">
        <f t="shared" si="8"/>
        <v>373939.22244951449</v>
      </c>
      <c r="J23" s="105">
        <f>I23</f>
        <v>373939.22244951449</v>
      </c>
      <c r="K23" s="284" t="s">
        <v>130</v>
      </c>
      <c r="R23" t="s">
        <v>309</v>
      </c>
      <c r="S23" s="105">
        <f t="shared" si="1"/>
        <v>1435391.757676258</v>
      </c>
      <c r="T23" s="105">
        <f t="shared" si="2"/>
        <v>972478.7935912325</v>
      </c>
      <c r="U23" s="105">
        <f t="shared" si="3"/>
        <v>972478.7935912325</v>
      </c>
      <c r="V23" s="105">
        <f t="shared" si="4"/>
        <v>972478.7935912325</v>
      </c>
      <c r="X23" s="105"/>
    </row>
    <row r="24" spans="2:24">
      <c r="B24" t="s">
        <v>70</v>
      </c>
      <c r="D24" s="283" t="str">
        <f>'Authorized Rev Req'!C38</f>
        <v>D.18-01-022</v>
      </c>
      <c r="E24" s="283">
        <f>'Authorized Rev Req'!R38</f>
        <v>3003.6242956951987</v>
      </c>
      <c r="F24" t="s">
        <v>16</v>
      </c>
      <c r="G24" s="105">
        <f t="shared" si="5"/>
        <v>3003.6242956951987</v>
      </c>
      <c r="H24" s="105">
        <v>0</v>
      </c>
      <c r="I24" s="105">
        <v>0</v>
      </c>
      <c r="J24" s="105">
        <v>0</v>
      </c>
      <c r="K24" s="284" t="s">
        <v>130</v>
      </c>
      <c r="Q24" s="258"/>
      <c r="R24" t="s">
        <v>136</v>
      </c>
      <c r="S24" s="301">
        <f>SUM(S10:S23)</f>
        <v>19092572.687461212</v>
      </c>
      <c r="T24" s="301">
        <f>SUM(T10:T23)</f>
        <v>16632236.889474606</v>
      </c>
      <c r="U24" s="301">
        <f>SUM(U10:U23)</f>
        <v>16712254.331978234</v>
      </c>
      <c r="V24" s="301">
        <f>SUM(V10:V23)</f>
        <v>16508635.331978234</v>
      </c>
      <c r="W24" s="276"/>
    </row>
    <row r="25" spans="2:24" ht="16.5" customHeight="1">
      <c r="B25" t="s">
        <v>70</v>
      </c>
      <c r="D25" s="283" t="str">
        <f>'Authorized Rev Req'!C39</f>
        <v>D.18-01-022</v>
      </c>
      <c r="E25" s="283">
        <f>'Authorized Rev Req'!R39</f>
        <v>2359.1716000000001</v>
      </c>
      <c r="F25" t="s">
        <v>211</v>
      </c>
      <c r="G25" s="105">
        <f t="shared" si="5"/>
        <v>2359.1716000000001</v>
      </c>
      <c r="H25" s="105">
        <v>0</v>
      </c>
      <c r="I25" s="105">
        <v>0</v>
      </c>
      <c r="J25" s="105">
        <v>0</v>
      </c>
      <c r="K25" s="284" t="s">
        <v>130</v>
      </c>
      <c r="R25" s="251"/>
      <c r="T25" s="276"/>
      <c r="U25" s="276"/>
      <c r="V25" s="276"/>
    </row>
    <row r="26" spans="2:24" ht="14.25" customHeight="1">
      <c r="B26" t="s">
        <v>69</v>
      </c>
      <c r="D26" s="283" t="s">
        <v>514</v>
      </c>
      <c r="E26" s="283">
        <f>'Authorized Rev Req'!R33</f>
        <v>127793.28740318524</v>
      </c>
      <c r="F26" t="s">
        <v>5</v>
      </c>
      <c r="G26" s="105">
        <f>E26</f>
        <v>127793.28740318524</v>
      </c>
      <c r="H26" s="105">
        <v>128462.52263410749</v>
      </c>
      <c r="I26" s="105">
        <f>H26</f>
        <v>128462.52263410749</v>
      </c>
      <c r="J26" s="105">
        <f>I26</f>
        <v>128462.52263410749</v>
      </c>
      <c r="K26" s="284" t="s">
        <v>130</v>
      </c>
      <c r="R26" s="251"/>
      <c r="U26" s="276"/>
      <c r="V26" s="276"/>
    </row>
    <row r="27" spans="2:24">
      <c r="B27" t="s">
        <v>69</v>
      </c>
      <c r="D27" s="283" t="s">
        <v>514</v>
      </c>
      <c r="E27" s="283">
        <f>'Authorized Rev Req'!R34</f>
        <v>16480.830059694865</v>
      </c>
      <c r="F27" t="s">
        <v>211</v>
      </c>
      <c r="G27" s="105">
        <f>E27</f>
        <v>16480.830059694865</v>
      </c>
      <c r="H27" s="105">
        <v>18432.146350272367</v>
      </c>
      <c r="I27" s="105">
        <f t="shared" ref="I27:J27" si="9">H27</f>
        <v>18432.146350272367</v>
      </c>
      <c r="J27" s="105">
        <f t="shared" si="9"/>
        <v>18432.146350272367</v>
      </c>
      <c r="K27" s="284" t="s">
        <v>130</v>
      </c>
      <c r="L27" s="276"/>
      <c r="S27" s="105"/>
      <c r="T27" s="251"/>
      <c r="W27" s="276"/>
    </row>
    <row r="28" spans="2:24">
      <c r="B28" t="s">
        <v>408</v>
      </c>
      <c r="D28" s="283" t="s">
        <v>418</v>
      </c>
      <c r="E28" s="283">
        <f>'Authorized Rev Req'!R44</f>
        <v>412561.55548204755</v>
      </c>
      <c r="F28" t="s">
        <v>17</v>
      </c>
      <c r="G28" s="100">
        <f>E28</f>
        <v>412561.55548204755</v>
      </c>
      <c r="H28" s="100">
        <f t="shared" ref="H28:J29" si="10">G28</f>
        <v>412561.55548204755</v>
      </c>
      <c r="I28" s="100">
        <f t="shared" si="10"/>
        <v>412561.55548204755</v>
      </c>
      <c r="J28" s="105">
        <f t="shared" si="10"/>
        <v>412561.55548204755</v>
      </c>
      <c r="K28" s="284" t="s">
        <v>130</v>
      </c>
      <c r="S28" s="105"/>
      <c r="T28" s="251"/>
    </row>
    <row r="29" spans="2:24">
      <c r="B29" t="s">
        <v>86</v>
      </c>
      <c r="D29" s="283" t="str">
        <f>'Authorized Rev Req'!C45</f>
        <v>CPUC Code 6350-6354</v>
      </c>
      <c r="E29" s="283">
        <f>'Authorized Rev Req'!R45</f>
        <v>2958.066352806281</v>
      </c>
      <c r="F29" t="s">
        <v>3</v>
      </c>
      <c r="G29" s="100">
        <f>E29</f>
        <v>2958.066352806281</v>
      </c>
      <c r="H29" s="100">
        <f t="shared" si="10"/>
        <v>2958.066352806281</v>
      </c>
      <c r="I29" s="100">
        <f t="shared" si="10"/>
        <v>2958.066352806281</v>
      </c>
      <c r="J29" s="105">
        <f t="shared" si="10"/>
        <v>2958.066352806281</v>
      </c>
      <c r="K29" s="284" t="s">
        <v>130</v>
      </c>
      <c r="T29" s="276"/>
      <c r="U29" s="276"/>
    </row>
    <row r="30" spans="2:24">
      <c r="B30" t="s">
        <v>473</v>
      </c>
      <c r="D30" s="283" t="s">
        <v>475</v>
      </c>
      <c r="E30" s="105">
        <f>'Authorized Rev Req'!S47</f>
        <v>0</v>
      </c>
      <c r="F30" t="s">
        <v>309</v>
      </c>
      <c r="G30" s="184">
        <v>0</v>
      </c>
      <c r="H30" s="184">
        <v>0</v>
      </c>
      <c r="I30" s="184">
        <v>0</v>
      </c>
      <c r="J30" s="184">
        <v>0</v>
      </c>
      <c r="K30" s="284" t="s">
        <v>129</v>
      </c>
      <c r="T30" s="276"/>
      <c r="U30" s="276"/>
    </row>
    <row r="31" spans="2:24">
      <c r="B31" t="s">
        <v>473</v>
      </c>
      <c r="D31" s="283" t="s">
        <v>475</v>
      </c>
      <c r="E31" s="105">
        <f>'Authorized Rev Req'!S48</f>
        <v>0</v>
      </c>
      <c r="F31" t="s">
        <v>5</v>
      </c>
      <c r="G31" s="184">
        <v>0</v>
      </c>
      <c r="H31" s="184">
        <v>0</v>
      </c>
      <c r="I31" s="184">
        <v>0</v>
      </c>
      <c r="J31" s="184">
        <v>0</v>
      </c>
      <c r="K31" s="284" t="s">
        <v>129</v>
      </c>
      <c r="T31" s="276"/>
      <c r="U31" s="276"/>
    </row>
    <row r="32" spans="2:24">
      <c r="B32" t="s">
        <v>230</v>
      </c>
      <c r="D32" s="283" t="str">
        <f>'Authorized Rev Req'!C51</f>
        <v>n/a</v>
      </c>
      <c r="E32" s="283">
        <f>'Authorized Rev Req'!R51</f>
        <v>-200072.08603701723</v>
      </c>
      <c r="F32" t="s">
        <v>309</v>
      </c>
      <c r="G32" s="184">
        <f t="shared" ref="G32" si="11">E32</f>
        <v>-200072.08603701723</v>
      </c>
      <c r="H32" s="184">
        <v>0</v>
      </c>
      <c r="I32" s="184">
        <v>0</v>
      </c>
      <c r="J32" s="105">
        <v>0</v>
      </c>
      <c r="K32" s="284" t="s">
        <v>130</v>
      </c>
      <c r="T32" s="276"/>
      <c r="U32" s="276"/>
    </row>
    <row r="33" spans="2:21">
      <c r="D33" s="283"/>
      <c r="E33" s="283"/>
      <c r="G33" s="184"/>
      <c r="H33" s="100"/>
      <c r="I33" s="100"/>
      <c r="J33" s="105"/>
      <c r="T33" s="276"/>
      <c r="U33" s="276"/>
    </row>
    <row r="34" spans="2:21">
      <c r="B34" t="s">
        <v>290</v>
      </c>
      <c r="D34" s="283" t="str">
        <f>'Authorized Rev Req'!C49</f>
        <v>n/a</v>
      </c>
      <c r="E34" s="283">
        <f>'Authorized Rev Req'!R49</f>
        <v>0</v>
      </c>
      <c r="F34" t="s">
        <v>5</v>
      </c>
      <c r="G34" s="184">
        <f t="shared" ref="G34:G40" si="12">E34</f>
        <v>0</v>
      </c>
      <c r="H34" s="184">
        <v>0</v>
      </c>
      <c r="I34" s="184">
        <v>0</v>
      </c>
      <c r="J34" s="184">
        <v>0</v>
      </c>
      <c r="K34" s="284" t="s">
        <v>130</v>
      </c>
      <c r="T34" s="276"/>
      <c r="U34" s="276"/>
    </row>
    <row r="35" spans="2:21">
      <c r="B35" t="s">
        <v>315</v>
      </c>
      <c r="D35" s="283" t="str">
        <f>'Authorized Rev Req'!C50</f>
        <v>n/a</v>
      </c>
      <c r="E35" s="283">
        <f>'Authorized Rev Req'!R50</f>
        <v>0</v>
      </c>
      <c r="F35" t="s">
        <v>309</v>
      </c>
      <c r="G35" s="184">
        <f t="shared" si="12"/>
        <v>0</v>
      </c>
      <c r="H35" s="184">
        <v>0</v>
      </c>
      <c r="I35" s="184">
        <v>0</v>
      </c>
      <c r="J35" s="184">
        <v>0</v>
      </c>
      <c r="K35" s="284" t="s">
        <v>130</v>
      </c>
      <c r="T35" s="276"/>
      <c r="U35" s="276"/>
    </row>
    <row r="36" spans="2:21">
      <c r="B36" t="s">
        <v>317</v>
      </c>
      <c r="D36" s="283" t="str">
        <f>'Authorized Rev Req'!C52</f>
        <v>D.21-06-030, AL 7106-E</v>
      </c>
      <c r="E36" s="283">
        <f>'Authorized Rev Req'!R52</f>
        <v>39502.880411345875</v>
      </c>
      <c r="F36" t="s">
        <v>284</v>
      </c>
      <c r="G36" s="100">
        <f t="shared" si="12"/>
        <v>39502.880411345875</v>
      </c>
      <c r="H36" s="185">
        <f>G36</f>
        <v>39502.880411345875</v>
      </c>
      <c r="I36" s="185">
        <f>H36</f>
        <v>39502.880411345875</v>
      </c>
      <c r="J36" s="129">
        <f>I36</f>
        <v>39502.880411345875</v>
      </c>
      <c r="K36" s="284" t="s">
        <v>130</v>
      </c>
      <c r="T36" s="276"/>
      <c r="U36" s="276"/>
    </row>
    <row r="37" spans="2:21">
      <c r="B37" t="s">
        <v>317</v>
      </c>
      <c r="D37" s="283" t="str">
        <f>'Authorized Rev Req'!C53</f>
        <v>D.21-06-030, AL 6390-E</v>
      </c>
      <c r="E37" s="283">
        <f>'Authorized Rev Req'!R53</f>
        <v>694.73049344599997</v>
      </c>
      <c r="F37" t="s">
        <v>309</v>
      </c>
      <c r="G37" s="185">
        <f t="shared" si="12"/>
        <v>694.73049344599997</v>
      </c>
      <c r="H37" s="100">
        <f t="shared" ref="H37:I39" si="13">G37</f>
        <v>694.73049344599997</v>
      </c>
      <c r="I37" s="100">
        <f t="shared" si="13"/>
        <v>694.73049344599997</v>
      </c>
      <c r="J37" s="129">
        <f>I37</f>
        <v>694.73049344599997</v>
      </c>
      <c r="K37" s="284" t="s">
        <v>130</v>
      </c>
      <c r="T37" s="276"/>
      <c r="U37" s="276"/>
    </row>
    <row r="38" spans="2:21">
      <c r="B38" t="s">
        <v>318</v>
      </c>
      <c r="D38" s="283" t="str">
        <f>'Authorized Rev Req'!C54</f>
        <v>D.22-08-004, AL 7126-E</v>
      </c>
      <c r="E38" s="283">
        <f>'Authorized Rev Req'!R54</f>
        <v>66437.360080157887</v>
      </c>
      <c r="F38" t="s">
        <v>284</v>
      </c>
      <c r="G38" s="100">
        <f t="shared" si="12"/>
        <v>66437.360080157887</v>
      </c>
      <c r="H38" s="100">
        <f t="shared" si="13"/>
        <v>66437.360080157887</v>
      </c>
      <c r="I38" s="100">
        <f t="shared" si="13"/>
        <v>66437.360080157887</v>
      </c>
      <c r="J38" s="129">
        <f>I38</f>
        <v>66437.360080157887</v>
      </c>
      <c r="K38" s="284" t="s">
        <v>130</v>
      </c>
      <c r="L38" s="105"/>
      <c r="M38" s="105"/>
      <c r="O38" s="105"/>
      <c r="P38" s="302"/>
    </row>
    <row r="39" spans="2:21">
      <c r="B39" t="s">
        <v>318</v>
      </c>
      <c r="D39" s="283" t="str">
        <f>'Authorized Rev Req'!C55</f>
        <v>D.22-08-004, AL 6769-E</v>
      </c>
      <c r="E39" s="283">
        <f>'Authorized Rev Req'!R55</f>
        <v>-6788.3511865014989</v>
      </c>
      <c r="F39" t="s">
        <v>309</v>
      </c>
      <c r="G39" s="100">
        <f t="shared" si="12"/>
        <v>-6788.3511865014989</v>
      </c>
      <c r="H39" s="100">
        <f t="shared" si="13"/>
        <v>-6788.3511865014989</v>
      </c>
      <c r="I39" s="100">
        <f t="shared" si="13"/>
        <v>-6788.3511865014989</v>
      </c>
      <c r="J39" s="129">
        <f>I39</f>
        <v>-6788.3511865014989</v>
      </c>
      <c r="K39" s="284" t="s">
        <v>130</v>
      </c>
      <c r="L39" s="105"/>
      <c r="M39" s="105"/>
      <c r="O39" s="98"/>
      <c r="P39" s="302"/>
    </row>
    <row r="40" spans="2:21">
      <c r="B40" t="s">
        <v>384</v>
      </c>
      <c r="D40" s="283" t="s">
        <v>435</v>
      </c>
      <c r="E40" s="105">
        <f>'Authorized Rev Req'!S56</f>
        <v>92172.437236289144</v>
      </c>
      <c r="F40" t="s">
        <v>284</v>
      </c>
      <c r="G40" s="100">
        <f t="shared" si="12"/>
        <v>92172.437236289144</v>
      </c>
      <c r="H40" s="100">
        <f>G40</f>
        <v>92172.437236289144</v>
      </c>
      <c r="I40" s="100">
        <f>H40</f>
        <v>92172.437236289144</v>
      </c>
      <c r="J40" s="105">
        <f>I40</f>
        <v>92172.437236289144</v>
      </c>
      <c r="K40" s="284" t="s">
        <v>129</v>
      </c>
      <c r="L40" s="105"/>
      <c r="M40" s="105"/>
      <c r="O40" s="105"/>
      <c r="P40" s="302"/>
    </row>
    <row r="41" spans="2:21">
      <c r="B41" t="s">
        <v>277</v>
      </c>
      <c r="D41" s="283" t="str">
        <f>'Authorized Rev Req'!C60</f>
        <v>D.21-03-056, D.21-12-015</v>
      </c>
      <c r="E41" s="132">
        <f>'Authorized Rev Req'!R60</f>
        <v>0</v>
      </c>
      <c r="F41" t="s">
        <v>5</v>
      </c>
      <c r="G41" s="100">
        <f>E41</f>
        <v>0</v>
      </c>
      <c r="H41" s="100">
        <v>0</v>
      </c>
      <c r="I41" s="100">
        <v>0</v>
      </c>
      <c r="J41" s="105">
        <v>0</v>
      </c>
      <c r="K41" s="284" t="s">
        <v>130</v>
      </c>
    </row>
    <row r="42" spans="2:21">
      <c r="B42" t="s">
        <v>212</v>
      </c>
      <c r="D42" s="283" t="str">
        <f>'Authorized Rev Req'!C61</f>
        <v>D.21-08-027</v>
      </c>
      <c r="E42" s="283">
        <f>'Authorized Rev Req'!R61</f>
        <v>-39916.957755412455</v>
      </c>
      <c r="F42" t="s">
        <v>5</v>
      </c>
      <c r="G42" s="100">
        <f>E42</f>
        <v>-39916.957755412455</v>
      </c>
      <c r="H42" s="100">
        <f>G42</f>
        <v>-39916.957755412455</v>
      </c>
      <c r="I42" s="100">
        <v>0</v>
      </c>
      <c r="J42" s="105">
        <v>0</v>
      </c>
      <c r="K42" s="284" t="s">
        <v>130</v>
      </c>
    </row>
    <row r="43" spans="2:21">
      <c r="B43" t="s">
        <v>212</v>
      </c>
      <c r="D43" s="283" t="str">
        <f>'Authorized Rev Req'!C62</f>
        <v>D.21-08-027</v>
      </c>
      <c r="E43" s="283">
        <f>'Authorized Rev Req'!R62</f>
        <v>-21650.502093028372</v>
      </c>
      <c r="F43" t="s">
        <v>211</v>
      </c>
      <c r="G43" s="100">
        <f>E43</f>
        <v>-21650.502093028372</v>
      </c>
      <c r="H43" s="100">
        <v>-22823.387058155302</v>
      </c>
      <c r="I43" s="100">
        <v>0</v>
      </c>
      <c r="J43" s="105">
        <v>0</v>
      </c>
      <c r="K43" s="284" t="s">
        <v>130</v>
      </c>
    </row>
    <row r="44" spans="2:21">
      <c r="B44" t="s">
        <v>402</v>
      </c>
      <c r="D44" s="283" t="s">
        <v>403</v>
      </c>
      <c r="E44" s="283">
        <f>'Authorized Rev Req'!R64</f>
        <v>29940.319159426792</v>
      </c>
      <c r="F44" t="s">
        <v>211</v>
      </c>
      <c r="G44" s="105">
        <f t="shared" ref="G44:G46" si="14">E44</f>
        <v>29940.319159426792</v>
      </c>
      <c r="H44" s="105">
        <v>0</v>
      </c>
      <c r="I44" s="105">
        <v>0</v>
      </c>
      <c r="J44" s="105">
        <v>0</v>
      </c>
      <c r="K44" s="284" t="s">
        <v>130</v>
      </c>
      <c r="L44" s="105"/>
      <c r="M44" s="105"/>
      <c r="O44" s="105"/>
      <c r="P44" s="302"/>
    </row>
    <row r="45" spans="2:21">
      <c r="B45" t="s">
        <v>401</v>
      </c>
      <c r="D45" s="283" t="s">
        <v>404</v>
      </c>
      <c r="E45" s="283">
        <v>0</v>
      </c>
      <c r="F45" t="s">
        <v>5</v>
      </c>
      <c r="G45" s="105">
        <f t="shared" si="14"/>
        <v>0</v>
      </c>
      <c r="H45" s="105">
        <v>0</v>
      </c>
      <c r="I45" s="105">
        <v>0</v>
      </c>
      <c r="J45" s="105">
        <v>0</v>
      </c>
      <c r="K45" s="284" t="s">
        <v>130</v>
      </c>
      <c r="L45" s="105"/>
      <c r="M45" s="105"/>
      <c r="O45" s="105"/>
      <c r="P45" s="302"/>
    </row>
    <row r="46" spans="2:21">
      <c r="B46" t="s">
        <v>401</v>
      </c>
      <c r="D46" s="283" t="s">
        <v>404</v>
      </c>
      <c r="E46" s="283">
        <f>'Authorized Rev Req'!R63</f>
        <v>38485.892894236385</v>
      </c>
      <c r="F46" t="s">
        <v>211</v>
      </c>
      <c r="G46" s="105">
        <f t="shared" si="14"/>
        <v>38485.892894236385</v>
      </c>
      <c r="H46" s="105">
        <v>0</v>
      </c>
      <c r="I46" s="105">
        <v>0</v>
      </c>
      <c r="J46" s="105">
        <v>0</v>
      </c>
      <c r="K46" s="284" t="s">
        <v>130</v>
      </c>
      <c r="L46" s="105"/>
      <c r="M46" s="105"/>
      <c r="O46" s="105"/>
      <c r="P46" s="302"/>
    </row>
    <row r="47" spans="2:21">
      <c r="B47" t="s">
        <v>367</v>
      </c>
      <c r="D47" s="283" t="s">
        <v>366</v>
      </c>
      <c r="E47" s="283">
        <f>'Authorized Rev Req'!S70</f>
        <v>0</v>
      </c>
      <c r="F47" s="291" t="str">
        <f>'Authorized Rev Req'!T68</f>
        <v>Distribution</v>
      </c>
      <c r="G47" s="276">
        <v>0</v>
      </c>
      <c r="H47" s="105">
        <v>0</v>
      </c>
      <c r="I47" s="105">
        <v>0</v>
      </c>
      <c r="J47" s="105">
        <v>0</v>
      </c>
      <c r="K47" s="284" t="s">
        <v>129</v>
      </c>
      <c r="L47" s="105"/>
      <c r="M47" s="105"/>
      <c r="N47" s="291"/>
      <c r="O47" s="105"/>
      <c r="P47" s="302"/>
    </row>
    <row r="48" spans="2:21">
      <c r="B48" t="s">
        <v>367</v>
      </c>
      <c r="D48" s="283" t="s">
        <v>366</v>
      </c>
      <c r="E48" s="283">
        <f>'Authorized Rev Req'!S69</f>
        <v>0</v>
      </c>
      <c r="F48" t="s">
        <v>309</v>
      </c>
      <c r="G48" s="276">
        <v>0</v>
      </c>
      <c r="H48" s="105">
        <v>0</v>
      </c>
      <c r="I48" s="105">
        <v>0</v>
      </c>
      <c r="J48" s="105">
        <v>0</v>
      </c>
      <c r="K48" s="284" t="s">
        <v>129</v>
      </c>
      <c r="L48" s="105"/>
      <c r="M48" s="105"/>
      <c r="O48" s="105"/>
      <c r="P48" s="302"/>
    </row>
    <row r="49" spans="2:21">
      <c r="B49" t="s">
        <v>368</v>
      </c>
      <c r="C49" s="62"/>
      <c r="D49" s="283" t="s">
        <v>564</v>
      </c>
      <c r="E49" s="283">
        <f>'Authorized Rev Req'!R72</f>
        <v>360737.04400514957</v>
      </c>
      <c r="F49" t="s">
        <v>5</v>
      </c>
      <c r="G49" s="276">
        <f t="shared" ref="G49:G54" si="15">E49</f>
        <v>360737.04400514957</v>
      </c>
      <c r="H49" s="105">
        <v>0</v>
      </c>
      <c r="I49" s="105">
        <v>0</v>
      </c>
      <c r="J49" s="105">
        <v>0</v>
      </c>
      <c r="K49" s="284" t="s">
        <v>129</v>
      </c>
      <c r="L49" s="105"/>
      <c r="M49" s="105"/>
      <c r="N49" s="62"/>
      <c r="O49" s="105"/>
      <c r="P49" s="302"/>
    </row>
    <row r="50" spans="2:21">
      <c r="B50" t="s">
        <v>368</v>
      </c>
      <c r="C50" s="62"/>
      <c r="D50" s="283" t="s">
        <v>564</v>
      </c>
      <c r="E50" s="283">
        <f>'Authorized Rev Req'!R71</f>
        <v>142061.93755242301</v>
      </c>
      <c r="F50" t="s">
        <v>309</v>
      </c>
      <c r="G50" s="105">
        <f t="shared" si="15"/>
        <v>142061.93755242301</v>
      </c>
      <c r="H50" s="105">
        <v>0</v>
      </c>
      <c r="I50" s="105">
        <v>0</v>
      </c>
      <c r="J50" s="105">
        <v>0</v>
      </c>
      <c r="K50" s="284" t="s">
        <v>129</v>
      </c>
      <c r="L50" s="105"/>
      <c r="M50" s="105"/>
      <c r="N50" s="62"/>
      <c r="O50" s="105"/>
      <c r="P50" s="302"/>
    </row>
    <row r="51" spans="2:21">
      <c r="B51" t="s">
        <v>504</v>
      </c>
      <c r="C51" s="62"/>
      <c r="D51" s="283" t="s">
        <v>505</v>
      </c>
      <c r="E51" s="291">
        <f>'Authorized Rev Req'!R73</f>
        <v>597531.23777689342</v>
      </c>
      <c r="F51" t="s">
        <v>309</v>
      </c>
      <c r="G51" s="276">
        <f t="shared" si="15"/>
        <v>597531.23777689342</v>
      </c>
      <c r="H51" s="105">
        <v>0</v>
      </c>
      <c r="I51" s="105">
        <v>0</v>
      </c>
      <c r="J51" s="105">
        <v>0</v>
      </c>
      <c r="K51" s="284" t="s">
        <v>129</v>
      </c>
      <c r="L51" s="105"/>
      <c r="M51" s="105"/>
      <c r="O51" s="105"/>
      <c r="P51" s="302"/>
    </row>
    <row r="52" spans="2:21">
      <c r="B52" t="s">
        <v>504</v>
      </c>
      <c r="C52" s="62"/>
      <c r="D52" s="283" t="s">
        <v>505</v>
      </c>
      <c r="E52" s="283">
        <f>'Authorized Rev Req'!R74</f>
        <v>154644.36811786867</v>
      </c>
      <c r="F52" t="s">
        <v>5</v>
      </c>
      <c r="G52" s="276">
        <f t="shared" si="15"/>
        <v>154644.36811786867</v>
      </c>
      <c r="H52" s="105">
        <v>0</v>
      </c>
      <c r="I52" s="105">
        <v>0</v>
      </c>
      <c r="J52" s="105">
        <v>0</v>
      </c>
      <c r="K52" s="284" t="s">
        <v>129</v>
      </c>
      <c r="L52" s="105"/>
      <c r="M52" s="105"/>
      <c r="O52" s="105"/>
      <c r="P52" s="302"/>
    </row>
    <row r="53" spans="2:21">
      <c r="B53" t="s">
        <v>496</v>
      </c>
      <c r="C53" s="62"/>
      <c r="D53" s="283" t="s">
        <v>484</v>
      </c>
      <c r="E53" s="303">
        <f>'Authorized Rev Req'!Q79</f>
        <v>141576.85188405539</v>
      </c>
      <c r="F53" t="s">
        <v>5</v>
      </c>
      <c r="G53" s="105">
        <f t="shared" si="15"/>
        <v>141576.85188405539</v>
      </c>
      <c r="H53" s="105">
        <v>48907.60308852794</v>
      </c>
      <c r="I53" s="105">
        <v>0</v>
      </c>
      <c r="J53" s="105">
        <v>0</v>
      </c>
      <c r="K53" s="284" t="s">
        <v>129</v>
      </c>
      <c r="L53" s="105"/>
      <c r="M53" s="105"/>
      <c r="O53" s="105"/>
      <c r="P53" s="302"/>
    </row>
    <row r="54" spans="2:21">
      <c r="B54" t="s">
        <v>496</v>
      </c>
      <c r="C54" s="62"/>
      <c r="D54" s="283" t="s">
        <v>484</v>
      </c>
      <c r="E54" s="303">
        <f>'Authorized Rev Req'!R80</f>
        <v>68189.673891719649</v>
      </c>
      <c r="F54" t="s">
        <v>211</v>
      </c>
      <c r="G54" s="105">
        <f t="shared" si="15"/>
        <v>68189.673891719649</v>
      </c>
      <c r="H54" s="105">
        <v>9402.2231234099199</v>
      </c>
      <c r="I54" s="105">
        <v>0</v>
      </c>
      <c r="J54" s="105">
        <v>0</v>
      </c>
      <c r="K54" s="284" t="s">
        <v>129</v>
      </c>
      <c r="L54" s="105"/>
      <c r="M54" s="105"/>
      <c r="N54" s="287"/>
      <c r="O54" s="105"/>
      <c r="P54" s="302"/>
    </row>
    <row r="55" spans="2:21">
      <c r="B55" t="s">
        <v>547</v>
      </c>
      <c r="C55" s="62"/>
      <c r="D55" s="283" t="s">
        <v>549</v>
      </c>
      <c r="E55" s="304">
        <f>'Authorized Rev Req'!R57</f>
        <v>-76060.257264391286</v>
      </c>
      <c r="F55" t="s">
        <v>309</v>
      </c>
      <c r="G55" s="100">
        <f>E55</f>
        <v>-76060.257264391286</v>
      </c>
      <c r="H55" s="105">
        <v>0</v>
      </c>
      <c r="I55" s="105">
        <v>0</v>
      </c>
      <c r="J55" s="105">
        <v>0</v>
      </c>
      <c r="K55" s="284" t="s">
        <v>129</v>
      </c>
      <c r="L55" s="105"/>
      <c r="M55" s="105"/>
      <c r="N55" s="62"/>
      <c r="O55" s="105"/>
      <c r="P55" s="302"/>
    </row>
    <row r="56" spans="2:21">
      <c r="B56" t="s">
        <v>572</v>
      </c>
      <c r="C56" s="62"/>
      <c r="D56" s="283" t="s">
        <v>549</v>
      </c>
      <c r="E56" s="304">
        <f>'Authorized Rev Req'!R58</f>
        <v>12431.124207946839</v>
      </c>
      <c r="F56" t="s">
        <v>309</v>
      </c>
      <c r="G56" s="100">
        <f>E56</f>
        <v>12431.124207946839</v>
      </c>
      <c r="H56" s="105">
        <v>0</v>
      </c>
      <c r="I56" s="105">
        <v>0</v>
      </c>
      <c r="J56" s="105">
        <v>0</v>
      </c>
      <c r="K56" s="284" t="s">
        <v>129</v>
      </c>
      <c r="L56" s="105"/>
      <c r="M56" s="105"/>
      <c r="N56" s="62"/>
      <c r="O56" s="105"/>
      <c r="P56" s="302"/>
    </row>
    <row r="57" spans="2:21" ht="14.5" customHeight="1">
      <c r="C57" s="62"/>
      <c r="D57" s="253"/>
      <c r="E57" s="304"/>
      <c r="F57" s="62"/>
      <c r="G57" s="251"/>
      <c r="H57" s="105"/>
      <c r="I57" s="105"/>
      <c r="J57" s="105"/>
      <c r="L57" s="105"/>
      <c r="M57" s="105"/>
      <c r="N57" s="62"/>
      <c r="O57" s="105"/>
      <c r="P57" s="302"/>
    </row>
    <row r="58" spans="2:21">
      <c r="E58" s="305"/>
      <c r="H58" s="105"/>
      <c r="I58" s="105"/>
      <c r="L58" s="105"/>
      <c r="M58" s="105"/>
      <c r="O58" s="105"/>
      <c r="P58" s="302"/>
    </row>
    <row r="59" spans="2:21">
      <c r="D59" s="62"/>
      <c r="E59" s="283"/>
      <c r="G59" s="105"/>
      <c r="H59" s="105"/>
      <c r="I59" s="105"/>
      <c r="J59" s="105"/>
      <c r="L59" s="105"/>
      <c r="M59" s="105"/>
      <c r="O59" s="105"/>
      <c r="P59" s="302"/>
    </row>
    <row r="60" spans="2:21">
      <c r="B60" s="31" t="s">
        <v>7</v>
      </c>
      <c r="C60" s="31"/>
      <c r="E60" s="62"/>
      <c r="G60" s="93"/>
      <c r="H60" s="93"/>
      <c r="I60" s="105"/>
      <c r="J60" s="105"/>
      <c r="K60"/>
    </row>
    <row r="61" spans="2:21">
      <c r="B61" t="s">
        <v>275</v>
      </c>
      <c r="C61" s="31"/>
      <c r="D61" s="283" t="s">
        <v>437</v>
      </c>
      <c r="E61" s="283">
        <f>'Authorized Rev Req'!R84</f>
        <v>-721064.79799999995</v>
      </c>
      <c r="F61" t="s">
        <v>133</v>
      </c>
      <c r="G61" s="105">
        <f t="shared" ref="G61:G66" si="16">E61</f>
        <v>-721064.79799999995</v>
      </c>
      <c r="H61" s="105">
        <f t="shared" ref="H61:I63" si="17">G61</f>
        <v>-721064.79799999995</v>
      </c>
      <c r="I61" s="105">
        <f t="shared" si="17"/>
        <v>-721064.79799999995</v>
      </c>
      <c r="J61" s="105">
        <f>I61</f>
        <v>-721064.79799999995</v>
      </c>
      <c r="K61" s="284" t="s">
        <v>130</v>
      </c>
      <c r="T61" s="251"/>
      <c r="U61" s="251"/>
    </row>
    <row r="62" spans="2:21">
      <c r="B62" t="s">
        <v>276</v>
      </c>
      <c r="D62" s="283" t="s">
        <v>437</v>
      </c>
      <c r="E62" s="283">
        <f>'Authorized Rev Req'!R114</f>
        <v>35334.052496252858</v>
      </c>
      <c r="F62" t="s">
        <v>15</v>
      </c>
      <c r="G62" s="105">
        <f t="shared" si="16"/>
        <v>35334.052496252858</v>
      </c>
      <c r="H62" s="105">
        <f t="shared" si="17"/>
        <v>35334.052496252858</v>
      </c>
      <c r="I62" s="105">
        <f t="shared" si="17"/>
        <v>35334.052496252858</v>
      </c>
      <c r="J62" s="105">
        <f t="shared" ref="J62:J73" si="18">I62</f>
        <v>35334.052496252858</v>
      </c>
      <c r="K62" s="284" t="s">
        <v>130</v>
      </c>
      <c r="S62" s="255"/>
      <c r="T62" s="99"/>
      <c r="U62" s="100"/>
    </row>
    <row r="63" spans="2:21">
      <c r="B63" t="s">
        <v>77</v>
      </c>
      <c r="C63" s="31"/>
      <c r="D63" s="283" t="s">
        <v>426</v>
      </c>
      <c r="E63" s="283">
        <f>'Authorized Rev Req'!R87</f>
        <v>61836.066753452789</v>
      </c>
      <c r="F63" t="s">
        <v>5</v>
      </c>
      <c r="G63" s="105">
        <f t="shared" si="16"/>
        <v>61836.066753452789</v>
      </c>
      <c r="H63" s="105">
        <f t="shared" si="17"/>
        <v>61836.066753452789</v>
      </c>
      <c r="I63" s="105">
        <f t="shared" si="17"/>
        <v>61836.066753452789</v>
      </c>
      <c r="J63" s="105">
        <f t="shared" si="18"/>
        <v>61836.066753452789</v>
      </c>
      <c r="K63" s="284" t="s">
        <v>130</v>
      </c>
      <c r="T63" s="251"/>
      <c r="U63" s="251"/>
    </row>
    <row r="64" spans="2:21">
      <c r="B64" t="s">
        <v>98</v>
      </c>
      <c r="C64" s="31"/>
      <c r="D64" s="283" t="str">
        <f>'Authorized Rev Req'!C107</f>
        <v>D.23-06-055/ AL 7047-E</v>
      </c>
      <c r="E64" s="283">
        <f>'Authorized Rev Req'!R107</f>
        <v>120736.87385986045</v>
      </c>
      <c r="F64" t="s">
        <v>15</v>
      </c>
      <c r="G64" s="105">
        <f t="shared" si="16"/>
        <v>120736.87385986045</v>
      </c>
      <c r="H64" s="105">
        <f t="shared" ref="H64:I66" si="19">G64</f>
        <v>120736.87385986045</v>
      </c>
      <c r="I64" s="105">
        <f t="shared" si="19"/>
        <v>120736.87385986045</v>
      </c>
      <c r="J64" s="105">
        <f t="shared" si="18"/>
        <v>120736.87385986045</v>
      </c>
      <c r="K64" s="284" t="s">
        <v>130</v>
      </c>
      <c r="T64" s="99"/>
      <c r="U64" s="100"/>
    </row>
    <row r="65" spans="2:21">
      <c r="B65" t="s">
        <v>97</v>
      </c>
      <c r="C65" s="31"/>
      <c r="D65" s="283" t="str">
        <f>'Authorized Rev Req'!C108</f>
        <v>D.23-06-055/ AL 7047-E</v>
      </c>
      <c r="E65" s="283">
        <f>'Authorized Rev Req'!R108</f>
        <v>80748.492843931701</v>
      </c>
      <c r="F65" t="s">
        <v>15</v>
      </c>
      <c r="G65" s="105">
        <f>E65</f>
        <v>80748.492843931701</v>
      </c>
      <c r="H65" s="105">
        <v>70907.132432579252</v>
      </c>
      <c r="I65" s="105">
        <v>70907.132432579252</v>
      </c>
      <c r="J65" s="105">
        <f t="shared" si="18"/>
        <v>70907.132432579252</v>
      </c>
      <c r="K65" s="284" t="s">
        <v>130</v>
      </c>
      <c r="S65" s="255"/>
      <c r="T65" s="99"/>
      <c r="U65" s="100"/>
    </row>
    <row r="66" spans="2:21">
      <c r="B66" t="s">
        <v>95</v>
      </c>
      <c r="D66" s="283" t="s">
        <v>436</v>
      </c>
      <c r="E66" s="283">
        <f>'Authorized Rev Req'!R92</f>
        <v>199909.92375999998</v>
      </c>
      <c r="F66" t="s">
        <v>5</v>
      </c>
      <c r="G66" s="105">
        <f t="shared" si="16"/>
        <v>199909.92375999998</v>
      </c>
      <c r="H66" s="105">
        <f t="shared" si="19"/>
        <v>199909.92375999998</v>
      </c>
      <c r="I66" s="105">
        <f t="shared" si="19"/>
        <v>199909.92375999998</v>
      </c>
      <c r="J66" s="105">
        <f t="shared" si="18"/>
        <v>199909.92375999998</v>
      </c>
      <c r="K66" s="284" t="s">
        <v>130</v>
      </c>
      <c r="T66" s="99"/>
      <c r="U66" s="100"/>
    </row>
    <row r="67" spans="2:21">
      <c r="B67" t="s">
        <v>229</v>
      </c>
      <c r="D67" s="283" t="str">
        <f>'Authorized Rev Req'!C89</f>
        <v>D.18-05-040, D.19-11-017, D.19-09-006, D.20-12-029, D.22-08-024</v>
      </c>
      <c r="E67" s="283">
        <f>'Authorized Rev Req'!R89</f>
        <v>34990.182999999997</v>
      </c>
      <c r="F67" t="s">
        <v>5</v>
      </c>
      <c r="G67" s="105">
        <f>E67</f>
        <v>34990.182999999997</v>
      </c>
      <c r="H67" s="105">
        <v>24700</v>
      </c>
      <c r="I67" s="105">
        <f>H67</f>
        <v>24700</v>
      </c>
      <c r="J67" s="105">
        <f>I67</f>
        <v>24700</v>
      </c>
      <c r="K67" s="284" t="s">
        <v>130</v>
      </c>
      <c r="T67" s="99"/>
      <c r="U67" s="100"/>
    </row>
    <row r="68" spans="2:21">
      <c r="B68" t="s">
        <v>593</v>
      </c>
      <c r="D68" t="s">
        <v>599</v>
      </c>
      <c r="E68" s="283">
        <v>0</v>
      </c>
      <c r="F68" t="s">
        <v>5</v>
      </c>
      <c r="G68" s="105">
        <v>0</v>
      </c>
      <c r="H68" s="105">
        <v>15.366399999999999</v>
      </c>
      <c r="I68" s="105">
        <v>0</v>
      </c>
      <c r="J68" s="105">
        <v>0</v>
      </c>
      <c r="K68" s="284" t="s">
        <v>129</v>
      </c>
      <c r="T68" s="99"/>
      <c r="U68" s="100"/>
    </row>
    <row r="69" spans="2:21">
      <c r="B69" t="s">
        <v>593</v>
      </c>
      <c r="D69" t="s">
        <v>599</v>
      </c>
      <c r="E69" s="283">
        <v>0</v>
      </c>
      <c r="F69" t="s">
        <v>3</v>
      </c>
      <c r="G69" s="105">
        <v>0</v>
      </c>
      <c r="H69" s="105">
        <v>-8.3496000000000006</v>
      </c>
      <c r="I69" s="105">
        <v>0</v>
      </c>
      <c r="J69" s="105">
        <v>0</v>
      </c>
      <c r="K69" s="284" t="s">
        <v>129</v>
      </c>
      <c r="T69" s="99"/>
      <c r="U69" s="100"/>
    </row>
    <row r="70" spans="2:21">
      <c r="B70" t="s">
        <v>593</v>
      </c>
      <c r="D70" t="s">
        <v>599</v>
      </c>
      <c r="E70" s="283">
        <v>0</v>
      </c>
      <c r="F70" t="s">
        <v>10</v>
      </c>
      <c r="G70" s="105">
        <v>0</v>
      </c>
      <c r="H70" s="105">
        <v>-7</v>
      </c>
      <c r="I70" s="105">
        <v>0</v>
      </c>
      <c r="J70" s="105">
        <v>0</v>
      </c>
      <c r="K70" s="284" t="s">
        <v>129</v>
      </c>
      <c r="T70" s="99"/>
      <c r="U70" s="100"/>
    </row>
    <row r="71" spans="2:21">
      <c r="D71" s="283"/>
      <c r="E71" s="283"/>
      <c r="G71" s="105"/>
      <c r="H71" s="105"/>
      <c r="I71" s="105"/>
      <c r="J71" s="105">
        <f t="shared" si="18"/>
        <v>0</v>
      </c>
      <c r="T71" s="287"/>
      <c r="U71" s="287"/>
    </row>
    <row r="72" spans="2:21">
      <c r="B72" t="s">
        <v>96</v>
      </c>
      <c r="D72" s="283" t="str">
        <f>'Authorized Rev Req'!C105</f>
        <v>D.21-06-015</v>
      </c>
      <c r="E72" s="283">
        <f>'Authorized Rev Req'!R105</f>
        <v>90694.046000000002</v>
      </c>
      <c r="F72" t="s">
        <v>15</v>
      </c>
      <c r="G72" s="105">
        <f>E72</f>
        <v>90694.046000000002</v>
      </c>
      <c r="H72" s="105">
        <v>90585.031000000003</v>
      </c>
      <c r="I72" s="105">
        <f t="shared" ref="I72" si="20">H72</f>
        <v>90585.031000000003</v>
      </c>
      <c r="J72" s="105">
        <f t="shared" si="18"/>
        <v>90585.031000000003</v>
      </c>
      <c r="K72" s="284" t="s">
        <v>130</v>
      </c>
    </row>
    <row r="73" spans="2:21">
      <c r="B73" t="s">
        <v>427</v>
      </c>
      <c r="D73" s="283" t="str">
        <f>'Authorized Rev Req'!C106</f>
        <v>D.21-06-015</v>
      </c>
      <c r="E73" s="283">
        <f>'Authorized Rev Req'!R106</f>
        <v>-8000</v>
      </c>
      <c r="F73" t="s">
        <v>15</v>
      </c>
      <c r="G73" s="105">
        <f>E73</f>
        <v>-8000</v>
      </c>
      <c r="H73" s="105">
        <v>0</v>
      </c>
      <c r="I73" s="105">
        <v>0</v>
      </c>
      <c r="J73" s="105">
        <f t="shared" si="18"/>
        <v>0</v>
      </c>
      <c r="K73" s="284" t="s">
        <v>129</v>
      </c>
    </row>
    <row r="74" spans="2:21">
      <c r="B74" t="s">
        <v>76</v>
      </c>
      <c r="D74" s="283" t="str">
        <f>'Authorized Rev Req'!C101</f>
        <v>D.21-06-015</v>
      </c>
      <c r="E74" s="283">
        <f>'Authorized Rev Req'!R101</f>
        <v>11555.36</v>
      </c>
      <c r="F74" t="s">
        <v>15</v>
      </c>
      <c r="G74" s="105">
        <f>E74</f>
        <v>11555.36</v>
      </c>
      <c r="H74" s="105">
        <v>11830.16</v>
      </c>
      <c r="I74" s="105">
        <v>11830.16</v>
      </c>
      <c r="J74" s="105">
        <v>11830.16</v>
      </c>
      <c r="K74" s="284" t="s">
        <v>130</v>
      </c>
      <c r="M74" s="255"/>
    </row>
    <row r="75" spans="2:21">
      <c r="B75" t="s">
        <v>78</v>
      </c>
      <c r="D75" s="283" t="str">
        <f>'Authorized Rev Req'!C103</f>
        <v>D.20-08-042</v>
      </c>
      <c r="E75" s="283">
        <f>'Authorized Rev Req'!R103</f>
        <v>93845.416200000007</v>
      </c>
      <c r="F75" t="s">
        <v>15</v>
      </c>
      <c r="G75" s="105">
        <f t="shared" ref="G75:G78" si="21">E75</f>
        <v>93845.416200000007</v>
      </c>
      <c r="H75" s="105">
        <v>74990.000000000015</v>
      </c>
      <c r="I75" s="105">
        <v>74990.000000000015</v>
      </c>
      <c r="J75" s="105">
        <v>74990.000000000015</v>
      </c>
      <c r="K75" s="284" t="s">
        <v>130</v>
      </c>
    </row>
    <row r="76" spans="2:21">
      <c r="B76" t="s">
        <v>291</v>
      </c>
      <c r="D76" s="283" t="s">
        <v>437</v>
      </c>
      <c r="E76" s="132">
        <f>'Authorized Rev Req'!R119</f>
        <v>3567.3432714293558</v>
      </c>
      <c r="F76" t="s">
        <v>15</v>
      </c>
      <c r="G76" s="105">
        <f t="shared" si="21"/>
        <v>3567.3432714293558</v>
      </c>
      <c r="H76" s="105">
        <f t="shared" ref="H76:J77" si="22">G76</f>
        <v>3567.3432714293558</v>
      </c>
      <c r="I76" s="105">
        <f t="shared" si="22"/>
        <v>3567.3432714293558</v>
      </c>
      <c r="J76" s="105">
        <f t="shared" si="22"/>
        <v>3567.3432714293558</v>
      </c>
      <c r="K76" s="284" t="s">
        <v>130</v>
      </c>
      <c r="L76" s="105"/>
      <c r="M76" s="105"/>
      <c r="O76" s="105"/>
      <c r="P76" s="302"/>
    </row>
    <row r="77" spans="2:21">
      <c r="B77" t="s">
        <v>293</v>
      </c>
      <c r="D77" s="283" t="s">
        <v>437</v>
      </c>
      <c r="E77" s="132">
        <f>'Authorized Rev Req'!R121</f>
        <v>-1476.3266710935602</v>
      </c>
      <c r="F77" t="s">
        <v>15</v>
      </c>
      <c r="G77" s="105">
        <f t="shared" si="21"/>
        <v>-1476.3266710935602</v>
      </c>
      <c r="H77" s="105">
        <f t="shared" si="22"/>
        <v>-1476.3266710935602</v>
      </c>
      <c r="I77" s="105">
        <f t="shared" si="22"/>
        <v>-1476.3266710935602</v>
      </c>
      <c r="J77" s="105">
        <f t="shared" si="22"/>
        <v>-1476.3266710935602</v>
      </c>
      <c r="K77" s="284" t="s">
        <v>130</v>
      </c>
      <c r="L77" s="105"/>
      <c r="M77" s="105"/>
      <c r="O77" s="105"/>
      <c r="P77" s="302"/>
    </row>
    <row r="78" spans="2:21">
      <c r="B78" t="s">
        <v>294</v>
      </c>
      <c r="D78" s="283" t="s">
        <v>437</v>
      </c>
      <c r="E78" s="132">
        <f>'Authorized Rev Req'!R123</f>
        <v>16260.33661</v>
      </c>
      <c r="F78" t="s">
        <v>15</v>
      </c>
      <c r="G78" s="105">
        <f t="shared" si="21"/>
        <v>16260.33661</v>
      </c>
      <c r="H78" s="105">
        <f>G78</f>
        <v>16260.33661</v>
      </c>
      <c r="I78" s="105">
        <v>0</v>
      </c>
      <c r="J78" s="105">
        <v>0</v>
      </c>
      <c r="K78" s="284" t="s">
        <v>130</v>
      </c>
      <c r="L78" s="105"/>
      <c r="M78" s="105"/>
      <c r="O78" s="105"/>
      <c r="P78" s="302"/>
    </row>
    <row r="79" spans="2:21">
      <c r="D79" s="253"/>
      <c r="E79" s="132"/>
      <c r="G79" s="105"/>
      <c r="H79" s="129"/>
      <c r="I79" s="105"/>
      <c r="J79" s="105"/>
      <c r="K79" s="284" t="s">
        <v>130</v>
      </c>
      <c r="L79" s="105"/>
      <c r="M79" s="105"/>
      <c r="O79" s="105"/>
      <c r="P79" s="302"/>
    </row>
    <row r="80" spans="2:21">
      <c r="B80" s="253" t="s">
        <v>326</v>
      </c>
      <c r="D80" t="s">
        <v>429</v>
      </c>
      <c r="E80" s="291">
        <f>'Authorized Rev Req'!R110</f>
        <v>7223.7226880000017</v>
      </c>
      <c r="F80" t="s">
        <v>15</v>
      </c>
      <c r="G80" s="131">
        <f>E80</f>
        <v>7223.7226880000017</v>
      </c>
      <c r="H80" s="105">
        <f>G80</f>
        <v>7223.7226880000017</v>
      </c>
      <c r="I80" s="105">
        <v>0</v>
      </c>
      <c r="J80" s="105">
        <v>0</v>
      </c>
      <c r="K80" s="284" t="s">
        <v>130</v>
      </c>
      <c r="L80" s="105"/>
      <c r="M80" s="105"/>
      <c r="N80" s="105"/>
      <c r="O80" s="105"/>
      <c r="P80" s="302"/>
    </row>
    <row r="81" spans="2:16">
      <c r="B81" t="s">
        <v>480</v>
      </c>
      <c r="D81" t="s">
        <v>527</v>
      </c>
      <c r="E81" s="283">
        <f>'Authorized Rev Req'!R127</f>
        <v>365364.52039999055</v>
      </c>
      <c r="F81" t="s">
        <v>15</v>
      </c>
      <c r="G81" s="157">
        <f>E81</f>
        <v>365364.52039999055</v>
      </c>
      <c r="H81" s="105">
        <f>G81</f>
        <v>365364.52039999055</v>
      </c>
      <c r="I81" s="105">
        <f t="shared" ref="I81:J81" si="23">H81</f>
        <v>365364.52039999055</v>
      </c>
      <c r="J81" s="105">
        <f t="shared" si="23"/>
        <v>365364.52039999055</v>
      </c>
      <c r="K81" s="284" t="s">
        <v>129</v>
      </c>
      <c r="L81" s="105"/>
      <c r="M81" s="105"/>
      <c r="N81" s="287"/>
      <c r="O81" s="105"/>
      <c r="P81" s="302"/>
    </row>
    <row r="82" spans="2:16">
      <c r="B82" t="s">
        <v>544</v>
      </c>
      <c r="D82" s="253" t="s">
        <v>554</v>
      </c>
      <c r="E82" s="283">
        <f>'Authorized Rev Req'!R78</f>
        <v>482.26226348</v>
      </c>
      <c r="F82" t="s">
        <v>309</v>
      </c>
      <c r="G82" s="157">
        <f>E82</f>
        <v>482.26226348</v>
      </c>
      <c r="H82" s="105">
        <v>0</v>
      </c>
      <c r="I82" s="105">
        <v>0</v>
      </c>
      <c r="J82" s="105">
        <v>0</v>
      </c>
      <c r="K82" s="284" t="s">
        <v>129</v>
      </c>
    </row>
    <row r="83" spans="2:16">
      <c r="B83" s="253" t="s">
        <v>546</v>
      </c>
      <c r="D83" t="s">
        <v>556</v>
      </c>
      <c r="E83" s="283">
        <f>'Authorized Rev Req'!R128</f>
        <v>-22374.489000000001</v>
      </c>
      <c r="F83" t="s">
        <v>15</v>
      </c>
      <c r="G83" s="157">
        <f>E83</f>
        <v>-22374.489000000001</v>
      </c>
      <c r="H83" s="105">
        <v>0</v>
      </c>
      <c r="I83" s="105">
        <v>0</v>
      </c>
      <c r="J83" s="105">
        <v>0</v>
      </c>
      <c r="K83" s="284" t="s">
        <v>129</v>
      </c>
    </row>
    <row r="84" spans="2:16">
      <c r="B84" s="253" t="s">
        <v>545</v>
      </c>
      <c r="D84" t="s">
        <v>557</v>
      </c>
      <c r="E84" s="283">
        <f>'Authorized Rev Req'!R129</f>
        <v>-30507.544526242891</v>
      </c>
      <c r="F84" t="s">
        <v>15</v>
      </c>
      <c r="G84" s="157">
        <f>E84</f>
        <v>-30507.544526242891</v>
      </c>
      <c r="H84" s="105">
        <v>0</v>
      </c>
      <c r="I84" s="105">
        <v>0</v>
      </c>
      <c r="J84" s="105">
        <v>0</v>
      </c>
      <c r="K84" s="284" t="s">
        <v>129</v>
      </c>
    </row>
    <row r="85" spans="2:16">
      <c r="B85" s="255"/>
      <c r="E85" s="133"/>
      <c r="G85" s="93"/>
      <c r="H85" s="93"/>
      <c r="I85" s="105"/>
      <c r="J85" s="105"/>
    </row>
    <row r="86" spans="2:16">
      <c r="B86" s="306" t="s">
        <v>215</v>
      </c>
      <c r="E86" s="133"/>
      <c r="G86" s="93"/>
      <c r="H86" s="93"/>
      <c r="I86" s="105"/>
      <c r="J86" s="105"/>
    </row>
    <row r="87" spans="2:16">
      <c r="B87" s="255" t="s">
        <v>3</v>
      </c>
      <c r="D87" s="253" t="s">
        <v>337</v>
      </c>
      <c r="E87" s="283">
        <f>SUMIFS('Authorized Rev Req'!$R:$R,'Authorized Rev Req'!$T:$T,F87,'Authorized Rev Req'!$U:$U,"Y")</f>
        <v>0</v>
      </c>
      <c r="F87" t="s">
        <v>3</v>
      </c>
      <c r="G87" s="276">
        <f t="shared" ref="G87" si="24">E87</f>
        <v>0</v>
      </c>
      <c r="H87" s="284"/>
      <c r="I87" s="105"/>
      <c r="J87" s="105"/>
      <c r="K87" s="284" t="s">
        <v>130</v>
      </c>
    </row>
    <row r="88" spans="2:16">
      <c r="B88" s="255" t="s">
        <v>5</v>
      </c>
      <c r="D88" s="253" t="s">
        <v>419</v>
      </c>
      <c r="E88" s="283">
        <f>SUMIFS('Authorized Rev Req'!$R:$R,'Authorized Rev Req'!$T:$T,F88,'Authorized Rev Req'!$U:$U,"Y")</f>
        <v>1504479.5455867636</v>
      </c>
      <c r="F88" s="255" t="s">
        <v>5</v>
      </c>
      <c r="G88" s="284">
        <f>E88</f>
        <v>1504479.5455867636</v>
      </c>
      <c r="H88" s="276">
        <v>0</v>
      </c>
      <c r="I88" s="105">
        <v>0</v>
      </c>
      <c r="J88" s="105">
        <v>0</v>
      </c>
      <c r="K88" s="284" t="s">
        <v>130</v>
      </c>
      <c r="N88" s="255"/>
    </row>
    <row r="89" spans="2:16">
      <c r="B89" s="255" t="s">
        <v>309</v>
      </c>
      <c r="D89" s="253" t="s">
        <v>419</v>
      </c>
      <c r="E89" s="283">
        <f>SUMIFS('Authorized Rev Req'!$R:$R,'Authorized Rev Req'!$T:$T,F89,'Authorized Rev Req'!$U:$U,"Y")</f>
        <v>-13461.254414309573</v>
      </c>
      <c r="F89" s="255" t="s">
        <v>309</v>
      </c>
      <c r="G89" s="284">
        <f t="shared" ref="G89:G95" si="25">E89</f>
        <v>-13461.254414309573</v>
      </c>
      <c r="H89" s="276">
        <v>0</v>
      </c>
      <c r="I89" s="105">
        <v>0</v>
      </c>
      <c r="J89" s="105">
        <v>0</v>
      </c>
      <c r="K89" s="284" t="s">
        <v>130</v>
      </c>
      <c r="N89" s="255"/>
    </row>
    <row r="90" spans="2:16">
      <c r="B90" s="255" t="s">
        <v>14</v>
      </c>
      <c r="D90" s="253" t="s">
        <v>337</v>
      </c>
      <c r="E90" s="283">
        <f>SUMIFS('Authorized Rev Req'!$R:$R,'Authorized Rev Req'!$T:$T,F90,'Authorized Rev Req'!$U:$U,"Y")</f>
        <v>-48400.206227758164</v>
      </c>
      <c r="F90" s="255" t="s">
        <v>14</v>
      </c>
      <c r="G90" s="284">
        <f t="shared" si="25"/>
        <v>-48400.206227758164</v>
      </c>
      <c r="H90" s="276">
        <v>0</v>
      </c>
      <c r="I90" s="105">
        <v>0</v>
      </c>
      <c r="J90" s="105">
        <v>0</v>
      </c>
      <c r="K90" s="284" t="s">
        <v>130</v>
      </c>
      <c r="N90" s="255"/>
    </row>
    <row r="91" spans="2:16">
      <c r="B91" s="255" t="s">
        <v>15</v>
      </c>
      <c r="D91" s="253" t="s">
        <v>419</v>
      </c>
      <c r="E91" s="283">
        <f>SUMIFS('Authorized Rev Req'!$R:$R,'Authorized Rev Req'!$T:$T,F91,'Authorized Rev Req'!$U:$U,"Y")</f>
        <v>-140330.10760486405</v>
      </c>
      <c r="F91" s="255" t="s">
        <v>15</v>
      </c>
      <c r="G91" s="284">
        <f t="shared" si="25"/>
        <v>-140330.10760486405</v>
      </c>
      <c r="H91" s="276">
        <v>0</v>
      </c>
      <c r="I91" s="105">
        <v>0</v>
      </c>
      <c r="J91" s="105">
        <v>0</v>
      </c>
      <c r="K91" s="284" t="s">
        <v>130</v>
      </c>
      <c r="N91" s="255"/>
    </row>
    <row r="92" spans="2:16">
      <c r="B92" s="255" t="s">
        <v>16</v>
      </c>
      <c r="D92" s="253" t="s">
        <v>419</v>
      </c>
      <c r="E92" s="283">
        <f>SUMIFS('Authorized Rev Req'!$R:$R,'Authorized Rev Req'!$T:$T,F92,'Authorized Rev Req'!$U:$U,"Y")</f>
        <v>-22022.575667378391</v>
      </c>
      <c r="F92" s="255" t="s">
        <v>16</v>
      </c>
      <c r="G92" s="284">
        <f t="shared" si="25"/>
        <v>-22022.575667378391</v>
      </c>
      <c r="H92" s="276">
        <v>0</v>
      </c>
      <c r="I92" s="105">
        <v>0</v>
      </c>
      <c r="J92" s="105">
        <v>0</v>
      </c>
      <c r="K92" s="284" t="s">
        <v>130</v>
      </c>
      <c r="N92" s="255"/>
    </row>
    <row r="93" spans="2:16">
      <c r="B93" s="255" t="s">
        <v>131</v>
      </c>
      <c r="D93" s="253" t="s">
        <v>419</v>
      </c>
      <c r="E93" s="283">
        <f>SUMIFS('Authorized Rev Req'!$R:$R,'Authorized Rev Req'!$T:$T,F93,'Authorized Rev Req'!$U:$U,"Y")</f>
        <v>699.27697046948424</v>
      </c>
      <c r="F93" s="255" t="s">
        <v>131</v>
      </c>
      <c r="G93" s="284">
        <f t="shared" si="25"/>
        <v>699.27697046948424</v>
      </c>
      <c r="H93" s="276">
        <v>0</v>
      </c>
      <c r="I93" s="105">
        <v>0</v>
      </c>
      <c r="J93" s="105">
        <v>0</v>
      </c>
      <c r="K93" s="284" t="s">
        <v>130</v>
      </c>
      <c r="N93" s="255"/>
    </row>
    <row r="94" spans="2:16">
      <c r="B94" s="255" t="s">
        <v>68</v>
      </c>
      <c r="D94" s="253" t="s">
        <v>337</v>
      </c>
      <c r="E94" s="283">
        <f>SUMIFS('Authorized Rev Req'!$R:$R,'Authorized Rev Req'!$T:$T,F94,'Authorized Rev Req'!$U:$U,"Y")</f>
        <v>-23567.041614043021</v>
      </c>
      <c r="F94" s="255" t="s">
        <v>68</v>
      </c>
      <c r="G94" s="284">
        <f t="shared" si="25"/>
        <v>-23567.041614043021</v>
      </c>
      <c r="H94" s="276">
        <v>0</v>
      </c>
      <c r="I94" s="105">
        <v>0</v>
      </c>
      <c r="J94" s="105">
        <v>0</v>
      </c>
      <c r="K94" s="284" t="s">
        <v>130</v>
      </c>
      <c r="N94" s="255"/>
    </row>
    <row r="95" spans="2:16">
      <c r="B95" s="255" t="s">
        <v>211</v>
      </c>
      <c r="D95" s="253" t="s">
        <v>337</v>
      </c>
      <c r="E95" s="283">
        <f>SUMIFS('Authorized Rev Req'!$R:$R,'Authorized Rev Req'!$T:$T,F95,'Authorized Rev Req'!$U:$U,"Y")</f>
        <v>636.0636591284989</v>
      </c>
      <c r="F95" s="255" t="s">
        <v>211</v>
      </c>
      <c r="G95" s="284">
        <f t="shared" si="25"/>
        <v>636.0636591284989</v>
      </c>
      <c r="H95" s="276">
        <v>0</v>
      </c>
      <c r="I95" s="105">
        <v>0</v>
      </c>
      <c r="J95" s="105">
        <v>0</v>
      </c>
      <c r="K95" s="284" t="s">
        <v>130</v>
      </c>
      <c r="L95" s="284"/>
      <c r="M95" s="276"/>
      <c r="N95" s="255"/>
    </row>
    <row r="96" spans="2:16">
      <c r="B96" s="255"/>
      <c r="D96" s="253"/>
      <c r="E96" s="132"/>
      <c r="G96" s="93"/>
      <c r="H96" s="93"/>
      <c r="I96" s="105"/>
      <c r="J96" s="105"/>
    </row>
    <row r="97" spans="2:30">
      <c r="B97" s="31" t="s">
        <v>9</v>
      </c>
      <c r="E97" s="132"/>
      <c r="G97" s="93"/>
      <c r="H97" s="93"/>
      <c r="I97" s="105"/>
      <c r="J97" s="105"/>
      <c r="L97" s="284"/>
    </row>
    <row r="98" spans="2:30">
      <c r="B98" t="s">
        <v>155</v>
      </c>
      <c r="D98" s="253" t="str">
        <f>'Authorized Rev Req'!C136</f>
        <v>ER24-96-000</v>
      </c>
      <c r="E98" s="283">
        <f>'Authorized Rev Req'!R136</f>
        <v>2903023.3845576458</v>
      </c>
      <c r="F98" t="s">
        <v>10</v>
      </c>
      <c r="G98" s="105">
        <f>E98</f>
        <v>2903023.3845576458</v>
      </c>
      <c r="H98" s="105">
        <f t="shared" ref="H98:J99" si="26">G98</f>
        <v>2903023.3845576458</v>
      </c>
      <c r="I98" s="105">
        <f t="shared" si="26"/>
        <v>2903023.3845576458</v>
      </c>
      <c r="J98" s="105">
        <f t="shared" si="26"/>
        <v>2903023.3845576458</v>
      </c>
      <c r="K98" s="284" t="s">
        <v>130</v>
      </c>
      <c r="M98" s="105"/>
      <c r="N98" s="105"/>
      <c r="P98" s="302"/>
    </row>
    <row r="99" spans="2:30">
      <c r="B99" s="255" t="s">
        <v>132</v>
      </c>
      <c r="D99" t="s">
        <v>573</v>
      </c>
      <c r="E99" s="283">
        <f>SUM('Authorized Rev Req'!R137:R140)</f>
        <v>-611543.92556319828</v>
      </c>
      <c r="F99" t="s">
        <v>138</v>
      </c>
      <c r="G99" s="105">
        <f>E99</f>
        <v>-611543.92556319828</v>
      </c>
      <c r="H99" s="105">
        <f>G99-'Authorized Rev Req'!R140</f>
        <v>240761.98928941565</v>
      </c>
      <c r="I99" s="105">
        <f t="shared" si="26"/>
        <v>240761.98928941565</v>
      </c>
      <c r="J99" s="105">
        <f t="shared" si="26"/>
        <v>240761.98928941565</v>
      </c>
      <c r="K99" s="284" t="s">
        <v>130</v>
      </c>
      <c r="M99" s="276"/>
      <c r="N99" s="287"/>
      <c r="O99" s="276"/>
      <c r="P99" s="276"/>
    </row>
    <row r="100" spans="2:30">
      <c r="E100" s="132"/>
      <c r="G100" s="105"/>
      <c r="H100" s="105"/>
      <c r="I100" s="105"/>
      <c r="J100" s="105"/>
      <c r="L100" s="105"/>
      <c r="M100" s="105"/>
      <c r="N100" s="93"/>
      <c r="O100" s="93"/>
      <c r="P100" s="119"/>
    </row>
    <row r="101" spans="2:30" ht="15" thickBot="1">
      <c r="B101" s="31" t="s">
        <v>59</v>
      </c>
      <c r="E101" s="307">
        <f>SUM(E10:E100)</f>
        <v>19079592.687329587</v>
      </c>
      <c r="F101" s="251"/>
      <c r="G101" s="308">
        <f>SUM(G10:G99)</f>
        <v>19092572.687461216</v>
      </c>
      <c r="H101" s="308">
        <f>SUM(H10:H99)</f>
        <v>16632236.889474608</v>
      </c>
      <c r="I101" s="308">
        <f>SUM(I10:I99)</f>
        <v>16712254.331978237</v>
      </c>
      <c r="J101" s="308">
        <f>SUM(J10:J99)</f>
        <v>16508635.331978237</v>
      </c>
      <c r="K101"/>
      <c r="M101" s="251"/>
      <c r="N101" s="287"/>
      <c r="O101" s="276"/>
      <c r="P101" s="287"/>
    </row>
    <row r="102" spans="2:30" ht="15" thickTop="1">
      <c r="E102" s="132">
        <f>E101-C5</f>
        <v>-0.14518710225820541</v>
      </c>
      <c r="F102" s="251"/>
      <c r="G102" s="251"/>
      <c r="H102" s="251"/>
      <c r="I102" s="251"/>
      <c r="J102" s="251"/>
    </row>
    <row r="103" spans="2:30">
      <c r="E103" s="309"/>
    </row>
    <row r="104" spans="2:30" ht="30.75" customHeight="1">
      <c r="B104" s="449" t="s">
        <v>12</v>
      </c>
      <c r="C104" s="449"/>
      <c r="D104" s="449"/>
      <c r="E104" s="449"/>
      <c r="F104" s="449"/>
      <c r="G104" s="449"/>
      <c r="H104" s="449"/>
      <c r="I104" s="449"/>
      <c r="J104" s="449"/>
      <c r="K104" s="449"/>
      <c r="L104" s="449"/>
      <c r="M104" s="449"/>
      <c r="N104" s="449"/>
      <c r="O104" s="310"/>
      <c r="P104" s="310"/>
      <c r="R104" s="300" t="s">
        <v>137</v>
      </c>
      <c r="S104" s="300"/>
    </row>
    <row r="105" spans="2:30" ht="75" customHeight="1">
      <c r="B105" s="32" t="s">
        <v>0</v>
      </c>
      <c r="C105" s="32" t="s">
        <v>210</v>
      </c>
      <c r="D105" s="311" t="s">
        <v>197</v>
      </c>
      <c r="E105" s="311" t="s">
        <v>530</v>
      </c>
      <c r="F105" s="311" t="s">
        <v>57</v>
      </c>
      <c r="G105" s="298"/>
      <c r="H105" s="298"/>
      <c r="I105" s="298"/>
      <c r="J105" s="312"/>
      <c r="K105" s="311" t="s">
        <v>61</v>
      </c>
      <c r="L105" s="450" t="s">
        <v>62</v>
      </c>
      <c r="M105" s="450"/>
      <c r="N105" s="450"/>
      <c r="O105" s="450"/>
      <c r="S105" s="32">
        <f>L106</f>
        <v>2025</v>
      </c>
      <c r="T105" s="32">
        <f>M106</f>
        <v>2026</v>
      </c>
      <c r="U105" s="32">
        <f>N106</f>
        <v>2027</v>
      </c>
      <c r="V105" s="32">
        <f>O106</f>
        <v>2028</v>
      </c>
    </row>
    <row r="106" spans="2:30">
      <c r="B106" s="31" t="s">
        <v>2</v>
      </c>
      <c r="D106" s="155"/>
      <c r="E106" s="155"/>
      <c r="F106" s="155"/>
      <c r="G106">
        <f>G9</f>
        <v>2025</v>
      </c>
      <c r="H106">
        <f>G106+1</f>
        <v>2026</v>
      </c>
      <c r="I106">
        <f>H106+1</f>
        <v>2027</v>
      </c>
      <c r="J106">
        <f>I106+1</f>
        <v>2028</v>
      </c>
      <c r="K106"/>
      <c r="L106">
        <f>G9</f>
        <v>2025</v>
      </c>
      <c r="M106">
        <f>L106+1</f>
        <v>2026</v>
      </c>
      <c r="N106">
        <f>M106+1</f>
        <v>2027</v>
      </c>
      <c r="O106">
        <f>N106+1</f>
        <v>2028</v>
      </c>
      <c r="P106" s="287"/>
      <c r="R106" t="s">
        <v>3</v>
      </c>
      <c r="S106" s="99">
        <f t="shared" ref="S106:S119" si="27">SUM(S10,SUMIFS(L$107:L$145,$F$107:$F$145,$R106,$P$107:$P$145,"y"))</f>
        <v>4502517.1329402486</v>
      </c>
      <c r="T106" s="99">
        <f t="shared" ref="T106:T119" si="28">SUM(T10,SUMIFS(M$107:M$145,$F$107:$F$145,$R106,$P$107:$P$145,"y"))</f>
        <v>2983202.1611292968</v>
      </c>
      <c r="U106" s="99">
        <f t="shared" ref="U106:U119" si="29">SUM(U10,SUMIFS(N$107:N$145,$F$107:$F$145,$R106,$P$107:$P$145,"y"))</f>
        <v>2983210.5107292971</v>
      </c>
      <c r="V106" s="99">
        <f t="shared" ref="V106:V119" si="30">SUM(V10,SUMIFS(O$107:O$145,$F$107:$F$145,$R106,$P$107:$P$145,"y"))</f>
        <v>2983210.5107292971</v>
      </c>
    </row>
    <row r="107" spans="2:30" ht="15" customHeight="1">
      <c r="B107" t="s">
        <v>319</v>
      </c>
      <c r="C107" s="253" t="s">
        <v>330</v>
      </c>
      <c r="D107" s="62" t="s">
        <v>476</v>
      </c>
      <c r="E107" s="105">
        <f t="shared" ref="E107:E115" si="31">G107</f>
        <v>207194.4366088032</v>
      </c>
      <c r="F107" t="s">
        <v>309</v>
      </c>
      <c r="G107" s="105">
        <v>207194.4366088032</v>
      </c>
      <c r="H107" s="105">
        <v>14709.341783517455</v>
      </c>
      <c r="I107" s="105">
        <v>0</v>
      </c>
      <c r="J107" s="105"/>
      <c r="K107" s="284" t="s">
        <v>129</v>
      </c>
      <c r="L107" s="105">
        <f t="shared" ref="L107:O108" si="32">G107</f>
        <v>207194.4366088032</v>
      </c>
      <c r="M107" s="105">
        <f t="shared" si="32"/>
        <v>14709.341783517455</v>
      </c>
      <c r="N107" s="105">
        <f t="shared" si="32"/>
        <v>0</v>
      </c>
      <c r="O107" s="105">
        <f t="shared" si="32"/>
        <v>0</v>
      </c>
      <c r="P107" s="302" t="str">
        <f>VLOOKUP(B107,Summary!$B$8:$E$26,3,FALSE)</f>
        <v>Y</v>
      </c>
      <c r="R107" t="s">
        <v>14</v>
      </c>
      <c r="S107" s="99">
        <f t="shared" si="27"/>
        <v>325539.01622175635</v>
      </c>
      <c r="T107" s="99">
        <f t="shared" si="28"/>
        <v>217427.28551459411</v>
      </c>
      <c r="U107" s="99">
        <f t="shared" si="29"/>
        <v>217427.28551459411</v>
      </c>
      <c r="V107" s="99">
        <f t="shared" si="30"/>
        <v>217427.28551459411</v>
      </c>
    </row>
    <row r="108" spans="2:30" ht="15" customHeight="1">
      <c r="B108" t="s">
        <v>319</v>
      </c>
      <c r="C108" s="253" t="s">
        <v>330</v>
      </c>
      <c r="D108" s="62" t="s">
        <v>476</v>
      </c>
      <c r="E108" s="105">
        <f t="shared" si="31"/>
        <v>4400</v>
      </c>
      <c r="F108" t="s">
        <v>211</v>
      </c>
      <c r="G108" s="105">
        <v>4400</v>
      </c>
      <c r="H108" s="105">
        <v>0</v>
      </c>
      <c r="I108" s="105">
        <v>0</v>
      </c>
      <c r="J108" s="105">
        <v>0</v>
      </c>
      <c r="K108" s="284" t="s">
        <v>129</v>
      </c>
      <c r="L108" s="105">
        <f t="shared" si="32"/>
        <v>4400</v>
      </c>
      <c r="M108" s="105">
        <f t="shared" si="32"/>
        <v>0</v>
      </c>
      <c r="N108" s="105">
        <f t="shared" si="32"/>
        <v>0</v>
      </c>
      <c r="O108" s="105">
        <f t="shared" si="32"/>
        <v>0</v>
      </c>
      <c r="P108" s="302" t="str">
        <f>VLOOKUP(B108,Summary!$B$8:$E$26,3,FALSE)</f>
        <v>Y</v>
      </c>
      <c r="R108" t="s">
        <v>5</v>
      </c>
      <c r="S108" s="99">
        <f t="shared" si="27"/>
        <v>10405674.733848579</v>
      </c>
      <c r="T108" s="99">
        <f t="shared" si="28"/>
        <v>8858140.1466839723</v>
      </c>
      <c r="U108" s="99">
        <f t="shared" si="29"/>
        <v>9698754.8860476017</v>
      </c>
      <c r="V108" s="99">
        <f t="shared" si="30"/>
        <v>10143810.019347934</v>
      </c>
    </row>
    <row r="109" spans="2:30">
      <c r="B109" t="s">
        <v>515</v>
      </c>
      <c r="C109" s="253" t="s">
        <v>516</v>
      </c>
      <c r="D109" s="62" t="s">
        <v>523</v>
      </c>
      <c r="E109" s="105">
        <v>0</v>
      </c>
      <c r="F109" t="s">
        <v>309</v>
      </c>
      <c r="G109" s="276">
        <v>0</v>
      </c>
      <c r="H109" s="105">
        <v>687635.35526854114</v>
      </c>
      <c r="I109" s="105"/>
      <c r="J109" s="105">
        <v>0</v>
      </c>
      <c r="K109" s="284" t="s">
        <v>129</v>
      </c>
      <c r="L109" s="105">
        <f t="shared" ref="L109:L113" si="33">G109</f>
        <v>0</v>
      </c>
      <c r="M109" s="105">
        <f t="shared" ref="M109:M113" si="34">H109</f>
        <v>687635.35526854114</v>
      </c>
      <c r="N109" s="105">
        <f>I109-I51</f>
        <v>0</v>
      </c>
      <c r="O109" s="105">
        <f t="shared" ref="O109:O115" si="35">J109</f>
        <v>0</v>
      </c>
      <c r="P109" s="302" t="s">
        <v>143</v>
      </c>
      <c r="R109" t="s">
        <v>133</v>
      </c>
      <c r="S109" s="99">
        <f t="shared" si="27"/>
        <v>-721064.79799999995</v>
      </c>
      <c r="T109" s="99">
        <f t="shared" si="28"/>
        <v>-586402.24430384289</v>
      </c>
      <c r="U109" s="99">
        <f t="shared" si="29"/>
        <v>-586402.24430384289</v>
      </c>
      <c r="V109" s="99">
        <f t="shared" si="30"/>
        <v>-586402.24430384289</v>
      </c>
    </row>
    <row r="110" spans="2:30" ht="14.25" customHeight="1">
      <c r="B110" t="s">
        <v>515</v>
      </c>
      <c r="C110" s="253" t="s">
        <v>516</v>
      </c>
      <c r="D110" s="62" t="s">
        <v>522</v>
      </c>
      <c r="E110" s="105">
        <f t="shared" si="31"/>
        <v>0</v>
      </c>
      <c r="F110" t="s">
        <v>211</v>
      </c>
      <c r="G110" s="276">
        <v>0</v>
      </c>
      <c r="H110" s="105">
        <v>7429.6140248375004</v>
      </c>
      <c r="I110" s="105"/>
      <c r="J110" s="105">
        <v>0</v>
      </c>
      <c r="K110" s="284" t="s">
        <v>129</v>
      </c>
      <c r="L110" s="105">
        <f t="shared" si="33"/>
        <v>0</v>
      </c>
      <c r="M110" s="105">
        <f t="shared" si="34"/>
        <v>7429.6140248375004</v>
      </c>
      <c r="N110" s="105">
        <f t="shared" ref="N110:N113" si="36">I110</f>
        <v>0</v>
      </c>
      <c r="O110" s="105">
        <f t="shared" si="35"/>
        <v>0</v>
      </c>
      <c r="P110" s="302" t="s">
        <v>143</v>
      </c>
      <c r="R110" t="s">
        <v>68</v>
      </c>
      <c r="S110" s="99">
        <f t="shared" si="27"/>
        <v>-51714.55454002523</v>
      </c>
      <c r="T110" s="99">
        <f t="shared" si="28"/>
        <v>-26940.73186498219</v>
      </c>
      <c r="U110" s="99">
        <f t="shared" si="29"/>
        <v>-26940.73186498219</v>
      </c>
      <c r="V110" s="99">
        <f t="shared" si="30"/>
        <v>-26940.73186498219</v>
      </c>
      <c r="AD110" s="250"/>
    </row>
    <row r="111" spans="2:30">
      <c r="B111" t="s">
        <v>515</v>
      </c>
      <c r="C111" s="253" t="s">
        <v>516</v>
      </c>
      <c r="D111" s="62" t="s">
        <v>523</v>
      </c>
      <c r="E111" s="105">
        <f t="shared" si="31"/>
        <v>0</v>
      </c>
      <c r="F111" t="s">
        <v>5</v>
      </c>
      <c r="G111" s="276"/>
      <c r="H111" s="105">
        <v>178404.13499410509</v>
      </c>
      <c r="I111" s="105"/>
      <c r="J111" s="105">
        <v>0</v>
      </c>
      <c r="K111" s="284" t="s">
        <v>129</v>
      </c>
      <c r="L111" s="105">
        <f t="shared" si="33"/>
        <v>0</v>
      </c>
      <c r="M111" s="105">
        <f t="shared" si="34"/>
        <v>178404.13499410509</v>
      </c>
      <c r="N111" s="105">
        <f>I111-I52</f>
        <v>0</v>
      </c>
      <c r="O111" s="105">
        <f t="shared" si="35"/>
        <v>0</v>
      </c>
      <c r="P111" s="302" t="s">
        <v>143</v>
      </c>
      <c r="R111" t="s">
        <v>16</v>
      </c>
      <c r="S111" s="99">
        <f t="shared" si="27"/>
        <v>-19018.951371683193</v>
      </c>
      <c r="T111" s="99">
        <f t="shared" si="28"/>
        <v>0</v>
      </c>
      <c r="U111" s="99">
        <f t="shared" si="29"/>
        <v>0</v>
      </c>
      <c r="V111" s="99">
        <f t="shared" si="30"/>
        <v>0</v>
      </c>
      <c r="AD111" s="250"/>
    </row>
    <row r="112" spans="2:30">
      <c r="B112" t="s">
        <v>467</v>
      </c>
      <c r="C112" s="253" t="s">
        <v>468</v>
      </c>
      <c r="D112" s="62" t="s">
        <v>470</v>
      </c>
      <c r="E112" s="105">
        <f t="shared" si="31"/>
        <v>14855.664052675482</v>
      </c>
      <c r="F112" t="s">
        <v>469</v>
      </c>
      <c r="G112" s="105">
        <v>14855.664052675482</v>
      </c>
      <c r="H112" s="105">
        <v>16685.366106345144</v>
      </c>
      <c r="I112" s="105"/>
      <c r="J112" s="276">
        <v>0</v>
      </c>
      <c r="K112" s="284" t="s">
        <v>129</v>
      </c>
      <c r="L112" s="105">
        <f t="shared" si="33"/>
        <v>14855.664052675482</v>
      </c>
      <c r="M112" s="105">
        <f t="shared" si="34"/>
        <v>16685.366106345144</v>
      </c>
      <c r="N112" s="105">
        <f t="shared" si="36"/>
        <v>0</v>
      </c>
      <c r="O112" s="105">
        <f t="shared" si="35"/>
        <v>0</v>
      </c>
      <c r="P112" s="302" t="str">
        <f>VLOOKUP(B112,Summary!$B$8:$E$26,3,FALSE)</f>
        <v>Y</v>
      </c>
      <c r="R112" t="s">
        <v>15</v>
      </c>
      <c r="S112" s="99">
        <f t="shared" si="27"/>
        <v>622641.69656726439</v>
      </c>
      <c r="T112" s="99">
        <f t="shared" si="28"/>
        <v>699599.89162486535</v>
      </c>
      <c r="U112" s="99">
        <f t="shared" si="29"/>
        <v>777037.09556565003</v>
      </c>
      <c r="V112" s="99">
        <f t="shared" si="30"/>
        <v>784153.36356565007</v>
      </c>
      <c r="AD112" s="250"/>
    </row>
    <row r="113" spans="2:22">
      <c r="B113" t="s">
        <v>467</v>
      </c>
      <c r="C113" s="253" t="s">
        <v>468</v>
      </c>
      <c r="D113" s="62" t="s">
        <v>470</v>
      </c>
      <c r="E113" s="105">
        <f t="shared" si="31"/>
        <v>6302.0138106042887</v>
      </c>
      <c r="F113" t="s">
        <v>211</v>
      </c>
      <c r="G113" s="105">
        <v>6302.0138106042887</v>
      </c>
      <c r="H113" s="105">
        <v>3204.4382060931293</v>
      </c>
      <c r="I113" s="105"/>
      <c r="J113" s="276">
        <v>0</v>
      </c>
      <c r="K113" s="284" t="s">
        <v>129</v>
      </c>
      <c r="L113" s="105">
        <f t="shared" si="33"/>
        <v>6302.0138106042887</v>
      </c>
      <c r="M113" s="105">
        <f t="shared" si="34"/>
        <v>3204.4382060931293</v>
      </c>
      <c r="N113" s="105">
        <f t="shared" si="36"/>
        <v>0</v>
      </c>
      <c r="O113" s="105">
        <f t="shared" si="35"/>
        <v>0</v>
      </c>
      <c r="P113" s="302" t="str">
        <f>VLOOKUP(B113,Summary!$B$8:$E$26,3,FALSE)</f>
        <v>Y</v>
      </c>
      <c r="R113" t="s">
        <v>17</v>
      </c>
      <c r="S113" s="99">
        <f t="shared" si="27"/>
        <v>412561.55548204755</v>
      </c>
      <c r="T113" s="99">
        <f t="shared" si="28"/>
        <v>412561.55548204755</v>
      </c>
      <c r="U113" s="99">
        <f t="shared" si="29"/>
        <v>412561.55548204755</v>
      </c>
      <c r="V113" s="99">
        <f t="shared" si="30"/>
        <v>412561.55548204755</v>
      </c>
    </row>
    <row r="114" spans="2:22">
      <c r="B114" t="s">
        <v>365</v>
      </c>
      <c r="C114" t="s">
        <v>477</v>
      </c>
      <c r="D114" t="s">
        <v>478</v>
      </c>
      <c r="E114" s="105">
        <f t="shared" si="31"/>
        <v>168801.86719146292</v>
      </c>
      <c r="F114" t="s">
        <v>309</v>
      </c>
      <c r="G114" s="105">
        <v>168801.86719146292</v>
      </c>
      <c r="H114" s="105">
        <v>402.14447762413943</v>
      </c>
      <c r="I114" s="105">
        <v>0</v>
      </c>
      <c r="J114" s="105">
        <v>0</v>
      </c>
      <c r="K114" s="284" t="s">
        <v>130</v>
      </c>
      <c r="L114" s="105">
        <f t="shared" ref="L114:N121" si="37">G114</f>
        <v>168801.86719146292</v>
      </c>
      <c r="M114" s="105">
        <f t="shared" si="37"/>
        <v>402.14447762413943</v>
      </c>
      <c r="N114" s="105">
        <f t="shared" si="37"/>
        <v>0</v>
      </c>
      <c r="O114" s="105">
        <f t="shared" si="35"/>
        <v>0</v>
      </c>
      <c r="P114" s="302" t="str">
        <f>VLOOKUP(B114,Summary!$B$8:$E$26,3,FALSE)</f>
        <v>Y</v>
      </c>
      <c r="R114" s="255" t="s">
        <v>131</v>
      </c>
      <c r="S114" s="99">
        <f t="shared" si="27"/>
        <v>699.27697046948424</v>
      </c>
      <c r="T114" s="99">
        <f t="shared" si="28"/>
        <v>0</v>
      </c>
      <c r="U114" s="99">
        <f t="shared" si="29"/>
        <v>0</v>
      </c>
      <c r="V114" s="99">
        <f t="shared" si="30"/>
        <v>0</v>
      </c>
    </row>
    <row r="115" spans="2:22">
      <c r="B115" t="s">
        <v>365</v>
      </c>
      <c r="C115" t="s">
        <v>477</v>
      </c>
      <c r="D115" t="s">
        <v>479</v>
      </c>
      <c r="E115" s="105">
        <f t="shared" si="31"/>
        <v>36505.533525554318</v>
      </c>
      <c r="F115" t="s">
        <v>211</v>
      </c>
      <c r="G115" s="105">
        <v>36505.533525554318</v>
      </c>
      <c r="H115" s="105">
        <v>0</v>
      </c>
      <c r="I115" s="105">
        <v>0</v>
      </c>
      <c r="J115" s="105">
        <v>0</v>
      </c>
      <c r="K115" s="284" t="s">
        <v>130</v>
      </c>
      <c r="L115" s="105">
        <f t="shared" si="37"/>
        <v>36505.533525554318</v>
      </c>
      <c r="M115" s="105">
        <f t="shared" si="37"/>
        <v>0</v>
      </c>
      <c r="N115" s="105">
        <f t="shared" si="37"/>
        <v>0</v>
      </c>
      <c r="O115" s="105">
        <f t="shared" si="35"/>
        <v>0</v>
      </c>
      <c r="P115" s="302" t="str">
        <f>VLOOKUP(B115,Summary!$B$8:$E$26,3,FALSE)</f>
        <v>Y</v>
      </c>
      <c r="R115" s="155" t="s">
        <v>10</v>
      </c>
      <c r="S115" s="99">
        <f t="shared" si="27"/>
        <v>2903023.3845576458</v>
      </c>
      <c r="T115" s="99">
        <f t="shared" si="28"/>
        <v>2903016.3845576458</v>
      </c>
      <c r="U115" s="99">
        <f t="shared" si="29"/>
        <v>2903023.3845576458</v>
      </c>
      <c r="V115" s="99">
        <f t="shared" si="30"/>
        <v>2903023.3845576458</v>
      </c>
    </row>
    <row r="116" spans="2:22">
      <c r="B116" s="313" t="s">
        <v>500</v>
      </c>
      <c r="C116" t="s">
        <v>501</v>
      </c>
      <c r="D116" t="s">
        <v>508</v>
      </c>
      <c r="E116" s="105">
        <f>G116</f>
        <v>0</v>
      </c>
      <c r="F116" t="s">
        <v>5</v>
      </c>
      <c r="G116" s="105">
        <v>0</v>
      </c>
      <c r="H116" s="251">
        <v>156453.4043064315</v>
      </c>
      <c r="I116" s="105">
        <v>0</v>
      </c>
      <c r="J116" s="105">
        <v>0</v>
      </c>
      <c r="K116" s="284" t="s">
        <v>129</v>
      </c>
      <c r="L116" s="105">
        <f t="shared" si="37"/>
        <v>0</v>
      </c>
      <c r="M116" s="105">
        <f t="shared" si="37"/>
        <v>156453.4043064315</v>
      </c>
      <c r="N116" s="105">
        <f t="shared" si="37"/>
        <v>0</v>
      </c>
      <c r="O116" s="105">
        <f t="shared" ref="O116:O119" si="38">J116</f>
        <v>0</v>
      </c>
      <c r="P116" s="302" t="str">
        <f>VLOOKUP(B116,Summary!$B$8:$E$26,3,FALSE)</f>
        <v>Y</v>
      </c>
      <c r="R116" t="s">
        <v>138</v>
      </c>
      <c r="S116" s="99">
        <f t="shared" si="27"/>
        <v>-611543.92556319828</v>
      </c>
      <c r="T116" s="99">
        <f t="shared" si="28"/>
        <v>240761.98928941565</v>
      </c>
      <c r="U116" s="99">
        <f t="shared" si="29"/>
        <v>240761.98928941565</v>
      </c>
      <c r="V116" s="99">
        <f t="shared" si="30"/>
        <v>240761.98928941565</v>
      </c>
    </row>
    <row r="117" spans="2:22">
      <c r="B117" s="313" t="s">
        <v>500</v>
      </c>
      <c r="C117" t="s">
        <v>501</v>
      </c>
      <c r="D117" t="s">
        <v>508</v>
      </c>
      <c r="E117" s="105">
        <f>G117</f>
        <v>0</v>
      </c>
      <c r="F117" t="s">
        <v>211</v>
      </c>
      <c r="G117" s="105">
        <v>0</v>
      </c>
      <c r="H117" s="251">
        <v>106244.36487084391</v>
      </c>
      <c r="I117" s="105">
        <v>0</v>
      </c>
      <c r="J117" s="105">
        <v>0</v>
      </c>
      <c r="K117" s="284" t="s">
        <v>129</v>
      </c>
      <c r="L117" s="105">
        <f t="shared" si="37"/>
        <v>0</v>
      </c>
      <c r="M117" s="105">
        <f t="shared" si="37"/>
        <v>106244.36487084391</v>
      </c>
      <c r="N117" s="105">
        <f t="shared" si="37"/>
        <v>0</v>
      </c>
      <c r="O117" s="105">
        <f t="shared" si="38"/>
        <v>0</v>
      </c>
      <c r="P117" s="302" t="str">
        <f>VLOOKUP(B117,Summary!$B$8:$E$26,3,FALSE)</f>
        <v>Y</v>
      </c>
      <c r="R117" t="s">
        <v>211</v>
      </c>
      <c r="S117" s="99">
        <f t="shared" si="27"/>
        <v>-263038.76771978475</v>
      </c>
      <c r="T117" s="99">
        <f t="shared" si="28"/>
        <v>875850.3314834761</v>
      </c>
      <c r="U117" s="99">
        <f t="shared" si="29"/>
        <v>1068713.8131621624</v>
      </c>
      <c r="V117" s="99">
        <f t="shared" si="30"/>
        <v>1082292.2036274322</v>
      </c>
    </row>
    <row r="118" spans="2:22">
      <c r="B118" s="313" t="s">
        <v>510</v>
      </c>
      <c r="C118" t="s">
        <v>507</v>
      </c>
      <c r="D118" t="s">
        <v>521</v>
      </c>
      <c r="E118" s="105">
        <f t="shared" ref="E118:E141" si="39">G118</f>
        <v>0</v>
      </c>
      <c r="F118" t="s">
        <v>5</v>
      </c>
      <c r="G118" s="105">
        <v>0</v>
      </c>
      <c r="H118" s="251">
        <v>35860.538402437938</v>
      </c>
      <c r="I118" s="105">
        <v>34019.172839575942</v>
      </c>
      <c r="J118" s="105">
        <v>31781.76496018999</v>
      </c>
      <c r="K118" s="284" t="s">
        <v>129</v>
      </c>
      <c r="L118" s="105">
        <f t="shared" si="37"/>
        <v>0</v>
      </c>
      <c r="M118" s="105">
        <f t="shared" si="37"/>
        <v>35860.538402437938</v>
      </c>
      <c r="N118" s="105">
        <f t="shared" si="37"/>
        <v>34019.172839575942</v>
      </c>
      <c r="O118" s="105">
        <f t="shared" si="38"/>
        <v>31781.76496018999</v>
      </c>
      <c r="P118" s="302" t="str">
        <f>VLOOKUP(B118,Summary!$B$8:$E$26,3,FALSE)</f>
        <v>Y</v>
      </c>
      <c r="R118" t="s">
        <v>284</v>
      </c>
      <c r="S118" s="99">
        <f t="shared" si="27"/>
        <v>198112.67772779291</v>
      </c>
      <c r="T118" s="99">
        <f t="shared" si="28"/>
        <v>198112.67772779291</v>
      </c>
      <c r="U118" s="99">
        <f t="shared" si="29"/>
        <v>198112.67772779291</v>
      </c>
      <c r="V118" s="99">
        <f t="shared" si="30"/>
        <v>198112.67772779291</v>
      </c>
    </row>
    <row r="119" spans="2:22">
      <c r="B119" s="313" t="s">
        <v>510</v>
      </c>
      <c r="C119" t="s">
        <v>507</v>
      </c>
      <c r="D119" t="s">
        <v>520</v>
      </c>
      <c r="E119" s="105">
        <f t="shared" si="39"/>
        <v>0</v>
      </c>
      <c r="F119" t="s">
        <v>211</v>
      </c>
      <c r="G119" s="105">
        <v>0</v>
      </c>
      <c r="H119" s="251">
        <v>9332.7036237896464</v>
      </c>
      <c r="I119" s="105">
        <v>6533.4099648773927</v>
      </c>
      <c r="J119" s="105">
        <v>6103.7139518788108</v>
      </c>
      <c r="K119" s="284" t="s">
        <v>129</v>
      </c>
      <c r="L119" s="105">
        <f t="shared" si="37"/>
        <v>0</v>
      </c>
      <c r="M119" s="105">
        <f t="shared" si="37"/>
        <v>9332.7036237896464</v>
      </c>
      <c r="N119" s="105">
        <f t="shared" si="37"/>
        <v>6533.4099648773927</v>
      </c>
      <c r="O119" s="105">
        <f t="shared" si="38"/>
        <v>6103.7139518788108</v>
      </c>
      <c r="P119" s="302" t="str">
        <f>VLOOKUP(B119,Summary!$B$8:$E$26,3,FALSE)</f>
        <v>Y</v>
      </c>
      <c r="R119" t="s">
        <v>309</v>
      </c>
      <c r="S119" s="99">
        <f t="shared" si="27"/>
        <v>1811388.061476524</v>
      </c>
      <c r="T119" s="99">
        <f t="shared" si="28"/>
        <v>1831684.5361898681</v>
      </c>
      <c r="U119" s="99">
        <f t="shared" si="29"/>
        <v>1141366.3163159196</v>
      </c>
      <c r="V119" s="99">
        <f t="shared" si="30"/>
        <v>1246811.087789343</v>
      </c>
    </row>
    <row r="120" spans="2:22" ht="15.65" customHeight="1">
      <c r="B120" s="313" t="s">
        <v>511</v>
      </c>
      <c r="C120" t="s">
        <v>512</v>
      </c>
      <c r="D120" t="s">
        <v>513</v>
      </c>
      <c r="E120" s="105">
        <f t="shared" si="39"/>
        <v>0</v>
      </c>
      <c r="F120" t="s">
        <v>5</v>
      </c>
      <c r="G120" s="105">
        <v>0</v>
      </c>
      <c r="H120" s="251">
        <v>8351.0913413177768</v>
      </c>
      <c r="I120" s="105">
        <v>1575.6346127997931</v>
      </c>
      <c r="J120" s="105">
        <v>1520.3615523477238</v>
      </c>
      <c r="K120" s="284" t="s">
        <v>129</v>
      </c>
      <c r="L120" s="105">
        <f t="shared" si="37"/>
        <v>0</v>
      </c>
      <c r="M120" s="105">
        <f t="shared" si="37"/>
        <v>8351.0913413177768</v>
      </c>
      <c r="N120" s="105">
        <f t="shared" si="37"/>
        <v>1575.6346127997931</v>
      </c>
      <c r="O120" s="105">
        <f>J120</f>
        <v>1520.3615523477238</v>
      </c>
      <c r="P120" s="302" t="str">
        <f>VLOOKUP(B120,Summary!$B$8:$E$26,3,FALSE)</f>
        <v>Y</v>
      </c>
      <c r="R120" t="s">
        <v>136</v>
      </c>
      <c r="S120" s="301">
        <f>SUM(S106:S119)</f>
        <v>19515776.538597636</v>
      </c>
      <c r="T120" s="301">
        <f>SUM(T106:T119)</f>
        <v>18607013.983514149</v>
      </c>
      <c r="U120" s="301">
        <f>SUM(U106:U119)</f>
        <v>19027626.5382233</v>
      </c>
      <c r="V120" s="301">
        <f>SUM(V106:V119)</f>
        <v>19598821.101462323</v>
      </c>
    </row>
    <row r="121" spans="2:22" ht="15.65" customHeight="1">
      <c r="B121" s="313" t="s">
        <v>511</v>
      </c>
      <c r="C121" t="s">
        <v>512</v>
      </c>
      <c r="D121" t="s">
        <v>513</v>
      </c>
      <c r="E121" s="105">
        <f t="shared" si="39"/>
        <v>0</v>
      </c>
      <c r="F121" t="s">
        <v>309</v>
      </c>
      <c r="G121" s="105">
        <v>0</v>
      </c>
      <c r="H121" s="251">
        <v>156458.90106895272</v>
      </c>
      <c r="I121" s="251">
        <v>29519.741783348694</v>
      </c>
      <c r="J121" s="105">
        <v>28484.19302168427</v>
      </c>
      <c r="K121" s="284" t="s">
        <v>129</v>
      </c>
      <c r="L121" s="105">
        <f t="shared" si="37"/>
        <v>0</v>
      </c>
      <c r="M121" s="105">
        <f t="shared" si="37"/>
        <v>156458.90106895272</v>
      </c>
      <c r="N121" s="105">
        <f t="shared" si="37"/>
        <v>29519.741783348694</v>
      </c>
      <c r="O121" s="105">
        <f t="shared" ref="O121:O122" si="40">J121</f>
        <v>28484.19302168427</v>
      </c>
      <c r="P121" s="302" t="str">
        <f>VLOOKUP(B121,Summary!$B$8:$E$26,3,FALSE)</f>
        <v>Y</v>
      </c>
      <c r="S121" s="287"/>
      <c r="T121" s="287"/>
      <c r="U121" s="287"/>
      <c r="V121" s="287"/>
    </row>
    <row r="122" spans="2:22" ht="15.65" customHeight="1">
      <c r="B122" s="313" t="s">
        <v>511</v>
      </c>
      <c r="C122" t="s">
        <v>512</v>
      </c>
      <c r="D122" t="s">
        <v>513</v>
      </c>
      <c r="E122" s="105">
        <f t="shared" si="39"/>
        <v>0</v>
      </c>
      <c r="F122" t="s">
        <v>211</v>
      </c>
      <c r="G122" s="105">
        <v>0</v>
      </c>
      <c r="H122" s="251">
        <v>5262.4030377508752</v>
      </c>
      <c r="I122" s="105">
        <v>473.14423595502808</v>
      </c>
      <c r="J122" s="105">
        <v>313.01799212374129</v>
      </c>
      <c r="K122" s="284" t="s">
        <v>129</v>
      </c>
      <c r="L122" s="105">
        <f t="shared" ref="L122:N140" si="41">G122</f>
        <v>0</v>
      </c>
      <c r="M122" s="105">
        <f t="shared" si="41"/>
        <v>5262.4030377508752</v>
      </c>
      <c r="N122" s="105">
        <f t="shared" si="41"/>
        <v>473.14423595502808</v>
      </c>
      <c r="O122" s="105">
        <f t="shared" si="40"/>
        <v>313.01799212374129</v>
      </c>
      <c r="P122" s="302" t="str">
        <f>VLOOKUP(B122,Summary!$B$8:$E$26,3,FALSE)</f>
        <v>Y</v>
      </c>
      <c r="S122" s="287"/>
      <c r="T122" s="287"/>
      <c r="U122" s="287"/>
      <c r="V122" s="287"/>
    </row>
    <row r="123" spans="2:22" ht="15.65" customHeight="1">
      <c r="B123" s="313" t="s">
        <v>589</v>
      </c>
      <c r="C123" t="s">
        <v>592</v>
      </c>
      <c r="D123" t="s">
        <v>595</v>
      </c>
      <c r="E123" s="105">
        <f t="shared" si="39"/>
        <v>0</v>
      </c>
      <c r="F123" t="s">
        <v>5</v>
      </c>
      <c r="G123" s="105">
        <v>0</v>
      </c>
      <c r="H123" s="105">
        <v>311457.08321876742</v>
      </c>
      <c r="I123" s="105">
        <f t="shared" ref="I123:J125" si="42">H123</f>
        <v>311457.08321876742</v>
      </c>
      <c r="J123" s="105">
        <f t="shared" si="42"/>
        <v>311457.08321876742</v>
      </c>
      <c r="K123" s="284" t="s">
        <v>130</v>
      </c>
      <c r="L123" s="105">
        <f t="shared" si="41"/>
        <v>0</v>
      </c>
      <c r="M123" s="105">
        <f t="shared" ref="M123:O124" si="43">H123-H26</f>
        <v>182994.56058465992</v>
      </c>
      <c r="N123" s="105">
        <f t="shared" si="43"/>
        <v>182994.56058465992</v>
      </c>
      <c r="O123" s="105">
        <f t="shared" si="43"/>
        <v>182994.56058465992</v>
      </c>
      <c r="P123" s="302" t="str">
        <f>VLOOKUP(B123,Summary!$B$8:$E$26,3,FALSE)</f>
        <v>Y</v>
      </c>
      <c r="S123" s="287"/>
      <c r="T123" s="287"/>
      <c r="U123" s="287"/>
      <c r="V123" s="287"/>
    </row>
    <row r="124" spans="2:22" ht="15" customHeight="1">
      <c r="B124" s="313" t="s">
        <v>589</v>
      </c>
      <c r="C124" t="s">
        <v>592</v>
      </c>
      <c r="D124" t="s">
        <v>595</v>
      </c>
      <c r="E124" s="105">
        <f t="shared" si="39"/>
        <v>0</v>
      </c>
      <c r="F124" t="s">
        <v>3</v>
      </c>
      <c r="G124" s="105">
        <v>0</v>
      </c>
      <c r="H124" s="105">
        <v>39795.503386586395</v>
      </c>
      <c r="I124" s="105">
        <f t="shared" si="42"/>
        <v>39795.503386586395</v>
      </c>
      <c r="J124" s="105">
        <f t="shared" si="42"/>
        <v>39795.503386586395</v>
      </c>
      <c r="K124" s="284" t="s">
        <v>130</v>
      </c>
      <c r="L124" s="105">
        <f t="shared" si="41"/>
        <v>0</v>
      </c>
      <c r="M124" s="105">
        <f t="shared" si="43"/>
        <v>21363.357036314028</v>
      </c>
      <c r="N124" s="105">
        <f t="shared" si="43"/>
        <v>21363.357036314028</v>
      </c>
      <c r="O124" s="105">
        <f t="shared" si="43"/>
        <v>21363.357036314028</v>
      </c>
      <c r="P124" s="302" t="str">
        <f>VLOOKUP(B124,Summary!$B$8:$E$26,3,FALSE)</f>
        <v>Y</v>
      </c>
      <c r="S124" s="287"/>
      <c r="T124" s="287"/>
      <c r="U124" s="287"/>
      <c r="V124" s="287"/>
    </row>
    <row r="125" spans="2:22">
      <c r="B125" t="s">
        <v>597</v>
      </c>
      <c r="C125" t="s">
        <v>606</v>
      </c>
      <c r="D125" t="s">
        <v>605</v>
      </c>
      <c r="E125" s="105">
        <f t="shared" si="39"/>
        <v>0</v>
      </c>
      <c r="F125" t="s">
        <v>14</v>
      </c>
      <c r="G125" s="105">
        <v>0</v>
      </c>
      <c r="H125" s="105">
        <v>217427.28551459411</v>
      </c>
      <c r="I125" s="105">
        <f t="shared" si="42"/>
        <v>217427.28551459411</v>
      </c>
      <c r="J125" s="105">
        <f t="shared" si="42"/>
        <v>217427.28551459411</v>
      </c>
      <c r="K125" s="284" t="s">
        <v>130</v>
      </c>
      <c r="L125" s="105">
        <f t="shared" si="41"/>
        <v>0</v>
      </c>
      <c r="M125" s="105">
        <f>H125-H23</f>
        <v>-156511.93693492038</v>
      </c>
      <c r="N125" s="105">
        <f>I125-I23</f>
        <v>-156511.93693492038</v>
      </c>
      <c r="O125" s="105">
        <f>N125</f>
        <v>-156511.93693492038</v>
      </c>
      <c r="P125" s="302" t="str">
        <f>VLOOKUP(B125,Summary!$B$8:$E$26,3,FALSE)</f>
        <v>Y</v>
      </c>
      <c r="R125" s="276"/>
      <c r="S125" s="287"/>
      <c r="T125" s="287"/>
      <c r="U125" s="287"/>
      <c r="V125" s="287"/>
    </row>
    <row r="126" spans="2:22">
      <c r="B126" t="s">
        <v>597</v>
      </c>
      <c r="C126" t="s">
        <v>606</v>
      </c>
      <c r="D126" t="s">
        <v>605</v>
      </c>
      <c r="E126" s="105">
        <f t="shared" si="39"/>
        <v>0</v>
      </c>
      <c r="F126" t="s">
        <v>211</v>
      </c>
      <c r="G126" s="105">
        <v>0</v>
      </c>
      <c r="H126" s="105">
        <v>319.66876432000004</v>
      </c>
      <c r="I126" s="105">
        <f t="shared" ref="I126:J133" si="44">H126</f>
        <v>319.66876432000004</v>
      </c>
      <c r="J126" s="105">
        <f t="shared" si="44"/>
        <v>319.66876432000004</v>
      </c>
      <c r="K126" s="284" t="s">
        <v>130</v>
      </c>
      <c r="L126" s="105">
        <f t="shared" si="41"/>
        <v>0</v>
      </c>
      <c r="M126" s="105">
        <f>H126-'Authorized Rev Req'!R26</f>
        <v>-316.39489480849886</v>
      </c>
      <c r="N126" s="105">
        <f t="shared" ref="N126:O126" si="45">M126</f>
        <v>-316.39489480849886</v>
      </c>
      <c r="O126" s="105">
        <f t="shared" si="45"/>
        <v>-316.39489480849886</v>
      </c>
      <c r="P126" s="302" t="str">
        <f>VLOOKUP(B126,Summary!$B$8:$E$26,3,FALSE)</f>
        <v>Y</v>
      </c>
      <c r="S126" s="287"/>
      <c r="T126" s="287"/>
      <c r="U126" s="287"/>
      <c r="V126" s="287"/>
    </row>
    <row r="127" spans="2:22">
      <c r="B127" t="s">
        <v>597</v>
      </c>
      <c r="C127" t="s">
        <v>606</v>
      </c>
      <c r="D127" t="s">
        <v>605</v>
      </c>
      <c r="E127" s="105">
        <f t="shared" si="39"/>
        <v>0</v>
      </c>
      <c r="F127" t="s">
        <v>211</v>
      </c>
      <c r="G127" s="105">
        <v>0</v>
      </c>
      <c r="H127" s="105">
        <v>-494308.35078278184</v>
      </c>
      <c r="I127" s="105">
        <f t="shared" si="44"/>
        <v>-494308.35078278184</v>
      </c>
      <c r="J127" s="105">
        <f t="shared" si="44"/>
        <v>-494308.35078278184</v>
      </c>
      <c r="K127" s="284" t="s">
        <v>130</v>
      </c>
      <c r="L127" s="105">
        <f t="shared" si="41"/>
        <v>0</v>
      </c>
      <c r="M127" s="105">
        <f t="shared" ref="M127:O128" si="46">H127-H21</f>
        <v>1837022.6717943167</v>
      </c>
      <c r="N127" s="105">
        <f t="shared" si="46"/>
        <v>1837022.6717943167</v>
      </c>
      <c r="O127" s="105">
        <f t="shared" si="46"/>
        <v>1837022.6717943167</v>
      </c>
      <c r="P127" s="302" t="str">
        <f>VLOOKUP(B127,Summary!$B$8:$E$26,3,FALSE)</f>
        <v>Y</v>
      </c>
      <c r="S127" s="287"/>
      <c r="T127" s="287"/>
      <c r="U127" s="287"/>
      <c r="V127" s="287"/>
    </row>
    <row r="128" spans="2:22">
      <c r="B128" t="s">
        <v>597</v>
      </c>
      <c r="C128" t="s">
        <v>606</v>
      </c>
      <c r="D128" t="s">
        <v>605</v>
      </c>
      <c r="E128" s="105">
        <f t="shared" si="39"/>
        <v>0</v>
      </c>
      <c r="F128" t="s">
        <v>68</v>
      </c>
      <c r="G128" s="105">
        <v>0</v>
      </c>
      <c r="H128" s="105">
        <v>-26940.73186498219</v>
      </c>
      <c r="I128" s="105">
        <f t="shared" si="44"/>
        <v>-26940.73186498219</v>
      </c>
      <c r="J128" s="105">
        <f t="shared" si="44"/>
        <v>-26940.73186498219</v>
      </c>
      <c r="K128" s="284" t="s">
        <v>130</v>
      </c>
      <c r="L128" s="105">
        <f t="shared" si="41"/>
        <v>0</v>
      </c>
      <c r="M128" s="105">
        <f t="shared" si="46"/>
        <v>1206.7810610000161</v>
      </c>
      <c r="N128" s="105">
        <f t="shared" si="46"/>
        <v>1206.7810610000161</v>
      </c>
      <c r="O128" s="105">
        <f t="shared" si="46"/>
        <v>1206.7810610000161</v>
      </c>
      <c r="P128" s="302" t="str">
        <f>VLOOKUP(B128,Summary!$B$8:$E$26,3,FALSE)</f>
        <v>Y</v>
      </c>
      <c r="S128" s="287"/>
      <c r="T128" s="287"/>
      <c r="U128" s="287"/>
      <c r="V128" s="287"/>
    </row>
    <row r="129" spans="2:22">
      <c r="B129" t="s">
        <v>597</v>
      </c>
      <c r="C129" t="s">
        <v>606</v>
      </c>
      <c r="D129" t="s">
        <v>605</v>
      </c>
      <c r="E129" s="105">
        <f t="shared" si="39"/>
        <v>0</v>
      </c>
      <c r="F129" t="s">
        <v>3</v>
      </c>
      <c r="G129" s="105">
        <v>0</v>
      </c>
      <c r="H129" s="105">
        <v>2958889.087340177</v>
      </c>
      <c r="I129" s="105">
        <f t="shared" si="44"/>
        <v>2958889.087340177</v>
      </c>
      <c r="J129" s="105">
        <f t="shared" si="44"/>
        <v>2958889.087340177</v>
      </c>
      <c r="K129" s="284" t="s">
        <v>130</v>
      </c>
      <c r="L129" s="105">
        <f t="shared" si="41"/>
        <v>0</v>
      </c>
      <c r="M129" s="105">
        <f>H129-H20</f>
        <v>-1540669.9792472655</v>
      </c>
      <c r="N129" s="105">
        <f>I129-I20</f>
        <v>-1540669.9792472655</v>
      </c>
      <c r="O129" s="105">
        <f>J129-J20</f>
        <v>-1540669.9792472655</v>
      </c>
      <c r="P129" s="302" t="str">
        <f>VLOOKUP(B129,Summary!$B$8:$E$26,3,FALSE)</f>
        <v>Y</v>
      </c>
      <c r="S129" s="287"/>
      <c r="T129" s="287"/>
      <c r="U129" s="287"/>
      <c r="V129" s="287"/>
    </row>
    <row r="130" spans="2:22">
      <c r="B130" t="s">
        <v>597</v>
      </c>
      <c r="C130" t="s">
        <v>606</v>
      </c>
      <c r="D130" t="s">
        <v>605</v>
      </c>
      <c r="E130" s="105">
        <f t="shared" si="39"/>
        <v>0</v>
      </c>
      <c r="F130" t="s">
        <v>15</v>
      </c>
      <c r="G130" s="105">
        <v>0</v>
      </c>
      <c r="H130" s="105">
        <v>-2546.1538854437654</v>
      </c>
      <c r="I130" s="105">
        <f t="shared" si="44"/>
        <v>-2546.1538854437654</v>
      </c>
      <c r="J130" s="105">
        <f t="shared" si="44"/>
        <v>-2546.1538854437654</v>
      </c>
      <c r="K130" s="284" t="s">
        <v>130</v>
      </c>
      <c r="L130" s="105">
        <f t="shared" si="41"/>
        <v>0</v>
      </c>
      <c r="M130" s="105">
        <f>H130-H77</f>
        <v>-1069.8272143502052</v>
      </c>
      <c r="N130" s="105">
        <f>I130-I77</f>
        <v>-1069.8272143502052</v>
      </c>
      <c r="O130" s="105">
        <f>J130-J77</f>
        <v>-1069.8272143502052</v>
      </c>
      <c r="P130" s="302" t="str">
        <f>VLOOKUP(B130,Summary!$B$8:$E$26,3,FALSE)</f>
        <v>Y</v>
      </c>
      <c r="S130" s="287"/>
      <c r="T130" s="287"/>
      <c r="U130" s="287"/>
      <c r="V130" s="287"/>
    </row>
    <row r="131" spans="2:22">
      <c r="B131" t="s">
        <v>597</v>
      </c>
      <c r="C131" t="s">
        <v>606</v>
      </c>
      <c r="D131" t="s">
        <v>605</v>
      </c>
      <c r="E131" s="105">
        <f t="shared" si="39"/>
        <v>0</v>
      </c>
      <c r="F131" t="s">
        <v>15</v>
      </c>
      <c r="G131" s="105">
        <v>0</v>
      </c>
      <c r="H131" s="105">
        <v>41412.43254781804</v>
      </c>
      <c r="I131" s="105">
        <f t="shared" si="44"/>
        <v>41412.43254781804</v>
      </c>
      <c r="J131" s="105">
        <f t="shared" si="44"/>
        <v>41412.43254781804</v>
      </c>
      <c r="K131" s="284" t="s">
        <v>130</v>
      </c>
      <c r="L131" s="105">
        <f t="shared" si="41"/>
        <v>0</v>
      </c>
      <c r="M131" s="105">
        <f>H131-H62</f>
        <v>6078.3800515651819</v>
      </c>
      <c r="N131" s="105">
        <f>I131-I62</f>
        <v>6078.3800515651819</v>
      </c>
      <c r="O131" s="105">
        <f>J131-J62</f>
        <v>6078.3800515651819</v>
      </c>
      <c r="P131" s="302" t="str">
        <f>VLOOKUP(B131,Summary!$B$8:$E$26,3,FALSE)</f>
        <v>Y</v>
      </c>
      <c r="S131" s="287"/>
      <c r="T131" s="287"/>
      <c r="U131" s="287"/>
      <c r="V131" s="287"/>
    </row>
    <row r="132" spans="2:22">
      <c r="B132" t="s">
        <v>597</v>
      </c>
      <c r="C132" t="s">
        <v>606</v>
      </c>
      <c r="D132" t="s">
        <v>605</v>
      </c>
      <c r="E132" s="105">
        <f t="shared" si="39"/>
        <v>0</v>
      </c>
      <c r="F132" t="s">
        <v>15</v>
      </c>
      <c r="G132" s="105">
        <v>0</v>
      </c>
      <c r="H132" s="105">
        <v>10873.367210845507</v>
      </c>
      <c r="I132" s="105">
        <f t="shared" si="44"/>
        <v>10873.367210845507</v>
      </c>
      <c r="J132" s="105">
        <f t="shared" si="44"/>
        <v>10873.367210845507</v>
      </c>
      <c r="K132" s="284" t="s">
        <v>130</v>
      </c>
      <c r="L132" s="105">
        <f t="shared" si="41"/>
        <v>0</v>
      </c>
      <c r="M132" s="105">
        <f>H132-H76</f>
        <v>7306.0239394161508</v>
      </c>
      <c r="N132" s="105">
        <f>I132-I76</f>
        <v>7306.0239394161508</v>
      </c>
      <c r="O132" s="105">
        <f>J132-J76</f>
        <v>7306.0239394161508</v>
      </c>
      <c r="P132" s="302" t="str">
        <f>VLOOKUP(B132,Summary!$B$8:$E$26,3,FALSE)</f>
        <v>Y</v>
      </c>
      <c r="S132" s="287"/>
      <c r="T132" s="287"/>
      <c r="U132" s="287"/>
      <c r="V132" s="287"/>
    </row>
    <row r="133" spans="2:22">
      <c r="B133" t="s">
        <v>597</v>
      </c>
      <c r="C133" t="s">
        <v>606</v>
      </c>
      <c r="D133" t="s">
        <v>605</v>
      </c>
      <c r="E133" s="105">
        <f t="shared" si="39"/>
        <v>0</v>
      </c>
      <c r="F133" t="s">
        <v>133</v>
      </c>
      <c r="G133" s="105">
        <v>0</v>
      </c>
      <c r="H133" s="105">
        <v>-586402.24430384289</v>
      </c>
      <c r="I133" s="105">
        <f t="shared" si="44"/>
        <v>-586402.24430384289</v>
      </c>
      <c r="J133" s="105">
        <f t="shared" si="44"/>
        <v>-586402.24430384289</v>
      </c>
      <c r="K133" s="284" t="s">
        <v>130</v>
      </c>
      <c r="L133" s="105">
        <f t="shared" si="41"/>
        <v>0</v>
      </c>
      <c r="M133" s="105">
        <f>H133-H61</f>
        <v>134662.55369615706</v>
      </c>
      <c r="N133" s="105">
        <f>I133-I61</f>
        <v>134662.55369615706</v>
      </c>
      <c r="O133" s="105">
        <f>J133-J61</f>
        <v>134662.55369615706</v>
      </c>
      <c r="P133" s="302" t="str">
        <f>VLOOKUP(B133,Summary!$B$8:$E$26,3,FALSE)</f>
        <v>Y</v>
      </c>
      <c r="S133" s="287"/>
      <c r="T133" s="287"/>
      <c r="U133" s="287"/>
      <c r="V133" s="287"/>
    </row>
    <row r="134" spans="2:22">
      <c r="B134" t="s">
        <v>598</v>
      </c>
      <c r="C134" t="s">
        <v>604</v>
      </c>
      <c r="D134" t="s">
        <v>479</v>
      </c>
      <c r="E134" s="105">
        <f t="shared" si="39"/>
        <v>0</v>
      </c>
      <c r="F134" t="s">
        <v>211</v>
      </c>
      <c r="G134" s="105">
        <v>0</v>
      </c>
      <c r="H134" s="105">
        <v>0</v>
      </c>
      <c r="I134" s="105">
        <v>1509586.469847593</v>
      </c>
      <c r="J134" s="105">
        <v>1523754.6825696924</v>
      </c>
      <c r="K134" s="284" t="s">
        <v>130</v>
      </c>
      <c r="L134" s="105">
        <f t="shared" si="41"/>
        <v>0</v>
      </c>
      <c r="M134" s="105">
        <f t="shared" ref="M134:M137" si="47">H134</f>
        <v>0</v>
      </c>
      <c r="N134" s="105">
        <f>I134-I12</f>
        <v>303909.28730642353</v>
      </c>
      <c r="O134" s="105">
        <f>J134-J12</f>
        <v>318077.50002852292</v>
      </c>
      <c r="P134" s="302" t="str">
        <f>VLOOKUP(B134,Summary!$B$8:$E$26,3,FALSE)</f>
        <v>Y</v>
      </c>
      <c r="S134" s="287"/>
      <c r="T134" s="287"/>
      <c r="U134" s="287"/>
      <c r="V134" s="287"/>
    </row>
    <row r="135" spans="2:22">
      <c r="B135" t="s">
        <v>598</v>
      </c>
      <c r="C135" t="s">
        <v>604</v>
      </c>
      <c r="D135" t="s">
        <v>479</v>
      </c>
      <c r="E135" s="105">
        <f t="shared" si="39"/>
        <v>0</v>
      </c>
      <c r="F135" t="s">
        <v>309</v>
      </c>
      <c r="G135" s="105">
        <v>0</v>
      </c>
      <c r="H135" s="105">
        <v>0</v>
      </c>
      <c r="I135" s="105">
        <v>1117940.1952256265</v>
      </c>
      <c r="J135" s="105">
        <v>1224420.5154607142</v>
      </c>
      <c r="K135" s="284" t="s">
        <v>130</v>
      </c>
      <c r="L135" s="105">
        <f t="shared" si="41"/>
        <v>0</v>
      </c>
      <c r="M135" s="105">
        <f t="shared" si="47"/>
        <v>0</v>
      </c>
      <c r="N135" s="105">
        <f>I135-I11</f>
        <v>139367.78094133851</v>
      </c>
      <c r="O135" s="105">
        <f>J135-J11</f>
        <v>245848.10117642628</v>
      </c>
      <c r="P135" s="302" t="str">
        <f>VLOOKUP(B135,Summary!$B$8:$E$26,3,FALSE)</f>
        <v>Y</v>
      </c>
      <c r="S135" s="287"/>
      <c r="T135" s="287"/>
      <c r="U135" s="287"/>
      <c r="V135" s="287"/>
    </row>
    <row r="136" spans="2:22">
      <c r="B136" t="s">
        <v>598</v>
      </c>
      <c r="C136" t="s">
        <v>604</v>
      </c>
      <c r="D136" t="s">
        <v>479</v>
      </c>
      <c r="E136" s="105">
        <f t="shared" si="39"/>
        <v>0</v>
      </c>
      <c r="F136" t="s">
        <v>5</v>
      </c>
      <c r="G136" s="105">
        <v>0</v>
      </c>
      <c r="H136" s="105">
        <v>0</v>
      </c>
      <c r="I136" s="251">
        <v>8317308.5307082068</v>
      </c>
      <c r="J136" s="105">
        <v>8968275.3449483775</v>
      </c>
      <c r="K136" s="284" t="s">
        <v>130</v>
      </c>
      <c r="L136" s="105">
        <f t="shared" si="41"/>
        <v>0</v>
      </c>
      <c r="M136" s="105">
        <f t="shared" si="47"/>
        <v>0</v>
      </c>
      <c r="N136" s="105">
        <f>I136-I10</f>
        <v>852024.11268866155</v>
      </c>
      <c r="O136" s="105">
        <f>J136-J10</f>
        <v>1502990.9269288322</v>
      </c>
      <c r="P136" s="302" t="str">
        <f>VLOOKUP(B136,Summary!$B$8:$E$26,3,FALSE)</f>
        <v>Y</v>
      </c>
      <c r="S136" s="287"/>
      <c r="T136" s="287"/>
      <c r="U136" s="287"/>
      <c r="V136" s="287"/>
    </row>
    <row r="137" spans="2:22">
      <c r="B137" t="s">
        <v>601</v>
      </c>
      <c r="C137" t="s">
        <v>483</v>
      </c>
      <c r="D137" t="s">
        <v>603</v>
      </c>
      <c r="E137" s="105">
        <f t="shared" si="39"/>
        <v>0</v>
      </c>
      <c r="F137" t="s">
        <v>5</v>
      </c>
      <c r="G137" s="276"/>
      <c r="H137" s="276">
        <v>221000</v>
      </c>
      <c r="I137" s="276">
        <v>463000</v>
      </c>
      <c r="J137" s="105">
        <f>I137</f>
        <v>463000</v>
      </c>
      <c r="K137" s="284" t="s">
        <v>130</v>
      </c>
      <c r="L137" s="105">
        <f>G137</f>
        <v>0</v>
      </c>
      <c r="M137" s="105">
        <f t="shared" si="47"/>
        <v>221000</v>
      </c>
      <c r="N137" s="105">
        <f t="shared" ref="N137" si="48">I137</f>
        <v>463000</v>
      </c>
      <c r="O137" s="105">
        <f>J137-J15</f>
        <v>463000</v>
      </c>
      <c r="P137" s="302" t="str">
        <f>VLOOKUP(B137,Summary!$B$8:$E$26,3,FALSE)</f>
        <v>Y</v>
      </c>
      <c r="S137" s="287"/>
      <c r="T137" s="287"/>
      <c r="U137" s="287"/>
      <c r="V137" s="287"/>
    </row>
    <row r="138" spans="2:22">
      <c r="E138" s="105"/>
      <c r="G138" s="105"/>
      <c r="H138" s="105"/>
      <c r="I138" s="251"/>
      <c r="J138" s="105"/>
      <c r="L138" s="105"/>
      <c r="M138" s="105"/>
      <c r="N138" s="105"/>
      <c r="O138" s="105"/>
      <c r="P138" s="302"/>
      <c r="S138" s="287"/>
      <c r="T138" s="287"/>
      <c r="U138" s="287"/>
      <c r="V138" s="287"/>
    </row>
    <row r="139" spans="2:22">
      <c r="B139" s="31" t="s">
        <v>7</v>
      </c>
      <c r="E139" s="105"/>
      <c r="G139" s="105"/>
      <c r="I139" s="105"/>
      <c r="J139" s="105"/>
      <c r="L139" s="105"/>
      <c r="M139" s="105"/>
      <c r="N139" s="105"/>
      <c r="O139" s="105"/>
      <c r="P139" s="302"/>
      <c r="S139" s="287"/>
      <c r="T139" s="287"/>
      <c r="U139" s="287"/>
      <c r="V139" s="287"/>
    </row>
    <row r="140" spans="2:22">
      <c r="B140" s="256" t="s">
        <v>600</v>
      </c>
      <c r="C140" t="s">
        <v>591</v>
      </c>
      <c r="D140" t="s">
        <v>596</v>
      </c>
      <c r="E140" s="105">
        <f t="shared" si="39"/>
        <v>0</v>
      </c>
      <c r="F140" s="255" t="s">
        <v>15</v>
      </c>
      <c r="G140" s="105">
        <f>0</f>
        <v>0</v>
      </c>
      <c r="H140" s="157">
        <v>257326.98916120577</v>
      </c>
      <c r="I140" s="105">
        <f>0</f>
        <v>0</v>
      </c>
      <c r="J140" s="105">
        <f>0</f>
        <v>0</v>
      </c>
      <c r="K140" s="284" t="s">
        <v>130</v>
      </c>
      <c r="L140" s="105">
        <f t="shared" si="41"/>
        <v>0</v>
      </c>
      <c r="M140" s="105">
        <f>H140-H81</f>
        <v>-108037.53123878478</v>
      </c>
      <c r="N140" s="105">
        <f t="shared" ref="N140" si="49">I140</f>
        <v>0</v>
      </c>
      <c r="O140" s="105">
        <f t="shared" ref="O140" si="50">J140</f>
        <v>0</v>
      </c>
      <c r="P140" s="302" t="str">
        <f>VLOOKUP(B140,Summary!$B$8:$E$26,3,FALSE)</f>
        <v>Y</v>
      </c>
      <c r="S140" s="287"/>
      <c r="T140" s="287"/>
      <c r="U140" s="287"/>
      <c r="V140" s="287"/>
    </row>
    <row r="141" spans="2:22" ht="15.65" customHeight="1">
      <c r="B141" s="313" t="s">
        <v>684</v>
      </c>
      <c r="C141" t="s">
        <v>616</v>
      </c>
      <c r="D141" t="s">
        <v>676</v>
      </c>
      <c r="E141" s="105">
        <f t="shared" si="39"/>
        <v>0</v>
      </c>
      <c r="F141" s="255" t="s">
        <v>15</v>
      </c>
      <c r="G141" s="93">
        <v>0</v>
      </c>
      <c r="H141" s="93">
        <v>0</v>
      </c>
      <c r="I141" s="93">
        <v>18245.09659158059</v>
      </c>
      <c r="J141" s="93">
        <v>0</v>
      </c>
      <c r="K141" s="284" t="s">
        <v>129</v>
      </c>
      <c r="L141" s="105">
        <v>0</v>
      </c>
      <c r="M141" s="105">
        <v>0</v>
      </c>
      <c r="N141" s="105">
        <v>-7116.268</v>
      </c>
      <c r="O141" s="105">
        <v>0</v>
      </c>
      <c r="P141" s="302" t="str">
        <f>VLOOKUP(B141,Summary!$B$8:$E$26,3,FALSE)</f>
        <v>Y</v>
      </c>
      <c r="S141" s="287"/>
      <c r="T141" s="287"/>
      <c r="U141" s="287"/>
      <c r="V141" s="287"/>
    </row>
    <row r="142" spans="2:22" ht="45.65" customHeight="1">
      <c r="B142" s="314"/>
      <c r="C142" s="315"/>
      <c r="E142" s="105"/>
      <c r="G142" s="93"/>
      <c r="H142" s="157"/>
      <c r="I142" s="93"/>
      <c r="J142" s="93"/>
      <c r="L142" s="105"/>
      <c r="M142" s="105"/>
      <c r="N142" s="105"/>
      <c r="O142" s="105"/>
      <c r="P142" s="302"/>
      <c r="S142" s="287"/>
      <c r="T142" s="287"/>
      <c r="U142" s="287"/>
      <c r="V142" s="287"/>
    </row>
    <row r="143" spans="2:22" ht="15.65" customHeight="1">
      <c r="B143" s="314"/>
      <c r="C143" s="315"/>
      <c r="E143" s="105"/>
      <c r="G143" s="93"/>
      <c r="H143" s="157"/>
      <c r="I143" s="93"/>
      <c r="J143" s="93"/>
      <c r="L143" s="105"/>
      <c r="M143" s="105"/>
      <c r="N143" s="105"/>
      <c r="O143" s="105"/>
      <c r="P143" s="302"/>
      <c r="S143" s="287"/>
      <c r="T143" s="287"/>
      <c r="U143" s="287"/>
      <c r="V143" s="287"/>
    </row>
    <row r="144" spans="2:22" ht="15.65" customHeight="1">
      <c r="B144" s="314"/>
      <c r="C144" s="315"/>
      <c r="E144" s="105"/>
      <c r="G144" s="93"/>
      <c r="H144" s="157"/>
      <c r="I144" s="93"/>
      <c r="J144" s="93"/>
      <c r="L144" s="105"/>
      <c r="M144" s="105"/>
      <c r="N144" s="105"/>
      <c r="O144" s="105"/>
      <c r="P144" s="302"/>
      <c r="S144" s="287"/>
      <c r="T144" s="287"/>
      <c r="U144" s="287"/>
      <c r="V144" s="287"/>
    </row>
    <row r="145" spans="2:22" ht="15.65" customHeight="1">
      <c r="B145" s="31" t="s">
        <v>9</v>
      </c>
      <c r="E145" s="105"/>
      <c r="G145" s="93"/>
      <c r="H145" s="93"/>
      <c r="I145" s="93"/>
      <c r="J145" s="93"/>
      <c r="L145" s="105"/>
      <c r="M145" s="105"/>
      <c r="N145" s="105"/>
      <c r="O145" s="105"/>
      <c r="P145" s="302"/>
      <c r="S145" s="287"/>
      <c r="T145" s="287"/>
      <c r="U145" s="287"/>
      <c r="V145" s="287"/>
    </row>
    <row r="146" spans="2:22" ht="15.65" customHeight="1">
      <c r="D146" s="62"/>
      <c r="E146" s="283"/>
      <c r="G146" s="105"/>
      <c r="H146" s="105"/>
      <c r="I146" s="93"/>
      <c r="J146" s="93"/>
      <c r="L146" s="105"/>
      <c r="M146" s="105"/>
      <c r="N146" s="105"/>
      <c r="O146" s="93"/>
      <c r="P146" s="302"/>
      <c r="S146" s="287"/>
      <c r="T146" s="287"/>
      <c r="U146" s="287"/>
      <c r="V146" s="287"/>
    </row>
    <row r="147" spans="2:22" ht="15.65" customHeight="1">
      <c r="E147" s="132"/>
      <c r="G147" s="93"/>
      <c r="H147" s="93"/>
      <c r="I147" s="93"/>
      <c r="J147" s="93"/>
      <c r="L147" s="93"/>
      <c r="M147" s="93"/>
      <c r="N147" s="93"/>
      <c r="O147" s="93"/>
      <c r="P147" s="93"/>
      <c r="S147" s="287"/>
      <c r="T147" s="287"/>
      <c r="U147" s="287"/>
      <c r="V147" s="287"/>
    </row>
    <row r="148" spans="2:22" ht="15.65" customHeight="1" thickBot="1">
      <c r="B148" s="31" t="s">
        <v>56</v>
      </c>
      <c r="E148" s="307">
        <f>SUM(E107:E147)</f>
        <v>438059.51518910017</v>
      </c>
      <c r="G148" s="308">
        <f>SUM(G107:G147)</f>
        <v>438059.51518910017</v>
      </c>
      <c r="H148" s="308">
        <f>SUM(H107:H147)</f>
        <v>4334737.7378198504</v>
      </c>
      <c r="I148" s="308">
        <f>SUM(I107:I147)</f>
        <v>13968178.342955621</v>
      </c>
      <c r="J148" s="308">
        <f>SUM(J107:J147)</f>
        <v>14717630.541603066</v>
      </c>
      <c r="K148"/>
      <c r="L148" s="308">
        <f>SUM(L107:L147)</f>
        <v>438059.51518910017</v>
      </c>
      <c r="M148" s="308">
        <f>SUM(M107:M147)</f>
        <v>1991462.4601458877</v>
      </c>
      <c r="N148" s="308">
        <f>SUM(N107:N147)</f>
        <v>2315372.2062450647</v>
      </c>
      <c r="O148" s="308">
        <f>SUM(O107:O147)</f>
        <v>3090185.7694840906</v>
      </c>
      <c r="P148" s="316"/>
      <c r="S148" s="287"/>
      <c r="T148" s="287"/>
      <c r="U148" s="287"/>
      <c r="V148" s="287"/>
    </row>
    <row r="149" spans="2:22" ht="15.65" customHeight="1" thickTop="1">
      <c r="S149" s="287"/>
      <c r="T149" s="287"/>
      <c r="U149" s="287"/>
      <c r="V149" s="287"/>
    </row>
    <row r="150" spans="2:22" ht="15.65" customHeight="1">
      <c r="S150" s="287"/>
      <c r="T150" s="287"/>
      <c r="U150" s="287"/>
      <c r="V150" s="287"/>
    </row>
    <row r="151" spans="2:22" ht="15.65" customHeight="1">
      <c r="S151" s="287"/>
      <c r="T151" s="287"/>
      <c r="U151" s="287"/>
      <c r="V151" s="287"/>
    </row>
    <row r="152" spans="2:22" ht="15.65" customHeight="1">
      <c r="B152" t="s">
        <v>341</v>
      </c>
      <c r="C152" s="317">
        <v>1.0869E-2</v>
      </c>
      <c r="S152" s="287"/>
      <c r="T152" s="287"/>
      <c r="U152" s="287"/>
      <c r="V152" s="287"/>
    </row>
    <row r="153" spans="2:22" ht="15.65" customHeight="1">
      <c r="B153" t="s">
        <v>280</v>
      </c>
      <c r="C153" s="318">
        <v>1.0810999999999999E-2</v>
      </c>
      <c r="S153" s="287"/>
      <c r="T153" s="287"/>
      <c r="U153" s="287"/>
      <c r="V153" s="287"/>
    </row>
    <row r="154" spans="2:22" ht="15.65" customHeight="1">
      <c r="B154" t="s">
        <v>461</v>
      </c>
      <c r="C154" s="318">
        <v>1.1245E-2</v>
      </c>
      <c r="S154" s="287"/>
      <c r="T154" s="287"/>
      <c r="U154" s="287"/>
      <c r="V154" s="287"/>
    </row>
    <row r="155" spans="2:22">
      <c r="B155" t="s">
        <v>509</v>
      </c>
      <c r="C155" s="319">
        <v>1.252E-2</v>
      </c>
    </row>
    <row r="157" spans="2:22">
      <c r="D157" s="105"/>
      <c r="R157" s="320"/>
    </row>
    <row r="159" spans="2:22">
      <c r="C159" s="321"/>
    </row>
    <row r="253" spans="6:13">
      <c r="F253" s="271"/>
      <c r="G253" s="271"/>
      <c r="H253" s="271"/>
      <c r="I253" s="271"/>
      <c r="J253" s="271"/>
      <c r="K253" s="271"/>
      <c r="L253" s="271"/>
      <c r="M253" s="271"/>
    </row>
    <row r="254" spans="6:13">
      <c r="F254" s="271"/>
      <c r="G254" s="271"/>
      <c r="H254" s="271"/>
      <c r="I254" s="271"/>
      <c r="J254" s="271"/>
      <c r="K254" s="271"/>
      <c r="L254" s="271"/>
      <c r="M254" s="271"/>
    </row>
    <row r="255" spans="6:13">
      <c r="F255" s="271"/>
      <c r="G255" s="271"/>
      <c r="H255" s="271"/>
      <c r="I255" s="271"/>
      <c r="J255" s="271"/>
      <c r="K255" s="271"/>
      <c r="L255" s="271"/>
      <c r="M255" s="271"/>
    </row>
    <row r="256" spans="6:13">
      <c r="F256" s="271"/>
      <c r="G256" s="271"/>
      <c r="H256" s="271"/>
      <c r="I256" s="271"/>
      <c r="J256" s="271"/>
      <c r="K256" s="271"/>
      <c r="L256" s="271"/>
      <c r="M256" s="271"/>
    </row>
    <row r="257" spans="6:13">
      <c r="F257" s="271"/>
      <c r="G257" s="271"/>
      <c r="H257" s="271"/>
      <c r="I257" s="271"/>
      <c r="J257" s="271"/>
      <c r="K257" s="271"/>
      <c r="L257" s="271"/>
      <c r="M257" s="271"/>
    </row>
    <row r="258" spans="6:13">
      <c r="F258" s="271"/>
      <c r="G258" s="271"/>
      <c r="H258" s="271"/>
      <c r="I258" s="271"/>
      <c r="J258" s="271"/>
      <c r="K258" s="271"/>
      <c r="L258" s="271"/>
      <c r="M258" s="271"/>
    </row>
    <row r="259" spans="6:13">
      <c r="F259" s="271"/>
      <c r="G259" s="271"/>
      <c r="H259" s="271"/>
      <c r="I259" s="271"/>
      <c r="J259" s="271"/>
      <c r="K259" s="271"/>
      <c r="L259" s="271"/>
      <c r="M259" s="271"/>
    </row>
    <row r="260" spans="6:13">
      <c r="F260" s="271"/>
      <c r="G260" s="271"/>
      <c r="H260" s="271"/>
      <c r="I260" s="271"/>
      <c r="J260" s="271"/>
      <c r="K260" s="271"/>
      <c r="L260" s="271"/>
      <c r="M260" s="271"/>
    </row>
    <row r="261" spans="6:13">
      <c r="F261" s="271"/>
      <c r="G261" s="271"/>
      <c r="H261" s="271"/>
      <c r="I261" s="271"/>
      <c r="J261" s="271"/>
      <c r="K261" s="271"/>
      <c r="L261" s="271"/>
      <c r="M261" s="271"/>
    </row>
    <row r="262" spans="6:13">
      <c r="F262" s="271"/>
      <c r="G262" s="271"/>
      <c r="H262" s="271"/>
      <c r="I262" s="271"/>
      <c r="J262" s="271"/>
      <c r="K262" s="271"/>
      <c r="L262" s="271"/>
      <c r="M262" s="271"/>
    </row>
    <row r="263" spans="6:13">
      <c r="F263" s="271"/>
      <c r="G263" s="271"/>
      <c r="H263" s="271"/>
      <c r="I263" s="271"/>
      <c r="J263" s="271"/>
      <c r="K263" s="271"/>
      <c r="L263" s="271"/>
      <c r="M263" s="271"/>
    </row>
    <row r="264" spans="6:13">
      <c r="F264" s="271"/>
      <c r="G264" s="271"/>
      <c r="H264" s="271"/>
      <c r="I264" s="271"/>
      <c r="J264" s="271"/>
      <c r="K264" s="271"/>
      <c r="L264" s="271"/>
      <c r="M264" s="271"/>
    </row>
    <row r="265" spans="6:13">
      <c r="F265" s="271"/>
      <c r="G265" s="271"/>
      <c r="H265" s="271"/>
      <c r="I265" s="271"/>
      <c r="J265" s="271"/>
      <c r="K265" s="271"/>
      <c r="L265" s="271"/>
      <c r="M265" s="271"/>
    </row>
  </sheetData>
  <mergeCells count="3">
    <mergeCell ref="B7:K7"/>
    <mergeCell ref="B104:N104"/>
    <mergeCell ref="L105:O105"/>
  </mergeCells>
  <phoneticPr fontId="34" type="noConversion"/>
  <conditionalFormatting sqref="F55:F56">
    <cfRule type="containsText" dxfId="4" priority="3" operator="containsText" text="Public">
      <formula>NOT(ISERROR(SEARCH("Public",F55)))</formula>
    </cfRule>
    <cfRule type="cellIs" dxfId="3" priority="4" operator="equal">
      <formula>"""Public Purpose Program"""</formula>
    </cfRule>
  </conditionalFormatting>
  <conditionalFormatting sqref="F82">
    <cfRule type="containsText" dxfId="2" priority="1" operator="containsText" text="Public">
      <formula>NOT(ISERROR(SEARCH("Public",F82)))</formula>
    </cfRule>
    <cfRule type="cellIs" dxfId="1" priority="2" operator="equal">
      <formula>"""Public Purpose Program"""</formula>
    </cfRule>
  </conditionalFormatting>
  <conditionalFormatting sqref="M66:M75 M62">
    <cfRule type="duplicateValues" dxfId="0" priority="19"/>
  </conditionalFormatting>
  <dataValidations disablePrompts="1" count="1">
    <dataValidation type="list" allowBlank="1" showInputMessage="1" showErrorMessage="1" sqref="K106:L106 G106" xr:uid="{6088A891-38B4-4D34-91E9-49BBED0B39DE}">
      <formula1>"2019,2020,2021,2022,2023,2024,2025"</formula1>
    </dataValidation>
  </dataValidations>
  <pageMargins left="0.7" right="0.7" top="0.75" bottom="0.75" header="0.3" footer="0.3"/>
  <pageSetup orientation="portrait" r:id="rId1"/>
  <headerFooter>
    <oddFooter xml:space="preserve">&amp;C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5583C-BC29-4C0A-9DD4-F45D9C5A9712}">
  <sheetPr codeName="Sheet5">
    <pageSetUpPr autoPageBreaks="0"/>
  </sheetPr>
  <dimension ref="B1:AN75"/>
  <sheetViews>
    <sheetView tabSelected="1" topLeftCell="A30" zoomScale="90" zoomScaleNormal="90" workbookViewId="0">
      <selection activeCell="A35" sqref="A35:XFD1048576"/>
    </sheetView>
  </sheetViews>
  <sheetFormatPr defaultColWidth="8.81640625" defaultRowHeight="14.5"/>
  <cols>
    <col min="1" max="1" width="3.54296875" style="39" customWidth="1"/>
    <col min="2" max="2" width="20.54296875" style="39" customWidth="1"/>
    <col min="3" max="3" width="19.453125" style="39" customWidth="1"/>
    <col min="4" max="4" width="17.453125" style="39" customWidth="1"/>
    <col min="5" max="5" width="10.54296875" style="39" customWidth="1"/>
    <col min="6" max="6" width="23.7265625" style="39" customWidth="1"/>
    <col min="7" max="7" width="18.26953125" style="39" customWidth="1"/>
    <col min="8" max="8" width="18.54296875" style="39" customWidth="1"/>
    <col min="9" max="9" width="13.54296875" style="39" customWidth="1"/>
    <col min="10" max="10" width="15.81640625" style="39" customWidth="1"/>
    <col min="11" max="11" width="16.81640625" style="39" customWidth="1"/>
    <col min="12" max="14" width="15.453125" style="39" customWidth="1"/>
    <col min="15" max="15" width="16.1796875" style="39" customWidth="1"/>
    <col min="16" max="16" width="15.54296875" style="39" customWidth="1"/>
    <col min="17" max="17" width="13" style="39" customWidth="1"/>
    <col min="18" max="18" width="14" style="39" customWidth="1"/>
    <col min="19" max="19" width="15.81640625" style="39" customWidth="1"/>
    <col min="20" max="20" width="13.26953125" style="39" customWidth="1"/>
    <col min="21" max="21" width="15" style="39" customWidth="1"/>
    <col min="22" max="22" width="16.26953125" style="39" bestFit="1" customWidth="1"/>
    <col min="23" max="23" width="42" style="39" customWidth="1"/>
    <col min="24" max="24" width="15.453125" style="39" customWidth="1"/>
    <col min="25" max="26" width="20.1796875" style="39" customWidth="1"/>
    <col min="27" max="27" width="15.7265625" style="39" bestFit="1" customWidth="1"/>
    <col min="28" max="28" width="16.1796875" style="39" bestFit="1" customWidth="1"/>
    <col min="29" max="29" width="16.1796875" style="39" customWidth="1"/>
    <col min="30" max="30" width="12.81640625" style="39" bestFit="1" customWidth="1"/>
    <col min="31" max="31" width="9.81640625" style="39" bestFit="1" customWidth="1"/>
    <col min="32" max="32" width="12.81640625" style="39" bestFit="1" customWidth="1"/>
    <col min="33" max="34" width="8.81640625" style="39"/>
    <col min="35" max="35" width="14.7265625" style="39" bestFit="1" customWidth="1"/>
    <col min="36" max="36" width="16.1796875" style="39" bestFit="1" customWidth="1"/>
    <col min="37" max="38" width="8.81640625" style="39"/>
    <col min="39" max="39" width="15.81640625" style="39" bestFit="1" customWidth="1"/>
    <col min="40" max="40" width="11.81640625" style="39" customWidth="1"/>
    <col min="41" max="16384" width="8.81640625" style="39"/>
  </cols>
  <sheetData>
    <row r="1" spans="2:29" ht="53.9" customHeight="1">
      <c r="B1" s="322"/>
      <c r="C1" s="322"/>
      <c r="D1" s="322"/>
      <c r="E1" s="322"/>
      <c r="F1" s="322"/>
      <c r="G1" s="322"/>
      <c r="H1" s="322"/>
      <c r="I1" s="322"/>
      <c r="J1" s="322"/>
      <c r="K1" s="322"/>
      <c r="L1" s="322"/>
      <c r="M1" s="322"/>
      <c r="N1" s="322"/>
      <c r="O1" s="322"/>
      <c r="P1" s="322"/>
      <c r="Q1" s="322"/>
      <c r="R1" s="322"/>
      <c r="S1" s="322"/>
      <c r="T1" s="322"/>
      <c r="U1" s="322"/>
      <c r="V1" s="322"/>
      <c r="W1" s="322"/>
    </row>
    <row r="2" spans="2:29" ht="15.5">
      <c r="B2" s="323"/>
      <c r="C2" s="460" t="s">
        <v>13</v>
      </c>
      <c r="D2" s="460"/>
      <c r="E2" s="323"/>
      <c r="F2" s="323"/>
      <c r="H2" s="325"/>
      <c r="J2" s="325"/>
      <c r="R2" s="323"/>
      <c r="S2" s="323"/>
      <c r="T2" s="323"/>
      <c r="U2" s="323"/>
      <c r="V2" s="323"/>
      <c r="W2" s="323"/>
    </row>
    <row r="3" spans="2:29">
      <c r="B3" s="1"/>
      <c r="C3" s="64" t="s">
        <v>173</v>
      </c>
      <c r="D3" s="64" t="s">
        <v>175</v>
      </c>
      <c r="R3" s="326"/>
      <c r="S3" s="326"/>
      <c r="T3" s="326"/>
      <c r="U3" s="326"/>
      <c r="V3" s="326"/>
      <c r="W3" s="326"/>
    </row>
    <row r="4" spans="2:29" ht="15.5">
      <c r="B4" s="58" t="s">
        <v>3</v>
      </c>
      <c r="C4" s="2">
        <f>INDEX('Incremental Rev Req'!$R$9:$V$24,MATCH(B4,'Incremental Rev Req'!$R$9:$R$24,0),MATCH(Summary!$D$3,'Incremental Rev Req'!$R$9:$V$9,0))</f>
        <v>4502517.1329402486</v>
      </c>
      <c r="D4" s="2">
        <f>INDEX('Incremental Rev Req'!$R$105:$V$120,MATCH(B4,'Incremental Rev Req'!$R$105:$R$120,0),MATCH(Summary!$D$3,'Incremental Rev Req'!$R$105:$V$105,0))</f>
        <v>4502517.1329402486</v>
      </c>
      <c r="G4" s="461" t="s">
        <v>176</v>
      </c>
      <c r="H4" s="461"/>
      <c r="I4" s="461"/>
      <c r="J4" s="461"/>
      <c r="K4" s="461"/>
      <c r="L4" s="461"/>
      <c r="M4" s="461"/>
      <c r="N4" s="461"/>
      <c r="O4" s="461"/>
      <c r="P4" s="461"/>
      <c r="R4" s="24"/>
      <c r="S4" s="35"/>
      <c r="T4" s="35"/>
      <c r="U4" s="35"/>
      <c r="V4" s="35"/>
      <c r="W4" s="35"/>
      <c r="X4" s="35"/>
      <c r="Y4" s="35"/>
    </row>
    <row r="5" spans="2:29" ht="31">
      <c r="B5" s="58" t="s">
        <v>14</v>
      </c>
      <c r="C5" s="2">
        <f>INDEX('Incremental Rev Req'!$R$9:$V$24,MATCH(B5,'Incremental Rev Req'!$R$9:$R$24,0),MATCH(Summary!$D$3,'Incremental Rev Req'!$R$9:$V$9,0))</f>
        <v>325539.01622175635</v>
      </c>
      <c r="D5" s="2">
        <f>INDEX('Incremental Rev Req'!$R$105:$V$120,MATCH(B5,'Incremental Rev Req'!$R$105:$R$120,0),MATCH(Summary!$D$3,'Incremental Rev Req'!$R$105:$V$105,0))</f>
        <v>325539.01622175635</v>
      </c>
      <c r="F5" s="5"/>
      <c r="G5" s="6" t="s">
        <v>3</v>
      </c>
      <c r="H5" s="6" t="s">
        <v>5</v>
      </c>
      <c r="I5" s="6" t="s">
        <v>16</v>
      </c>
      <c r="J5" s="6" t="s">
        <v>177</v>
      </c>
      <c r="K5" s="6" t="s">
        <v>14</v>
      </c>
      <c r="L5" s="6" t="s">
        <v>10</v>
      </c>
      <c r="M5" s="6" t="s">
        <v>68</v>
      </c>
      <c r="N5" s="6" t="s">
        <v>131</v>
      </c>
      <c r="O5" s="6" t="s">
        <v>138</v>
      </c>
      <c r="P5" s="6" t="s">
        <v>178</v>
      </c>
      <c r="Q5" s="327" t="s">
        <v>24</v>
      </c>
      <c r="R5" s="6" t="s">
        <v>284</v>
      </c>
      <c r="S5" s="327" t="s">
        <v>211</v>
      </c>
      <c r="T5" s="328" t="s">
        <v>309</v>
      </c>
      <c r="AB5" s="19"/>
    </row>
    <row r="6" spans="2:29" ht="15.5">
      <c r="B6" s="58" t="s">
        <v>5</v>
      </c>
      <c r="C6" s="2">
        <f>INDEX('Incremental Rev Req'!$R$9:$V$24,MATCH(B6,'Incremental Rev Req'!$R$9:$R$24,0),MATCH(Summary!$D$3,'Incremental Rev Req'!$R$9:$V$9,0))</f>
        <v>10405674.733848579</v>
      </c>
      <c r="D6" s="2">
        <f>INDEX('Incremental Rev Req'!$R$105:$V$120,MATCH(B6,'Incremental Rev Req'!$R$105:$R$120,0),MATCH(Summary!$D$3,'Incremental Rev Req'!$R$105:$V$105,0))</f>
        <v>10405674.733848579</v>
      </c>
      <c r="F6" s="5" t="s">
        <v>19</v>
      </c>
      <c r="G6" s="95">
        <f>VLOOKUP(Summary!$D$3,$F$35:$T$38,G$33,FALSE)</f>
        <v>0.40900666226609728</v>
      </c>
      <c r="H6" s="95">
        <f>VLOOKUP(Summary!$D$3,$F$35:$T$38,H$33,FALSE)</f>
        <v>0.4070070773511657</v>
      </c>
      <c r="I6" s="95">
        <f>VLOOKUP(Summary!$D$3,$F$35:$T$38,I$33,FALSE)</f>
        <v>0.33769837111013679</v>
      </c>
      <c r="J6" s="95">
        <f>VLOOKUP(Summary!$D$3,$F$35:$T$38,J$33,FALSE)</f>
        <v>0.34713198965052205</v>
      </c>
      <c r="K6" s="95">
        <f>VLOOKUP(Summary!$D$3,$F$35:$T$38,K$33,FALSE)</f>
        <v>0.46656069312382042</v>
      </c>
      <c r="L6" s="95">
        <f>VLOOKUP(Summary!$D$3,$F$35:$T$38,L$33,FALSE)</f>
        <v>0.46692690842834589</v>
      </c>
      <c r="M6" s="95">
        <f>VLOOKUP(Summary!$D$3,$F$35:$T$38,M$33,FALSE)</f>
        <v>0.3666164112170443</v>
      </c>
      <c r="N6" s="95">
        <f>VLOOKUP(Summary!$D$3,$F$35:$T$38,N$33,FALSE)</f>
        <v>0.34510802921225209</v>
      </c>
      <c r="O6" s="95">
        <f>VLOOKUP(Summary!$D$3,$F$35:$T$38,O$33,FALSE)</f>
        <v>0.46728018137359867</v>
      </c>
      <c r="P6" s="95">
        <f>VLOOKUP(Summary!$D$3,$F$35:$T$38,P$33,FALSE)</f>
        <v>0.87676434588726226</v>
      </c>
      <c r="Q6" s="95">
        <f>VLOOKUP(Summary!$D$3,$F$35:$T$38,Q$33,FALSE)</f>
        <v>0.27114780615983058</v>
      </c>
      <c r="R6" s="95">
        <f>VLOOKUP(Summary!$D$3,$F$35:$T$38,R$33,FALSE)</f>
        <v>0.3316051653534885</v>
      </c>
      <c r="S6" s="95">
        <f>VLOOKUP(Summary!$D$3,$F$35:$T$38,S$33,FALSE)</f>
        <v>0.46725844988440807</v>
      </c>
      <c r="T6" s="95">
        <f>VLOOKUP(Summary!$D$3,$F$35:$T$38,T$33,FALSE)</f>
        <v>0.39898296095140573</v>
      </c>
      <c r="U6" s="329"/>
    </row>
    <row r="7" spans="2:29" ht="15.5">
      <c r="B7" s="58" t="s">
        <v>133</v>
      </c>
      <c r="C7" s="2">
        <f>INDEX('Incremental Rev Req'!$R$9:$V$24,MATCH(B7,'Incremental Rev Req'!$R$9:$R$24,0),MATCH(Summary!$D$3,'Incremental Rev Req'!$R$9:$V$9,0))</f>
        <v>-721064.79799999995</v>
      </c>
      <c r="D7" s="2">
        <f>INDEX('Incremental Rev Req'!$R$105:$V$120,MATCH(B7,'Incremental Rev Req'!$R$105:$R$120,0),MATCH(Summary!$D$3,'Incremental Rev Req'!$R$105:$V$105,0))</f>
        <v>-721064.79799999995</v>
      </c>
      <c r="F7" s="5"/>
      <c r="G7" s="109"/>
      <c r="H7" s="109"/>
      <c r="I7" s="109"/>
      <c r="J7" s="109"/>
      <c r="K7" s="109"/>
      <c r="L7" s="109"/>
      <c r="M7" s="109"/>
      <c r="N7" s="109"/>
      <c r="O7" s="109"/>
      <c r="P7" s="109"/>
      <c r="Q7" s="109"/>
    </row>
    <row r="8" spans="2:29" ht="15.5">
      <c r="B8" s="58" t="s">
        <v>68</v>
      </c>
      <c r="C8" s="2">
        <f>INDEX('Incremental Rev Req'!$R$9:$V$24,MATCH(B8,'Incremental Rev Req'!$R$9:$R$24,0),MATCH(Summary!$D$3,'Incremental Rev Req'!$R$9:$V$9,0))</f>
        <v>-51714.55454002523</v>
      </c>
      <c r="D8" s="2">
        <f>INDEX('Incremental Rev Req'!$R$105:$V$120,MATCH(B8,'Incremental Rev Req'!$R$105:$R$120,0),MATCH(Summary!$D$3,'Incremental Rev Req'!$R$105:$V$105,0))</f>
        <v>-51714.55454002523</v>
      </c>
      <c r="F8" s="17"/>
      <c r="G8" s="461" t="s">
        <v>179</v>
      </c>
      <c r="H8" s="461"/>
      <c r="I8" s="461"/>
      <c r="J8" s="461"/>
      <c r="K8" s="461"/>
      <c r="L8" s="461"/>
      <c r="M8" s="461"/>
      <c r="N8" s="461"/>
      <c r="O8" s="461"/>
      <c r="P8" s="461"/>
      <c r="Q8" s="461"/>
      <c r="R8" s="461"/>
    </row>
    <row r="9" spans="2:29" ht="34.5" customHeight="1">
      <c r="B9" s="58" t="s">
        <v>16</v>
      </c>
      <c r="C9" s="2">
        <f>INDEX('Incremental Rev Req'!$R$9:$V$24,MATCH(B9,'Incremental Rev Req'!$R$9:$R$24,0),MATCH(Summary!$D$3,'Incremental Rev Req'!$R$9:$V$9,0))</f>
        <v>-19018.951371683193</v>
      </c>
      <c r="D9" s="2">
        <f>INDEX('Incremental Rev Req'!$R$105:$V$120,MATCH(B9,'Incremental Rev Req'!$R$105:$R$120,0),MATCH(Summary!$D$3,'Incremental Rev Req'!$R$105:$V$105,0))</f>
        <v>-19018.951371683193</v>
      </c>
      <c r="F9" s="330" t="s">
        <v>173</v>
      </c>
      <c r="G9" s="6" t="s">
        <v>3</v>
      </c>
      <c r="H9" s="6" t="s">
        <v>5</v>
      </c>
      <c r="I9" s="6" t="s">
        <v>16</v>
      </c>
      <c r="J9" s="6" t="s">
        <v>15</v>
      </c>
      <c r="K9" s="6" t="s">
        <v>14</v>
      </c>
      <c r="L9" s="6" t="s">
        <v>10</v>
      </c>
      <c r="M9" s="6" t="s">
        <v>68</v>
      </c>
      <c r="N9" s="6" t="s">
        <v>131</v>
      </c>
      <c r="O9" s="6" t="s">
        <v>138</v>
      </c>
      <c r="P9" s="6" t="s">
        <v>133</v>
      </c>
      <c r="Q9" s="6" t="s">
        <v>17</v>
      </c>
      <c r="R9" s="6" t="s">
        <v>284</v>
      </c>
      <c r="S9" s="327" t="s">
        <v>211</v>
      </c>
      <c r="T9" s="328" t="s">
        <v>309</v>
      </c>
      <c r="U9" s="6" t="s">
        <v>136</v>
      </c>
    </row>
    <row r="10" spans="2:29" ht="15.5">
      <c r="B10" s="58" t="s">
        <v>15</v>
      </c>
      <c r="C10" s="2">
        <f>INDEX('Incremental Rev Req'!$R$9:$V$24,MATCH(B10,'Incremental Rev Req'!$R$9:$R$24,0),MATCH(Summary!$D$3,'Incremental Rev Req'!$R$9:$V$9,0))</f>
        <v>622641.69656726439</v>
      </c>
      <c r="D10" s="2">
        <f>INDEX('Incremental Rev Req'!$R$105:$V$120,MATCH(B10,'Incremental Rev Req'!$R$105:$R$120,0),MATCH(Summary!$D$3,'Incremental Rev Req'!$R$105:$V$105,0))</f>
        <v>622641.69656726439</v>
      </c>
      <c r="F10" s="5" t="s">
        <v>19</v>
      </c>
      <c r="G10" s="331">
        <f t="shared" ref="G10:Q10" si="0">G6*G11</f>
        <v>1841559.5043398088</v>
      </c>
      <c r="H10" s="331">
        <f t="shared" si="0"/>
        <v>4235183.2612905791</v>
      </c>
      <c r="I10" s="331">
        <f t="shared" si="0"/>
        <v>-6422.6688984403163</v>
      </c>
      <c r="J10" s="331">
        <f t="shared" si="0"/>
        <v>216138.85096877112</v>
      </c>
      <c r="K10" s="331">
        <f t="shared" si="0"/>
        <v>151883.70904726925</v>
      </c>
      <c r="L10" s="331">
        <f t="shared" si="0"/>
        <v>1355499.7340466946</v>
      </c>
      <c r="M10" s="331">
        <f t="shared" si="0"/>
        <v>-18959.404393152156</v>
      </c>
      <c r="N10" s="331">
        <f t="shared" si="0"/>
        <v>241.32609715223791</v>
      </c>
      <c r="O10" s="331">
        <f t="shared" si="0"/>
        <v>-285762.35645509383</v>
      </c>
      <c r="P10" s="331">
        <f t="shared" si="0"/>
        <v>-632203.90596080082</v>
      </c>
      <c r="Q10" s="331">
        <f t="shared" si="0"/>
        <v>111865.16067484442</v>
      </c>
      <c r="R10" s="331">
        <f>R6*R11</f>
        <v>65695.187256547142</v>
      </c>
      <c r="S10" s="331">
        <f>S6*S11</f>
        <v>-144965.21225538978</v>
      </c>
      <c r="T10" s="331">
        <f>T6*T11</f>
        <v>572696.85360291612</v>
      </c>
      <c r="U10" s="332">
        <f>SUM(G10:T10)</f>
        <v>7462450.0393617051</v>
      </c>
      <c r="W10" s="333"/>
      <c r="X10" s="333"/>
    </row>
    <row r="11" spans="2:29" ht="15.5">
      <c r="B11" s="58" t="s">
        <v>17</v>
      </c>
      <c r="C11" s="2">
        <f>INDEX('Incremental Rev Req'!$R$9:$V$24,MATCH(B11,'Incremental Rev Req'!$R$9:$R$24,0),MATCH(Summary!$D$3,'Incremental Rev Req'!$R$9:$V$9,0))</f>
        <v>412561.55548204755</v>
      </c>
      <c r="D11" s="2">
        <f>INDEX('Incremental Rev Req'!$R$105:$V$120,MATCH(B11,'Incremental Rev Req'!$R$105:$R$120,0),MATCH(Summary!$D$3,'Incremental Rev Req'!$R$105:$V$105,0))</f>
        <v>412561.55548204755</v>
      </c>
      <c r="F11" s="5" t="s">
        <v>23</v>
      </c>
      <c r="G11" s="85">
        <f t="shared" ref="G11:M11" si="1">VLOOKUP(G9,$B$4:$D$17,2,FALSE)</f>
        <v>4502517.1329402486</v>
      </c>
      <c r="H11" s="85">
        <f t="shared" si="1"/>
        <v>10405674.733848579</v>
      </c>
      <c r="I11" s="85">
        <f t="shared" si="1"/>
        <v>-19018.951371683193</v>
      </c>
      <c r="J11" s="85">
        <f t="shared" si="1"/>
        <v>622641.69656726439</v>
      </c>
      <c r="K11" s="85">
        <f t="shared" si="1"/>
        <v>325539.01622175635</v>
      </c>
      <c r="L11" s="85">
        <f t="shared" si="1"/>
        <v>2903023.3845576458</v>
      </c>
      <c r="M11" s="85">
        <f t="shared" si="1"/>
        <v>-51714.55454002523</v>
      </c>
      <c r="N11" s="85">
        <f>VLOOKUP(N9,$B$4:$D$16,2,FALSE)</f>
        <v>699.27697046948424</v>
      </c>
      <c r="O11" s="85">
        <f>VLOOKUP(O9,$B$4:$D$16,2,FALSE)</f>
        <v>-611543.92556319828</v>
      </c>
      <c r="P11" s="85">
        <f>VLOOKUP(P9,$B$4:$D$17,2,FALSE)</f>
        <v>-721064.79799999995</v>
      </c>
      <c r="Q11" s="85">
        <f>VLOOKUP(Q9,$B$4:$D$17,2,FALSE)</f>
        <v>412561.55548204755</v>
      </c>
      <c r="R11" s="85">
        <f>VLOOKUP(R9,$B$4:$D$17,2,FALSE)</f>
        <v>198112.67772779291</v>
      </c>
      <c r="S11" s="87">
        <f>VLOOKUP(S9,$B$4:$D$17,2,FALSE)</f>
        <v>-310246.31505594333</v>
      </c>
      <c r="T11" s="85">
        <f>VLOOKUP(T9,$B$4:$D$17,2,FALSE)</f>
        <v>1435391.757676258</v>
      </c>
      <c r="U11" s="113">
        <f>SUM(G11:T11)</f>
        <v>19092572.687461212</v>
      </c>
      <c r="X11" s="325"/>
    </row>
    <row r="12" spans="2:29" ht="15.5">
      <c r="B12" s="58" t="s">
        <v>131</v>
      </c>
      <c r="C12" s="2">
        <f>INDEX('Incremental Rev Req'!$R$9:$V$24,MATCH(B12,'Incremental Rev Req'!$R$9:$R$24,0),MATCH(Summary!$D$3,'Incremental Rev Req'!$R$9:$V$9,0))</f>
        <v>699.27697046948424</v>
      </c>
      <c r="D12" s="2">
        <f>INDEX('Incremental Rev Req'!$R$105:$V$120,MATCH(B12,'Incremental Rev Req'!$R$105:$R$120,0),MATCH(Summary!$D$3,'Incremental Rev Req'!$R$105:$V$105,0))</f>
        <v>699.27697046948424</v>
      </c>
      <c r="F12" s="330" t="s">
        <v>174</v>
      </c>
      <c r="U12" s="329"/>
    </row>
    <row r="13" spans="2:29" ht="15.65" customHeight="1">
      <c r="B13" s="58" t="s">
        <v>10</v>
      </c>
      <c r="C13" s="2">
        <f>INDEX('Incremental Rev Req'!$R$9:$V$24,MATCH(B13,'Incremental Rev Req'!$R$9:$R$24,0),MATCH(Summary!$D$3,'Incremental Rev Req'!$R$9:$V$9,0))</f>
        <v>2903023.3845576458</v>
      </c>
      <c r="D13" s="2">
        <f>INDEX('Incremental Rev Req'!$R$105:$V$120,MATCH(B13,'Incremental Rev Req'!$R$105:$R$120,0),MATCH(Summary!$D$3,'Incremental Rev Req'!$R$105:$V$105,0))</f>
        <v>2903023.3845576458</v>
      </c>
      <c r="F13" s="5" t="s">
        <v>19</v>
      </c>
      <c r="G13" s="331">
        <f>G6*G14</f>
        <v>1841559.5043398088</v>
      </c>
      <c r="H13" s="331">
        <f t="shared" ref="H13:Q13" si="2">H6*H14</f>
        <v>4235183.2612905791</v>
      </c>
      <c r="I13" s="331">
        <f t="shared" si="2"/>
        <v>-6422.6688984403163</v>
      </c>
      <c r="J13" s="331">
        <f t="shared" si="2"/>
        <v>216138.85096877112</v>
      </c>
      <c r="K13" s="331">
        <f t="shared" si="2"/>
        <v>151883.70904726925</v>
      </c>
      <c r="L13" s="331">
        <f t="shared" si="2"/>
        <v>1355499.7340466946</v>
      </c>
      <c r="M13" s="331">
        <f>M6*M14</f>
        <v>-18959.404393152156</v>
      </c>
      <c r="N13" s="331">
        <f>N6*N14</f>
        <v>241.32609715223791</v>
      </c>
      <c r="O13" s="331">
        <f t="shared" si="2"/>
        <v>-285762.35645509383</v>
      </c>
      <c r="P13" s="331">
        <f t="shared" si="2"/>
        <v>-632203.90596080082</v>
      </c>
      <c r="Q13" s="331">
        <f t="shared" si="2"/>
        <v>111865.16067484442</v>
      </c>
      <c r="R13" s="331">
        <f>R6*R14</f>
        <v>65695.187256547142</v>
      </c>
      <c r="S13" s="331">
        <f>S6*S14</f>
        <v>-122907.0868642515</v>
      </c>
      <c r="T13" s="331">
        <f>T6*T14</f>
        <v>722712.97219993046</v>
      </c>
      <c r="U13" s="332">
        <f>SUM(G13:T13)</f>
        <v>7634524.2833498577</v>
      </c>
    </row>
    <row r="14" spans="2:29" ht="15.65" customHeight="1">
      <c r="B14" s="58" t="s">
        <v>138</v>
      </c>
      <c r="C14" s="2">
        <f>INDEX('Incremental Rev Req'!$R$9:$V$24,MATCH(B14,'Incremental Rev Req'!$R$9:$R$24,0),MATCH(Summary!$D$3,'Incremental Rev Req'!$R$9:$V$9,0))</f>
        <v>-611543.92556319828</v>
      </c>
      <c r="D14" s="2">
        <f>INDEX('Incremental Rev Req'!$R$105:$V$120,MATCH(B14,'Incremental Rev Req'!$R$105:$R$120,0),MATCH(Summary!$D$3,'Incremental Rev Req'!$R$105:$V$105,0))</f>
        <v>-611543.92556319828</v>
      </c>
      <c r="F14" s="5" t="s">
        <v>23</v>
      </c>
      <c r="G14" s="85">
        <f>VLOOKUP(G9,$B$4:$D$16,3,FALSE)</f>
        <v>4502517.1329402486</v>
      </c>
      <c r="H14" s="85">
        <f t="shared" ref="H14:S14" si="3">VLOOKUP(H9,$B$4:$D$16,3,FALSE)</f>
        <v>10405674.733848579</v>
      </c>
      <c r="I14" s="85">
        <f t="shared" si="3"/>
        <v>-19018.951371683193</v>
      </c>
      <c r="J14" s="85">
        <f t="shared" si="3"/>
        <v>622641.69656726439</v>
      </c>
      <c r="K14" s="85">
        <f t="shared" si="3"/>
        <v>325539.01622175635</v>
      </c>
      <c r="L14" s="85">
        <f t="shared" si="3"/>
        <v>2903023.3845576458</v>
      </c>
      <c r="M14" s="85">
        <f t="shared" si="3"/>
        <v>-51714.55454002523</v>
      </c>
      <c r="N14" s="85">
        <f t="shared" si="3"/>
        <v>699.27697046948424</v>
      </c>
      <c r="O14" s="85">
        <f t="shared" si="3"/>
        <v>-611543.92556319828</v>
      </c>
      <c r="P14" s="85">
        <f t="shared" si="3"/>
        <v>-721064.79799999995</v>
      </c>
      <c r="Q14" s="85">
        <f t="shared" si="3"/>
        <v>412561.55548204755</v>
      </c>
      <c r="R14" s="85">
        <f t="shared" si="3"/>
        <v>198112.67772779291</v>
      </c>
      <c r="S14" s="85">
        <f t="shared" si="3"/>
        <v>-263038.76771978475</v>
      </c>
      <c r="T14" s="85">
        <f>VLOOKUP(T9,$B$4:$D$17,3,FALSE)</f>
        <v>1811388.061476524</v>
      </c>
      <c r="U14" s="113">
        <f>SUM(G14:T14)</f>
        <v>19515776.53859764</v>
      </c>
    </row>
    <row r="15" spans="2:29" ht="15.5">
      <c r="B15" s="58" t="s">
        <v>211</v>
      </c>
      <c r="C15" s="103">
        <f>INDEX('Incremental Rev Req'!$R$9:$V$24,MATCH(B15,'Incremental Rev Req'!$R$9:$R$24,0),MATCH(Summary!$D$3,'Incremental Rev Req'!$R$9:$V$9,0))</f>
        <v>-310246.31505594333</v>
      </c>
      <c r="D15" s="2">
        <f>INDEX('Incremental Rev Req'!$R$105:$V$120,MATCH(B15,'Incremental Rev Req'!$R$105:$R$120,0),MATCH(Summary!$D$3,'Incremental Rev Req'!$R$105:$V$105,0))</f>
        <v>-263038.76771978475</v>
      </c>
      <c r="F15" s="170"/>
      <c r="G15" s="3"/>
      <c r="H15" s="3"/>
      <c r="I15" s="3"/>
      <c r="J15" s="17"/>
      <c r="AA15" s="5"/>
      <c r="AB15" s="334" t="s">
        <v>173</v>
      </c>
      <c r="AC15" s="334" t="s">
        <v>174</v>
      </c>
    </row>
    <row r="16" spans="2:29" ht="15.5">
      <c r="B16" s="58" t="s">
        <v>284</v>
      </c>
      <c r="C16" s="103">
        <f>INDEX('Incremental Rev Req'!$R$9:$V$24,MATCH(B16,'Incremental Rev Req'!$R$9:$R$24,0),MATCH(Summary!$D$3,'Incremental Rev Req'!$R$9:$V$9,0))</f>
        <v>198112.67772779291</v>
      </c>
      <c r="D16" s="2">
        <f>INDEX('Incremental Rev Req'!$R$105:$V$120,MATCH(B16,'Incremental Rev Req'!$R$105:$R$120,0),MATCH(Summary!$D$3,'Incremental Rev Req'!$R$105:$V$105,0))</f>
        <v>198112.67772779291</v>
      </c>
      <c r="U16" s="464" t="s">
        <v>173</v>
      </c>
      <c r="V16" s="465"/>
      <c r="W16" s="336" t="s">
        <v>174</v>
      </c>
      <c r="X16" s="335"/>
      <c r="AA16" s="111" t="s">
        <v>233</v>
      </c>
      <c r="AB16" s="112">
        <f>((VLOOKUP(Summary!$D$3,N51:O54,2,FALSE))-(VLOOKUP(Summary!$D$3,F51:G54,2,FALSE)))/(VLOOKUP(Summary!$D$3,N51:O54,2,FALSE))</f>
        <v>0.25623041706120792</v>
      </c>
      <c r="AC16" s="112">
        <f>AB16</f>
        <v>0.25623041706120792</v>
      </c>
    </row>
    <row r="17" spans="2:40" ht="15.5">
      <c r="B17" s="39" t="s">
        <v>309</v>
      </c>
      <c r="C17" s="103">
        <f>INDEX('Incremental Rev Req'!$R$9:$V$24,MATCH(B17,'Incremental Rev Req'!$R$9:$R$24,0),MATCH(Summary!$D$3,'Incremental Rev Req'!$R$9:$V$9,0))</f>
        <v>1435391.757676258</v>
      </c>
      <c r="D17" s="2">
        <f>INDEX('Incremental Rev Req'!$R$105:$V$120,MATCH(B17,'Incremental Rev Req'!$R$105:$R$120,0),MATCH(Summary!$D$3,'Incremental Rev Req'!$R$105:$V$105,0))</f>
        <v>1811388.061476524</v>
      </c>
      <c r="F17" s="17"/>
      <c r="G17" s="455" t="s">
        <v>180</v>
      </c>
      <c r="H17" s="455"/>
      <c r="I17" s="455"/>
      <c r="J17" s="455"/>
      <c r="K17" s="455"/>
      <c r="L17" s="455"/>
      <c r="M17" s="455"/>
      <c r="N17" s="455"/>
      <c r="O17" s="455"/>
      <c r="P17" s="455"/>
      <c r="Q17" s="456"/>
      <c r="R17" s="24"/>
      <c r="U17" s="462" t="s">
        <v>181</v>
      </c>
      <c r="V17" s="463"/>
      <c r="W17" s="337" t="s">
        <v>181</v>
      </c>
      <c r="X17" s="338"/>
      <c r="AA17" s="111" t="s">
        <v>234</v>
      </c>
      <c r="AB17" s="112">
        <v>0.35</v>
      </c>
      <c r="AC17" s="112">
        <f>AB17</f>
        <v>0.35</v>
      </c>
      <c r="AF17" s="19"/>
    </row>
    <row r="18" spans="2:40" ht="31.5" customHeight="1">
      <c r="B18" s="58" t="s">
        <v>136</v>
      </c>
      <c r="C18" s="96">
        <f>SUM(C4:C17)</f>
        <v>19092572.687461212</v>
      </c>
      <c r="D18" s="96">
        <f>SUM(D4:D17)</f>
        <v>19515776.538597636</v>
      </c>
      <c r="E18" s="17"/>
      <c r="G18" s="327" t="s">
        <v>3</v>
      </c>
      <c r="H18" s="6" t="s">
        <v>5</v>
      </c>
      <c r="I18" s="6" t="s">
        <v>16</v>
      </c>
      <c r="J18" s="6" t="s">
        <v>177</v>
      </c>
      <c r="K18" s="6" t="s">
        <v>14</v>
      </c>
      <c r="L18" s="6" t="s">
        <v>10</v>
      </c>
      <c r="M18" s="6" t="s">
        <v>68</v>
      </c>
      <c r="N18" s="6" t="s">
        <v>131</v>
      </c>
      <c r="O18" s="6" t="s">
        <v>138</v>
      </c>
      <c r="P18" s="6" t="s">
        <v>178</v>
      </c>
      <c r="Q18" s="327" t="s">
        <v>24</v>
      </c>
      <c r="R18" s="6" t="s">
        <v>284</v>
      </c>
      <c r="S18" s="327" t="s">
        <v>211</v>
      </c>
      <c r="T18" s="339" t="s">
        <v>309</v>
      </c>
      <c r="U18" s="63" t="s">
        <v>136</v>
      </c>
      <c r="V18" s="63" t="s">
        <v>182</v>
      </c>
      <c r="W18" s="340" t="s">
        <v>136</v>
      </c>
      <c r="X18" s="341" t="s">
        <v>182</v>
      </c>
      <c r="AA18" s="111" t="s">
        <v>196</v>
      </c>
      <c r="AB18" s="85">
        <f>SUM(H10:O10,S10:T10,G10/H19)*AB16*AB17</f>
        <v>977849.68127552967</v>
      </c>
      <c r="AC18" s="85">
        <f>SUM(H13:O13,S13:T13,G13/H19)*AB16*AB17</f>
        <v>993281.41063143138</v>
      </c>
    </row>
    <row r="19" spans="2:40" ht="15.5">
      <c r="B19" s="342"/>
      <c r="C19" s="2"/>
      <c r="D19" s="5"/>
      <c r="F19" s="5" t="s">
        <v>19</v>
      </c>
      <c r="G19" s="134">
        <f>VLOOKUP(Summary!$D$3,$F$41:$Q$44,G$33,FALSE)</f>
        <v>1</v>
      </c>
      <c r="H19" s="134">
        <f>VLOOKUP(Summary!$D$3,$F$41:$T$44,H$33,FALSE)</f>
        <v>0.3814211339982938</v>
      </c>
      <c r="I19" s="134">
        <f>VLOOKUP(Summary!$D$3,$F$41:$T$44,I$33,FALSE)</f>
        <v>0.3814211339982938</v>
      </c>
      <c r="J19" s="134">
        <f>VLOOKUP(Summary!$D$3,$F$41:$T$44,J$33,FALSE)</f>
        <v>0.3814211339982938</v>
      </c>
      <c r="K19" s="134">
        <f>VLOOKUP(Summary!$D$3,$F$41:$T$44,K$33,FALSE)</f>
        <v>0.3814211339982938</v>
      </c>
      <c r="L19" s="134">
        <f>VLOOKUP(Summary!$D$3,$F$41:$T$44,L$33,FALSE)</f>
        <v>0.3814211339982938</v>
      </c>
      <c r="M19" s="134">
        <f>VLOOKUP(Summary!$D$3,$F$41:$T$44,M$33,FALSE)</f>
        <v>0.3814211339982938</v>
      </c>
      <c r="N19" s="134">
        <f>VLOOKUP(Summary!$D$3,$F$41:$T$44,N$33,FALSE)</f>
        <v>0.3814211339982938</v>
      </c>
      <c r="O19" s="134">
        <f>VLOOKUP(Summary!$D$3,$F$41:$T$44,O$33,FALSE)</f>
        <v>0.3814211339982938</v>
      </c>
      <c r="P19" s="134">
        <f>VLOOKUP(Summary!$D$3,$F$41:$T$44,P$33,FALSE)</f>
        <v>0.3814211339982938</v>
      </c>
      <c r="Q19" s="134">
        <f>VLOOKUP(Summary!$D$3,$F$41:$T$44,Q$33,FALSE)</f>
        <v>0.3814211339982938</v>
      </c>
      <c r="R19" s="134">
        <f>VLOOKUP(Summary!$D$3,$F$41:$T$44,R$33,FALSE)</f>
        <v>0.3814211339982938</v>
      </c>
      <c r="S19" s="134">
        <f>VLOOKUP(Summary!$D$3,$F$41:$T$44,S$33,FALSE)</f>
        <v>1.6358716336643784</v>
      </c>
      <c r="T19" s="110">
        <f>VLOOKUP(Summary!$D$3,$F$41:$T$44,T$33,FALSE)</f>
        <v>0.3814211339982938</v>
      </c>
      <c r="U19" s="87">
        <f>SUMPRODUCT(G10:T10,G19:T19)</f>
        <v>3803634.263340164</v>
      </c>
      <c r="V19" s="87">
        <f>U19-(($AB$18-$AB$21)*H19)</f>
        <v>3536784.7448797855</v>
      </c>
      <c r="W19" s="113">
        <f>SUMPRODUCT(G13:T13,G19:T19)</f>
        <v>3896937.8430326344</v>
      </c>
      <c r="X19" s="114">
        <f>W19-(($AC$18-$AC$21)*H19)</f>
        <v>3625877.0949461828</v>
      </c>
      <c r="AA19" s="111" t="s">
        <v>235</v>
      </c>
      <c r="AB19" s="331">
        <f>VLOOKUP(Summary!$D$3,$F$51:$G$54,2,FALSE)</f>
        <v>19682427.314727828</v>
      </c>
      <c r="AC19" s="115">
        <f>AB19</f>
        <v>19682427.314727828</v>
      </c>
      <c r="AF19" s="19"/>
    </row>
    <row r="20" spans="2:40" ht="15.5">
      <c r="B20" s="342"/>
      <c r="C20" s="342"/>
      <c r="D20" s="5"/>
      <c r="F20" s="5" t="s">
        <v>23</v>
      </c>
      <c r="G20" s="134">
        <f>VLOOKUP(Summary!$D$3,$F$45:$T$48,G$33,FALSE)</f>
        <v>1</v>
      </c>
      <c r="H20" s="134">
        <f>VLOOKUP(Summary!$D$3,$F$45:$T$48,H$33,FALSE)</f>
        <v>0.34324990068571132</v>
      </c>
      <c r="I20" s="134">
        <f>VLOOKUP(Summary!$D$3,$F$45:$T$48,I$33,FALSE)</f>
        <v>0.34324990068571132</v>
      </c>
      <c r="J20" s="134">
        <f>VLOOKUP(Summary!$D$3,$F$45:$T$48,J$33,FALSE)</f>
        <v>0.34324990068571132</v>
      </c>
      <c r="K20" s="134">
        <f>VLOOKUP(Summary!$D$3,$F$45:$T$48,K$33,FALSE)</f>
        <v>0.34324990068571132</v>
      </c>
      <c r="L20" s="134">
        <f>VLOOKUP(Summary!$D$3,$F$45:$T$48,L$33,FALSE)</f>
        <v>0.34324990068571132</v>
      </c>
      <c r="M20" s="134">
        <f>VLOOKUP(Summary!$D$3,$F$45:$T$48,M$33,FALSE)</f>
        <v>0.34324990068571132</v>
      </c>
      <c r="N20" s="134">
        <f>VLOOKUP(Summary!$D$3,$F$45:$T$48,N$33,FALSE)</f>
        <v>0.34324990068571132</v>
      </c>
      <c r="O20" s="134">
        <f>VLOOKUP(Summary!$D$3,$F$45:$T$48,O$33,FALSE)</f>
        <v>0.34324990068571132</v>
      </c>
      <c r="P20" s="134">
        <f>VLOOKUP(Summary!$D$3,$F$45:$T$48,P$33,FALSE)</f>
        <v>0.34324990068571132</v>
      </c>
      <c r="Q20" s="134">
        <f>VLOOKUP(Summary!$D$3,$F$45:$T$48,Q$33,FALSE)</f>
        <v>0.34324990068571132</v>
      </c>
      <c r="R20" s="134">
        <f>VLOOKUP(Summary!$D$3,$F$45:$T$48,R$33,FALSE)</f>
        <v>0.34324990068571132</v>
      </c>
      <c r="S20" s="134">
        <f>VLOOKUP(Summary!$D$3,$F$45:$T$48,S$33,FALSE)</f>
        <v>1.8640415411060298</v>
      </c>
      <c r="T20" s="110">
        <f>VLOOKUP(Summary!$D$3,$F$45:$T$48,T$33,FALSE)</f>
        <v>0.34324990068571132</v>
      </c>
      <c r="U20" s="87">
        <f>SUMPRODUCT(G11:T11,G20:T20)</f>
        <v>9038732.2506202925</v>
      </c>
      <c r="V20" s="87">
        <f>U20</f>
        <v>9038732.2506202925</v>
      </c>
      <c r="W20" s="113">
        <f>SUMPRODUCT(G14:T14,G20:T20)</f>
        <v>9255789.7738462556</v>
      </c>
      <c r="X20" s="114">
        <f>W20</f>
        <v>9255789.7738462556</v>
      </c>
      <c r="AA20" s="111" t="s">
        <v>232</v>
      </c>
      <c r="AB20" s="331">
        <f>VLOOKUP(Summary!$D$3,$F$55:$G$58,2,FALSE)</f>
        <v>69174483.386814445</v>
      </c>
      <c r="AC20" s="115">
        <f>AB20</f>
        <v>69174483.386814445</v>
      </c>
    </row>
    <row r="21" spans="2:40" ht="15.5">
      <c r="B21" s="342"/>
      <c r="C21" s="342"/>
      <c r="D21" s="5"/>
      <c r="G21" s="325"/>
      <c r="H21" s="325"/>
      <c r="I21" s="325"/>
      <c r="J21" s="325"/>
      <c r="K21" s="325"/>
      <c r="L21" s="325"/>
      <c r="M21" s="325"/>
      <c r="N21" s="325"/>
      <c r="O21" s="325"/>
      <c r="P21" s="325"/>
      <c r="Q21" s="325"/>
      <c r="S21" s="325"/>
      <c r="U21" s="5"/>
      <c r="V21" s="87"/>
      <c r="AA21" s="111" t="s">
        <v>183</v>
      </c>
      <c r="AB21" s="85">
        <f>AB18*AB19/AB20</f>
        <v>278230.56037602457</v>
      </c>
      <c r="AC21" s="85">
        <f>AC18*AC19/AC20</f>
        <v>282621.39752459637</v>
      </c>
    </row>
    <row r="22" spans="2:40" ht="15.5">
      <c r="B22" s="342"/>
      <c r="C22" s="342"/>
      <c r="D22" s="5"/>
      <c r="F22" s="35" t="str">
        <f>"Notes: Allocation and bundled/unbundled split based on "&amp;Summary!L4&amp;" sales forecast"</f>
        <v>Notes: Allocation and bundled/unbundled split based on 2025 sales forecast</v>
      </c>
      <c r="R22" s="325"/>
      <c r="S22" s="6"/>
      <c r="T22" s="5"/>
      <c r="V22" s="39" t="s">
        <v>488</v>
      </c>
      <c r="W22" s="333">
        <f>P10*P19</f>
        <v>-241135.93072971934</v>
      </c>
      <c r="X22" s="333">
        <f>P13*P19</f>
        <v>-241135.93072971934</v>
      </c>
      <c r="Y22" s="343"/>
    </row>
    <row r="23" spans="2:40" ht="15.5">
      <c r="B23" s="342"/>
      <c r="C23" s="342"/>
      <c r="E23" s="5"/>
      <c r="F23" s="5"/>
      <c r="G23" s="342"/>
      <c r="H23" s="342"/>
      <c r="I23" s="342"/>
      <c r="J23" s="342"/>
      <c r="K23" s="342"/>
      <c r="L23" s="342"/>
      <c r="M23" s="342"/>
      <c r="N23" s="342"/>
      <c r="O23" s="342"/>
      <c r="P23" s="342"/>
      <c r="Q23" s="342"/>
      <c r="R23" s="342"/>
      <c r="S23" s="16"/>
      <c r="T23" s="16"/>
      <c r="U23" s="5"/>
      <c r="V23" s="39" t="s">
        <v>489</v>
      </c>
      <c r="W23" s="333">
        <f>P11*P20</f>
        <v>-247505.42030146247</v>
      </c>
      <c r="X23" s="344">
        <f>P14*P20</f>
        <v>-247505.42030146247</v>
      </c>
      <c r="Y23" s="5"/>
    </row>
    <row r="24" spans="2:40" ht="16" thickBot="1">
      <c r="B24" s="342"/>
      <c r="C24" s="342"/>
      <c r="E24" s="63"/>
      <c r="F24" s="63"/>
      <c r="G24" s="345"/>
      <c r="H24" s="63"/>
      <c r="I24" s="63"/>
      <c r="J24" s="63"/>
      <c r="K24" s="63"/>
      <c r="L24" s="63"/>
      <c r="M24" s="63"/>
      <c r="N24" s="63"/>
      <c r="O24" s="63"/>
      <c r="P24" s="63"/>
      <c r="Q24" s="63"/>
      <c r="R24" s="63"/>
      <c r="S24" s="16"/>
      <c r="T24" s="16"/>
      <c r="U24" s="346"/>
      <c r="V24" s="346"/>
      <c r="X24" s="5"/>
      <c r="Y24" s="168"/>
    </row>
    <row r="25" spans="2:40" ht="16" thickBot="1">
      <c r="B25" s="342"/>
      <c r="C25" s="342"/>
      <c r="E25" s="63"/>
      <c r="F25" s="63"/>
      <c r="G25" s="63"/>
      <c r="H25" s="63"/>
      <c r="I25" s="63"/>
      <c r="J25" s="63"/>
      <c r="K25" s="63"/>
      <c r="L25" s="63"/>
      <c r="M25" s="63"/>
      <c r="N25" s="63"/>
      <c r="O25" s="63"/>
      <c r="P25" s="63"/>
      <c r="Q25" s="63"/>
      <c r="R25" s="63"/>
      <c r="S25" s="347"/>
      <c r="T25" s="348"/>
      <c r="U25" s="348"/>
      <c r="V25" s="348"/>
      <c r="X25" s="5"/>
      <c r="Y25" s="349"/>
      <c r="AA25" s="451">
        <v>2025</v>
      </c>
      <c r="AB25" s="452"/>
      <c r="AC25" s="452"/>
      <c r="AD25" s="452"/>
      <c r="AE25" s="452"/>
      <c r="AF25" s="453"/>
      <c r="AI25" s="451">
        <v>2026</v>
      </c>
      <c r="AJ25" s="452"/>
      <c r="AK25" s="452"/>
      <c r="AL25" s="452"/>
      <c r="AM25" s="452"/>
      <c r="AN25" s="453"/>
    </row>
    <row r="26" spans="2:40" ht="15.5">
      <c r="B26" s="342"/>
      <c r="C26" s="342"/>
      <c r="D26" s="5"/>
      <c r="E26" s="5"/>
      <c r="F26" s="457" t="s">
        <v>25</v>
      </c>
      <c r="G26" s="458"/>
      <c r="H26" s="458"/>
      <c r="I26" s="458"/>
      <c r="J26" s="458"/>
      <c r="K26" s="459"/>
      <c r="O26" s="5"/>
      <c r="P26" s="457" t="s">
        <v>27</v>
      </c>
      <c r="Q26" s="458"/>
      <c r="R26" s="458"/>
      <c r="S26" s="458"/>
      <c r="T26" s="458"/>
      <c r="U26" s="459"/>
      <c r="V26" s="350"/>
      <c r="Z26" s="5"/>
      <c r="AA26" s="351"/>
      <c r="AB26" s="139">
        <v>500000000</v>
      </c>
      <c r="AC26" s="135"/>
      <c r="AF26" s="135"/>
      <c r="AI26" s="352"/>
      <c r="AJ26" s="186">
        <v>500000000</v>
      </c>
      <c r="AK26" s="353"/>
      <c r="AN26" s="135"/>
    </row>
    <row r="27" spans="2:40" ht="46.5">
      <c r="B27" s="342"/>
      <c r="C27" s="342"/>
      <c r="D27" s="5"/>
      <c r="E27" s="5"/>
      <c r="F27" s="6" t="str">
        <f>Summary!D3&amp;" Sales"</f>
        <v>2025 Sales</v>
      </c>
      <c r="G27" s="6" t="str">
        <f>TEXT(Summary!L3,"mm/d/yyyy")&amp;" Avg Rates"</f>
        <v>09/1/2025 Avg Rates</v>
      </c>
      <c r="H27" s="6" t="s">
        <v>184</v>
      </c>
      <c r="I27" s="6" t="s">
        <v>185</v>
      </c>
      <c r="J27" s="6" t="s">
        <v>186</v>
      </c>
      <c r="K27" s="6" t="s">
        <v>187</v>
      </c>
      <c r="O27" s="5"/>
      <c r="P27" s="6" t="str">
        <f>F27</f>
        <v>2025 Sales</v>
      </c>
      <c r="Q27" s="6" t="str">
        <f>G27</f>
        <v>09/1/2025 Avg Rates</v>
      </c>
      <c r="R27" s="6" t="s">
        <v>184</v>
      </c>
      <c r="S27" s="6" t="s">
        <v>185</v>
      </c>
      <c r="T27" s="6" t="s">
        <v>186</v>
      </c>
      <c r="U27" s="6" t="s">
        <v>187</v>
      </c>
      <c r="V27" s="350"/>
      <c r="Z27" s="5"/>
      <c r="AA27" s="354" t="s">
        <v>312</v>
      </c>
      <c r="AB27" s="139">
        <f>(SUMIF('Authorized Rev Req'!T:T, "Distribution (Wildfire)", 'Authorized Rev Req'!R:R)+SUMIF('Authorized Rev Req'!T:T, "WHC", 'Authorized Rev Req'!R:R))*1000</f>
        <v>2216164203.6611958</v>
      </c>
      <c r="AC27" s="135"/>
      <c r="AF27" s="135"/>
      <c r="AI27" s="354" t="s">
        <v>312</v>
      </c>
      <c r="AJ27" s="139">
        <f>('Incremental Rev Req'!T119+'Incremental Rev Req'!T118)*1000</f>
        <v>2029797213.917661</v>
      </c>
      <c r="AK27" s="135"/>
      <c r="AN27" s="135"/>
    </row>
    <row r="28" spans="2:40" ht="16" thickBot="1">
      <c r="B28" s="342"/>
      <c r="C28" s="342"/>
      <c r="D28" s="5"/>
      <c r="E28" s="355" t="s">
        <v>19</v>
      </c>
      <c r="F28" s="144">
        <f>VLOOKUP(Summary!$D$3,$J$51:$K$54,2,FALSE)</f>
        <v>10093574.567219546</v>
      </c>
      <c r="G28" s="345">
        <f>IF(Summary!$I$3="Y",AB50,AC50)</f>
        <v>35.656709684711373</v>
      </c>
      <c r="H28" s="16">
        <f>IF(Summary!$I$3="Y",V19/$F$28*100,SUM(V19-W22)/$F$28*100)</f>
        <v>35.039962516015329</v>
      </c>
      <c r="I28" s="16">
        <f>IF(Summary!$I$3="Y",X19/$F$28*100,SUM(X19-X22)/$F$28*100)</f>
        <v>35.922626526402077</v>
      </c>
      <c r="J28" s="164">
        <f>H28/G28-1</f>
        <v>-1.7296805402111648E-2</v>
      </c>
      <c r="K28" s="164">
        <f>I28/G28-1</f>
        <v>7.4576943313622301E-3</v>
      </c>
      <c r="O28" s="355" t="s">
        <v>19</v>
      </c>
      <c r="P28" s="144">
        <f>VLOOKUP(Summary!$D$3,$N$51:$O$54,2,FALSE)</f>
        <v>26463071.04541485</v>
      </c>
      <c r="Q28" s="345">
        <f>IF(Summary!$I$3="Y",AE50,AF50)</f>
        <v>27.886265438798862</v>
      </c>
      <c r="R28" s="16">
        <f>IF(Summary!$I$3="Y",U10/P28*100,(U10-P10)/P28)</f>
        <v>28.199486093488357</v>
      </c>
      <c r="S28" s="16">
        <f>IF(Summary!$I$3="Y",U13/P28*100,(U13-P13)/P28)</f>
        <v>28.84972900631146</v>
      </c>
      <c r="T28" s="164">
        <f>R28/Q28-1</f>
        <v>1.1232076069020769E-2</v>
      </c>
      <c r="U28" s="164">
        <f>S28/Q28-1</f>
        <v>3.4549752444517301E-2</v>
      </c>
      <c r="V28" s="350"/>
      <c r="W28" s="325"/>
      <c r="X28" s="85"/>
      <c r="AA28" s="137"/>
      <c r="AB28" s="138"/>
      <c r="AC28" s="356"/>
      <c r="AF28" s="135"/>
      <c r="AI28" s="357"/>
      <c r="AJ28" s="24"/>
      <c r="AK28" s="358"/>
      <c r="AN28" s="135"/>
    </row>
    <row r="29" spans="2:40" ht="15.5">
      <c r="E29" s="355" t="s">
        <v>23</v>
      </c>
      <c r="F29" s="144">
        <f>VLOOKUP(Summary!$D$3,$J$55:$K$58,2,FALSE)</f>
        <v>26204056.23133941</v>
      </c>
      <c r="G29" s="345">
        <f>IF(Summary!$I$3="Y",AB51,AC51)</f>
        <v>34.778170423848316</v>
      </c>
      <c r="H29" s="16">
        <f>IF(Summary!$I$3="Y",V20/$F$29*100,SUM(V20-W23)/$F$29*100)</f>
        <v>34.493637820125691</v>
      </c>
      <c r="I29" s="16">
        <f>IF(Summary!$I$3="Y",W20/$F$29*100,SUM(W20-X23)/$F$29*100)</f>
        <v>35.321973407981616</v>
      </c>
      <c r="J29" s="164">
        <f>H29/G29-1</f>
        <v>-8.1813563006613021E-3</v>
      </c>
      <c r="K29" s="164">
        <f>I29/G29-1</f>
        <v>1.5636330994582837E-2</v>
      </c>
      <c r="O29" s="355" t="s">
        <v>23</v>
      </c>
      <c r="P29" s="144">
        <f>VLOOKUP(Summary!$D$3,$N$55:$O$58,2,FALSE)</f>
        <v>76341045.340410858</v>
      </c>
      <c r="Q29" s="345">
        <f>IF(Summary!$I$3="Y",AE51,AF51)</f>
        <v>24.987041940003813</v>
      </c>
      <c r="R29" s="16">
        <f>IF(Summary!$I$3="Y",U11/P29*100,(U11-P11)/P29)</f>
        <v>25.009577223269471</v>
      </c>
      <c r="S29" s="16">
        <f>IF(Summary!$I$3="Y",U14/P29*100,(U14-P14)/P29)</f>
        <v>25.563936741467479</v>
      </c>
      <c r="T29" s="164">
        <f>R29/Q29-1</f>
        <v>9.0187879460756903E-4</v>
      </c>
      <c r="U29" s="164">
        <f>S29/Q29-1</f>
        <v>2.3087758961178428E-2</v>
      </c>
      <c r="V29" s="359"/>
      <c r="AA29" s="360"/>
      <c r="AB29" s="361" t="s">
        <v>5</v>
      </c>
      <c r="AC29" s="353" t="s">
        <v>299</v>
      </c>
      <c r="AE29" s="362" t="s">
        <v>310</v>
      </c>
      <c r="AF29" s="363" t="s">
        <v>311</v>
      </c>
      <c r="AI29" s="136"/>
      <c r="AJ29" s="39" t="s">
        <v>5</v>
      </c>
      <c r="AK29" s="135" t="s">
        <v>299</v>
      </c>
      <c r="AM29" s="362" t="s">
        <v>310</v>
      </c>
      <c r="AN29" s="363" t="s">
        <v>311</v>
      </c>
    </row>
    <row r="30" spans="2:40" ht="15.5">
      <c r="Q30" s="5"/>
      <c r="R30" s="5"/>
      <c r="S30" s="347"/>
      <c r="T30" s="348"/>
      <c r="U30" s="347"/>
      <c r="V30" s="350"/>
      <c r="AA30" s="136" t="s">
        <v>300</v>
      </c>
      <c r="AB30" s="159">
        <v>0.47516020360540567</v>
      </c>
      <c r="AC30" s="160">
        <v>0.37878142497358519</v>
      </c>
      <c r="AE30" s="350">
        <f>AVERAGE(AB30:AC30)</f>
        <v>0.42697081428949546</v>
      </c>
      <c r="AF30" s="135">
        <f>(0.125*AB30)+(0.875*AC30)</f>
        <v>0.39082877230256274</v>
      </c>
      <c r="AI30" s="136" t="s">
        <v>300</v>
      </c>
      <c r="AJ30" s="159">
        <v>0.46319682150926622</v>
      </c>
      <c r="AK30" s="160">
        <v>0.37878142497358519</v>
      </c>
      <c r="AM30" s="350">
        <f>AVERAGE(AJ30:AK30)</f>
        <v>0.42098912324142568</v>
      </c>
      <c r="AN30" s="135">
        <f>(0.125*AJ30)+(0.875*AK30)</f>
        <v>0.38933334954054533</v>
      </c>
    </row>
    <row r="31" spans="2:40" ht="15.5">
      <c r="Q31" s="5"/>
      <c r="R31" s="5"/>
      <c r="S31" s="347"/>
      <c r="T31" s="348"/>
      <c r="U31" s="347"/>
      <c r="V31" s="359"/>
      <c r="AA31" s="136" t="s">
        <v>389</v>
      </c>
      <c r="AB31" s="159">
        <v>0.11186927258139906</v>
      </c>
      <c r="AC31" s="160">
        <v>9.3265023573323128E-2</v>
      </c>
      <c r="AF31" s="135"/>
      <c r="AI31" s="136" t="s">
        <v>389</v>
      </c>
      <c r="AJ31" s="159">
        <v>0.10697513272670844</v>
      </c>
      <c r="AK31" s="160">
        <v>9.3265023573323128E-2</v>
      </c>
      <c r="AN31" s="135"/>
    </row>
    <row r="32" spans="2:40" ht="15.5">
      <c r="B32" s="342"/>
      <c r="C32" s="342"/>
      <c r="D32" s="5"/>
      <c r="E32" s="5"/>
      <c r="F32" s="364"/>
      <c r="G32" s="364"/>
      <c r="H32" s="364"/>
      <c r="I32" s="63"/>
      <c r="J32" s="63"/>
      <c r="K32" s="63"/>
      <c r="L32" s="5"/>
      <c r="M32" s="5"/>
      <c r="N32" s="5"/>
      <c r="O32" s="5"/>
      <c r="P32" s="5"/>
      <c r="Q32" s="5"/>
      <c r="R32" s="5"/>
      <c r="S32" s="347"/>
      <c r="T32" s="348"/>
      <c r="U32" s="347"/>
      <c r="V32" s="359"/>
      <c r="W32" s="359"/>
      <c r="X32" s="350"/>
      <c r="AA32" s="136" t="s">
        <v>410</v>
      </c>
      <c r="AB32" s="159">
        <v>3.0903521567746794E-2</v>
      </c>
      <c r="AC32" s="160">
        <v>2.6315088307225929E-2</v>
      </c>
      <c r="AF32" s="135"/>
      <c r="AI32" s="136" t="s">
        <v>410</v>
      </c>
      <c r="AJ32" s="159">
        <v>3.3518295432342179E-2</v>
      </c>
      <c r="AK32" s="160">
        <v>2.6315088307225929E-2</v>
      </c>
      <c r="AN32" s="135"/>
    </row>
    <row r="33" spans="2:40" ht="15.5">
      <c r="B33" s="342"/>
      <c r="C33" s="342"/>
      <c r="D33" s="5"/>
      <c r="E33" s="63"/>
      <c r="F33" s="344"/>
      <c r="G33" s="6">
        <v>2</v>
      </c>
      <c r="H33" s="6">
        <v>3</v>
      </c>
      <c r="I33" s="63">
        <v>4</v>
      </c>
      <c r="J33" s="63">
        <v>5</v>
      </c>
      <c r="K33" s="63">
        <v>6</v>
      </c>
      <c r="L33" s="6">
        <v>7</v>
      </c>
      <c r="M33" s="6">
        <v>8</v>
      </c>
      <c r="N33" s="6">
        <v>9</v>
      </c>
      <c r="O33" s="6">
        <v>10</v>
      </c>
      <c r="P33" s="6">
        <v>11</v>
      </c>
      <c r="Q33" s="6">
        <v>12</v>
      </c>
      <c r="R33" s="6">
        <v>13</v>
      </c>
      <c r="S33" s="6">
        <v>14</v>
      </c>
      <c r="T33" s="6">
        <v>15</v>
      </c>
      <c r="U33" s="347"/>
      <c r="V33" s="350"/>
      <c r="W33" s="359"/>
      <c r="X33" s="350"/>
      <c r="AA33" s="136" t="s">
        <v>301</v>
      </c>
      <c r="AB33" s="159">
        <v>9.0860972888808206E-2</v>
      </c>
      <c r="AC33" s="160">
        <v>0.10322124696673839</v>
      </c>
      <c r="AF33" s="135"/>
      <c r="AI33" s="136" t="s">
        <v>301</v>
      </c>
      <c r="AJ33" s="159">
        <v>8.8372492741079403E-2</v>
      </c>
      <c r="AK33" s="160">
        <v>0.10322124696673839</v>
      </c>
      <c r="AN33" s="135"/>
    </row>
    <row r="34" spans="2:40" ht="31">
      <c r="B34" s="342"/>
      <c r="C34" s="342"/>
      <c r="D34" s="35"/>
      <c r="E34" s="330"/>
      <c r="F34" s="330" t="s">
        <v>209</v>
      </c>
      <c r="G34" s="6" t="s">
        <v>3</v>
      </c>
      <c r="H34" s="6" t="s">
        <v>5</v>
      </c>
      <c r="I34" s="6" t="s">
        <v>16</v>
      </c>
      <c r="J34" s="6" t="s">
        <v>177</v>
      </c>
      <c r="K34" s="6" t="s">
        <v>14</v>
      </c>
      <c r="L34" s="6" t="s">
        <v>10</v>
      </c>
      <c r="M34" s="6" t="s">
        <v>68</v>
      </c>
      <c r="N34" s="6" t="s">
        <v>131</v>
      </c>
      <c r="O34" s="6" t="s">
        <v>138</v>
      </c>
      <c r="P34" s="6" t="s">
        <v>178</v>
      </c>
      <c r="Q34" s="6" t="s">
        <v>24</v>
      </c>
      <c r="R34" s="6" t="s">
        <v>284</v>
      </c>
      <c r="S34" s="6" t="s">
        <v>211</v>
      </c>
      <c r="T34" s="6" t="s">
        <v>309</v>
      </c>
      <c r="U34" s="348"/>
      <c r="V34" s="346"/>
      <c r="W34" s="359"/>
      <c r="AA34" s="136" t="s">
        <v>302</v>
      </c>
      <c r="AB34" s="159">
        <v>0.14195734128774121</v>
      </c>
      <c r="AC34" s="160">
        <v>0.17808832329843</v>
      </c>
      <c r="AF34" s="135"/>
      <c r="AI34" s="136" t="s">
        <v>302</v>
      </c>
      <c r="AJ34" s="159">
        <v>0.14734027441189779</v>
      </c>
      <c r="AK34" s="160">
        <v>0.17808832329843</v>
      </c>
      <c r="AN34" s="135"/>
    </row>
    <row r="35" spans="2:40" ht="15.5">
      <c r="E35" s="5"/>
      <c r="F35" s="365">
        <v>2025</v>
      </c>
      <c r="G35" s="95">
        <v>0.40900666226609728</v>
      </c>
      <c r="H35" s="200">
        <v>0.4070070773511657</v>
      </c>
      <c r="I35" s="95">
        <v>0.33769837111013679</v>
      </c>
      <c r="J35" s="95">
        <v>0.34713198965052205</v>
      </c>
      <c r="K35" s="95">
        <v>0.46656069312382042</v>
      </c>
      <c r="L35" s="95">
        <v>0.46692690842834589</v>
      </c>
      <c r="M35" s="95">
        <v>0.3666164112170443</v>
      </c>
      <c r="N35" s="95">
        <v>0.34510802921225209</v>
      </c>
      <c r="O35" s="95">
        <v>0.46728018137359867</v>
      </c>
      <c r="P35" s="95">
        <v>0.87676434588726226</v>
      </c>
      <c r="Q35" s="95">
        <v>0.27114780615983058</v>
      </c>
      <c r="R35" s="95">
        <v>0.3316051653534885</v>
      </c>
      <c r="S35" s="95">
        <v>0.46725844988440807</v>
      </c>
      <c r="T35" s="95">
        <f>((AJ26*AE30)+((AB27-AB26)*(AF30)))/AB27</f>
        <v>0.39898296095140573</v>
      </c>
      <c r="U35" s="348"/>
      <c r="V35" s="95"/>
      <c r="W35" s="194"/>
      <c r="AA35" s="136" t="s">
        <v>303</v>
      </c>
      <c r="AB35" s="159">
        <v>3.4542583531650232E-3</v>
      </c>
      <c r="AC35" s="160">
        <v>3.8884974138957825E-3</v>
      </c>
      <c r="AF35" s="135"/>
      <c r="AI35" s="136" t="s">
        <v>303</v>
      </c>
      <c r="AJ35" s="159">
        <v>3.428713267154018E-3</v>
      </c>
      <c r="AK35" s="160">
        <v>3.8884974138957825E-3</v>
      </c>
      <c r="AN35" s="135"/>
    </row>
    <row r="36" spans="2:40" ht="15.5">
      <c r="E36" s="5"/>
      <c r="F36" s="365">
        <f>F35+1</f>
        <v>2026</v>
      </c>
      <c r="G36" s="95">
        <v>0.41937447793128269</v>
      </c>
      <c r="H36" s="95">
        <v>0.41120341867730492</v>
      </c>
      <c r="I36" s="95">
        <v>0.33705385860308068</v>
      </c>
      <c r="J36" s="95">
        <v>0.34834310467495039</v>
      </c>
      <c r="K36" s="95">
        <v>0.46689925153974449</v>
      </c>
      <c r="L36" s="95">
        <v>0.46207304423975393</v>
      </c>
      <c r="M36" s="95">
        <v>0.3586673569967217</v>
      </c>
      <c r="N36" s="95">
        <v>0.34428065476071057</v>
      </c>
      <c r="O36" s="95">
        <v>0.5121635226842437</v>
      </c>
      <c r="P36" s="95">
        <v>0.85839470061802137</v>
      </c>
      <c r="Q36" s="95">
        <v>0.26825120188596574</v>
      </c>
      <c r="R36" s="95">
        <v>0.33267967380110797</v>
      </c>
      <c r="S36" s="95">
        <v>0.37815769319314824</v>
      </c>
      <c r="T36" s="95">
        <f>((AJ26*AM30)+((AJ27-AJ26)*(AN30)))/AJ27</f>
        <v>0.39713111709186205</v>
      </c>
      <c r="U36" s="347"/>
      <c r="V36" s="348"/>
      <c r="X36" s="348"/>
      <c r="AA36" s="136" t="s">
        <v>304</v>
      </c>
      <c r="AB36" s="159">
        <v>1.9935356686011873E-3</v>
      </c>
      <c r="AC36" s="160">
        <v>4.3851759179107013E-3</v>
      </c>
      <c r="AF36" s="135"/>
      <c r="AI36" s="136" t="s">
        <v>304</v>
      </c>
      <c r="AJ36" s="159">
        <v>2.1779720854305292E-3</v>
      </c>
      <c r="AK36" s="160">
        <v>4.3851759179107013E-3</v>
      </c>
      <c r="AN36" s="135"/>
    </row>
    <row r="37" spans="2:40" ht="15.5">
      <c r="B37" s="342"/>
      <c r="C37" s="342"/>
      <c r="E37" s="5"/>
      <c r="F37" s="365">
        <f>F36+1</f>
        <v>2027</v>
      </c>
      <c r="G37" s="95">
        <f>G36</f>
        <v>0.41937447793128269</v>
      </c>
      <c r="H37" s="95">
        <f>H36</f>
        <v>0.41120341867730492</v>
      </c>
      <c r="I37" s="95">
        <f>I36</f>
        <v>0.33705385860308068</v>
      </c>
      <c r="J37" s="95">
        <f t="shared" ref="J37:Q37" si="4">J36</f>
        <v>0.34834310467495039</v>
      </c>
      <c r="K37" s="95">
        <f t="shared" si="4"/>
        <v>0.46689925153974449</v>
      </c>
      <c r="L37" s="95">
        <f t="shared" si="4"/>
        <v>0.46207304423975393</v>
      </c>
      <c r="M37" s="95">
        <f t="shared" si="4"/>
        <v>0.3586673569967217</v>
      </c>
      <c r="N37" s="95">
        <f t="shared" si="4"/>
        <v>0.34428065476071057</v>
      </c>
      <c r="O37" s="95">
        <f t="shared" si="4"/>
        <v>0.5121635226842437</v>
      </c>
      <c r="P37" s="95">
        <f t="shared" si="4"/>
        <v>0.85839470061802137</v>
      </c>
      <c r="Q37" s="95">
        <f t="shared" si="4"/>
        <v>0.26825120188596574</v>
      </c>
      <c r="R37" s="95">
        <f>R36</f>
        <v>0.33267967380110797</v>
      </c>
      <c r="S37" s="95">
        <f>S36</f>
        <v>0.37815769319314824</v>
      </c>
      <c r="T37" s="95">
        <f>T36</f>
        <v>0.39713111709186205</v>
      </c>
      <c r="U37" s="347"/>
      <c r="V37" s="359"/>
      <c r="W37" s="195"/>
      <c r="X37" s="350"/>
      <c r="AA37" s="136" t="s">
        <v>305</v>
      </c>
      <c r="AB37" s="159">
        <v>9.1138803870466759E-2</v>
      </c>
      <c r="AC37" s="160">
        <v>8.3547997474525529E-2</v>
      </c>
      <c r="AF37" s="135"/>
      <c r="AI37" s="136" t="s">
        <v>305</v>
      </c>
      <c r="AJ37" s="159">
        <v>9.0535337083328726E-2</v>
      </c>
      <c r="AK37" s="160">
        <v>8.3547997474525529E-2</v>
      </c>
      <c r="AN37" s="135"/>
    </row>
    <row r="38" spans="2:40" ht="15.5">
      <c r="B38" s="342"/>
      <c r="C38" s="342"/>
      <c r="E38" s="5"/>
      <c r="F38" s="365">
        <f>F37+1</f>
        <v>2028</v>
      </c>
      <c r="G38" s="95">
        <f>G36</f>
        <v>0.41937447793128269</v>
      </c>
      <c r="H38" s="95">
        <f>H37</f>
        <v>0.41120341867730492</v>
      </c>
      <c r="I38" s="95">
        <f>I36</f>
        <v>0.33705385860308068</v>
      </c>
      <c r="J38" s="95">
        <f t="shared" ref="J38:Q38" si="5">J36</f>
        <v>0.34834310467495039</v>
      </c>
      <c r="K38" s="95">
        <f t="shared" si="5"/>
        <v>0.46689925153974449</v>
      </c>
      <c r="L38" s="95">
        <f t="shared" si="5"/>
        <v>0.46207304423975393</v>
      </c>
      <c r="M38" s="95">
        <f t="shared" si="5"/>
        <v>0.3586673569967217</v>
      </c>
      <c r="N38" s="95">
        <f t="shared" si="5"/>
        <v>0.34428065476071057</v>
      </c>
      <c r="O38" s="95">
        <f t="shared" si="5"/>
        <v>0.5121635226842437</v>
      </c>
      <c r="P38" s="95">
        <f t="shared" si="5"/>
        <v>0.85839470061802137</v>
      </c>
      <c r="Q38" s="95">
        <f t="shared" si="5"/>
        <v>0.26825120188596574</v>
      </c>
      <c r="R38" s="95">
        <f>R36</f>
        <v>0.33267967380110797</v>
      </c>
      <c r="S38" s="95">
        <f>S36</f>
        <v>0.37815769319314824</v>
      </c>
      <c r="T38" s="95">
        <f>T37</f>
        <v>0.39713111709186205</v>
      </c>
      <c r="U38" s="347"/>
      <c r="V38" s="359"/>
      <c r="W38" s="350"/>
      <c r="X38" s="350"/>
      <c r="AA38" s="136" t="s">
        <v>306</v>
      </c>
      <c r="AB38" s="159">
        <v>3.7447212711002258E-2</v>
      </c>
      <c r="AC38" s="160">
        <v>6.4422916278968789E-2</v>
      </c>
      <c r="AF38" s="135"/>
      <c r="AI38" s="136" t="s">
        <v>306</v>
      </c>
      <c r="AJ38" s="159">
        <v>4.4679223310610638E-2</v>
      </c>
      <c r="AK38" s="160">
        <v>6.4422916278968789E-2</v>
      </c>
      <c r="AN38" s="135"/>
    </row>
    <row r="39" spans="2:40" ht="15.5">
      <c r="B39" s="342"/>
      <c r="C39" s="342"/>
      <c r="E39" s="5"/>
      <c r="F39" s="366"/>
      <c r="G39" s="367"/>
      <c r="H39" s="165"/>
      <c r="I39" s="63"/>
      <c r="J39" s="63"/>
      <c r="K39" s="63"/>
      <c r="L39" s="5"/>
      <c r="M39" s="5"/>
      <c r="N39" s="5"/>
      <c r="O39" s="5"/>
      <c r="P39" s="5"/>
      <c r="Q39" s="5"/>
      <c r="S39" s="95"/>
      <c r="T39" s="348"/>
      <c r="U39" s="347"/>
      <c r="V39" s="359"/>
      <c r="W39" s="195"/>
      <c r="X39" s="359"/>
      <c r="AA39" s="136" t="s">
        <v>307</v>
      </c>
      <c r="AB39" s="159">
        <v>1.4037636037063674E-2</v>
      </c>
      <c r="AC39" s="160">
        <v>2.0523396718052225E-2</v>
      </c>
      <c r="AF39" s="135"/>
      <c r="AI39" s="136" t="s">
        <v>307</v>
      </c>
      <c r="AJ39" s="159">
        <v>1.8033255239449274E-2</v>
      </c>
      <c r="AK39" s="160">
        <v>2.0523396718052225E-2</v>
      </c>
      <c r="AN39" s="135"/>
    </row>
    <row r="40" spans="2:40" ht="18.75" customHeight="1" thickBot="1">
      <c r="B40" s="342"/>
      <c r="C40" s="342"/>
      <c r="D40" s="5"/>
      <c r="E40" s="5"/>
      <c r="F40" s="330" t="s">
        <v>180</v>
      </c>
      <c r="G40" s="63"/>
      <c r="H40" s="63"/>
      <c r="I40" s="63"/>
      <c r="J40" s="63"/>
      <c r="K40" s="63"/>
      <c r="L40" s="5"/>
      <c r="M40" s="5"/>
      <c r="N40" s="5"/>
      <c r="O40" s="5"/>
      <c r="P40" s="5"/>
      <c r="Q40" s="5"/>
      <c r="S40" s="95"/>
      <c r="T40" s="348"/>
      <c r="U40" s="347"/>
      <c r="V40" s="359"/>
      <c r="W40" s="359"/>
      <c r="X40" s="350"/>
      <c r="AA40" s="137" t="s">
        <v>308</v>
      </c>
      <c r="AB40" s="161">
        <v>1.1772414285999427E-3</v>
      </c>
      <c r="AC40" s="162">
        <v>4.356090907734439E-2</v>
      </c>
      <c r="AD40" s="138"/>
      <c r="AE40" s="138"/>
      <c r="AF40" s="356"/>
      <c r="AI40" s="137" t="s">
        <v>308</v>
      </c>
      <c r="AJ40" s="161">
        <v>1.742482192732658E-3</v>
      </c>
      <c r="AK40" s="162">
        <v>4.356090907734439E-2</v>
      </c>
      <c r="AL40" s="138"/>
      <c r="AM40" s="138"/>
      <c r="AN40" s="356"/>
    </row>
    <row r="41" spans="2:40" ht="15.5">
      <c r="B41" s="342"/>
      <c r="C41" s="342"/>
      <c r="D41" s="5"/>
      <c r="E41" s="355" t="s">
        <v>19</v>
      </c>
      <c r="F41" s="365">
        <f>F35</f>
        <v>2025</v>
      </c>
      <c r="G41" s="95">
        <v>1</v>
      </c>
      <c r="H41" s="95">
        <f t="shared" ref="H41:Q41" si="6">$K51/$O51</f>
        <v>0.3814211339982938</v>
      </c>
      <c r="I41" s="95">
        <f t="shared" si="6"/>
        <v>0.3814211339982938</v>
      </c>
      <c r="J41" s="95">
        <f t="shared" si="6"/>
        <v>0.3814211339982938</v>
      </c>
      <c r="K41" s="95">
        <f t="shared" si="6"/>
        <v>0.3814211339982938</v>
      </c>
      <c r="L41" s="95">
        <f t="shared" si="6"/>
        <v>0.3814211339982938</v>
      </c>
      <c r="M41" s="95">
        <f t="shared" si="6"/>
        <v>0.3814211339982938</v>
      </c>
      <c r="N41" s="95">
        <f>$K51/$O51</f>
        <v>0.3814211339982938</v>
      </c>
      <c r="O41" s="95">
        <f t="shared" si="6"/>
        <v>0.3814211339982938</v>
      </c>
      <c r="P41" s="95">
        <f t="shared" si="6"/>
        <v>0.3814211339982938</v>
      </c>
      <c r="Q41" s="95">
        <f t="shared" si="6"/>
        <v>0.3814211339982938</v>
      </c>
      <c r="R41" s="95">
        <f>$K51/$O51</f>
        <v>0.3814211339982938</v>
      </c>
      <c r="S41" s="95">
        <v>1.6358716336643784</v>
      </c>
      <c r="T41" s="95">
        <f>$K51/$O51</f>
        <v>0.3814211339982938</v>
      </c>
      <c r="U41" s="347"/>
      <c r="V41" s="359"/>
      <c r="W41" s="346"/>
      <c r="X41" s="346"/>
      <c r="AJ41" s="368"/>
      <c r="AK41" s="368"/>
    </row>
    <row r="42" spans="2:40" ht="15.5">
      <c r="B42" s="342"/>
      <c r="C42" s="342"/>
      <c r="D42" s="5"/>
      <c r="E42" s="355" t="s">
        <v>19</v>
      </c>
      <c r="F42" s="365">
        <f>F36</f>
        <v>2026</v>
      </c>
      <c r="G42" s="95">
        <v>1</v>
      </c>
      <c r="H42" s="95">
        <f t="shared" ref="H42:T42" si="7">$K52/$O52</f>
        <v>0.37248062050559194</v>
      </c>
      <c r="I42" s="95">
        <f>$K52/$O52</f>
        <v>0.37248062050559194</v>
      </c>
      <c r="J42" s="95">
        <f t="shared" si="7"/>
        <v>0.37248062050559194</v>
      </c>
      <c r="K42" s="95">
        <f t="shared" si="7"/>
        <v>0.37248062050559194</v>
      </c>
      <c r="L42" s="95">
        <f t="shared" si="7"/>
        <v>0.37248062050559194</v>
      </c>
      <c r="M42" s="95">
        <f t="shared" si="7"/>
        <v>0.37248062050559194</v>
      </c>
      <c r="N42" s="95">
        <f t="shared" si="7"/>
        <v>0.37248062050559194</v>
      </c>
      <c r="O42" s="95">
        <f t="shared" si="7"/>
        <v>0.37248062050559194</v>
      </c>
      <c r="P42" s="95">
        <f t="shared" si="7"/>
        <v>0.37248062050559194</v>
      </c>
      <c r="Q42" s="95">
        <f t="shared" si="7"/>
        <v>0.37248062050559194</v>
      </c>
      <c r="R42" s="95">
        <f t="shared" si="7"/>
        <v>0.37248062050559194</v>
      </c>
      <c r="S42" s="95">
        <v>0.27412395171290288</v>
      </c>
      <c r="T42" s="95">
        <f t="shared" si="7"/>
        <v>0.37248062050559194</v>
      </c>
      <c r="U42" s="348"/>
      <c r="V42" s="346"/>
      <c r="X42" s="350"/>
      <c r="AB42" s="369"/>
      <c r="AC42" s="369"/>
    </row>
    <row r="43" spans="2:40" ht="46.5">
      <c r="B43" s="342"/>
      <c r="C43" s="342"/>
      <c r="D43" s="5"/>
      <c r="E43" s="355" t="s">
        <v>19</v>
      </c>
      <c r="F43" s="365">
        <f>F37</f>
        <v>2027</v>
      </c>
      <c r="G43" s="95">
        <f t="shared" ref="G43:S43" si="8">G42</f>
        <v>1</v>
      </c>
      <c r="H43" s="95">
        <f t="shared" si="8"/>
        <v>0.37248062050559194</v>
      </c>
      <c r="I43" s="95">
        <f t="shared" si="8"/>
        <v>0.37248062050559194</v>
      </c>
      <c r="J43" s="95">
        <f t="shared" si="8"/>
        <v>0.37248062050559194</v>
      </c>
      <c r="K43" s="95">
        <f t="shared" si="8"/>
        <v>0.37248062050559194</v>
      </c>
      <c r="L43" s="95">
        <f t="shared" si="8"/>
        <v>0.37248062050559194</v>
      </c>
      <c r="M43" s="95">
        <f t="shared" si="8"/>
        <v>0.37248062050559194</v>
      </c>
      <c r="N43" s="95">
        <f t="shared" si="8"/>
        <v>0.37248062050559194</v>
      </c>
      <c r="O43" s="95">
        <f t="shared" si="8"/>
        <v>0.37248062050559194</v>
      </c>
      <c r="P43" s="95">
        <f t="shared" si="8"/>
        <v>0.37248062050559194</v>
      </c>
      <c r="Q43" s="95">
        <f t="shared" si="8"/>
        <v>0.37248062050559194</v>
      </c>
      <c r="R43" s="95">
        <f t="shared" si="8"/>
        <v>0.37248062050559194</v>
      </c>
      <c r="S43" s="95">
        <f t="shared" si="8"/>
        <v>0.27412395171290288</v>
      </c>
      <c r="T43" s="95">
        <f t="shared" ref="T43:T45" si="9">$K53/$O53</f>
        <v>0.37248062050559194</v>
      </c>
      <c r="U43" s="347"/>
      <c r="V43" s="359"/>
      <c r="W43" s="196"/>
      <c r="X43" s="348"/>
      <c r="AA43" s="370"/>
      <c r="AB43" s="371" t="s">
        <v>539</v>
      </c>
      <c r="AC43" s="371" t="s">
        <v>540</v>
      </c>
      <c r="AD43" s="370"/>
      <c r="AE43" s="371" t="s">
        <v>541</v>
      </c>
      <c r="AF43" s="371" t="s">
        <v>542</v>
      </c>
    </row>
    <row r="44" spans="2:40" ht="15.5">
      <c r="B44" s="342"/>
      <c r="C44" s="342"/>
      <c r="D44" s="5"/>
      <c r="E44" s="355" t="s">
        <v>19</v>
      </c>
      <c r="F44" s="365">
        <f>F38</f>
        <v>2028</v>
      </c>
      <c r="G44" s="95">
        <f>G42</f>
        <v>1</v>
      </c>
      <c r="H44" s="95">
        <f t="shared" ref="H44:Q44" si="10">H42</f>
        <v>0.37248062050559194</v>
      </c>
      <c r="I44" s="95">
        <f t="shared" si="10"/>
        <v>0.37248062050559194</v>
      </c>
      <c r="J44" s="95">
        <f t="shared" si="10"/>
        <v>0.37248062050559194</v>
      </c>
      <c r="K44" s="95">
        <f t="shared" si="10"/>
        <v>0.37248062050559194</v>
      </c>
      <c r="L44" s="95">
        <f t="shared" si="10"/>
        <v>0.37248062050559194</v>
      </c>
      <c r="M44" s="95">
        <f t="shared" si="10"/>
        <v>0.37248062050559194</v>
      </c>
      <c r="N44" s="95">
        <f t="shared" si="10"/>
        <v>0.37248062050559194</v>
      </c>
      <c r="O44" s="95">
        <f t="shared" si="10"/>
        <v>0.37248062050559194</v>
      </c>
      <c r="P44" s="95">
        <f t="shared" si="10"/>
        <v>0.37248062050559194</v>
      </c>
      <c r="Q44" s="95">
        <f t="shared" si="10"/>
        <v>0.37248062050559194</v>
      </c>
      <c r="R44" s="95">
        <f>R42</f>
        <v>0.37248062050559194</v>
      </c>
      <c r="S44" s="95">
        <f t="shared" ref="S44" si="11">S43</f>
        <v>0.27412395171290288</v>
      </c>
      <c r="T44" s="95">
        <f t="shared" si="9"/>
        <v>0.37248062050559194</v>
      </c>
      <c r="U44" s="348"/>
      <c r="V44" s="348"/>
      <c r="W44" s="348"/>
      <c r="X44" s="348"/>
      <c r="AA44" s="372"/>
      <c r="AB44" s="373"/>
      <c r="AC44" s="373"/>
      <c r="AD44" s="374"/>
      <c r="AE44" s="373"/>
      <c r="AF44" s="373"/>
    </row>
    <row r="45" spans="2:40" ht="15.5">
      <c r="B45" s="342"/>
      <c r="C45" s="342"/>
      <c r="D45" s="5"/>
      <c r="E45" s="355" t="s">
        <v>23</v>
      </c>
      <c r="F45" s="365">
        <f>F41</f>
        <v>2025</v>
      </c>
      <c r="G45" s="95">
        <v>1</v>
      </c>
      <c r="H45" s="95">
        <f t="shared" ref="H45:Q45" si="12">$K55/$O55</f>
        <v>0.34324990068571132</v>
      </c>
      <c r="I45" s="95">
        <f t="shared" si="12"/>
        <v>0.34324990068571132</v>
      </c>
      <c r="J45" s="95">
        <f t="shared" si="12"/>
        <v>0.34324990068571132</v>
      </c>
      <c r="K45" s="95">
        <f t="shared" si="12"/>
        <v>0.34324990068571132</v>
      </c>
      <c r="L45" s="95">
        <f t="shared" si="12"/>
        <v>0.34324990068571132</v>
      </c>
      <c r="M45" s="95">
        <f t="shared" si="12"/>
        <v>0.34324990068571132</v>
      </c>
      <c r="N45" s="95">
        <f t="shared" si="12"/>
        <v>0.34324990068571132</v>
      </c>
      <c r="O45" s="95">
        <f t="shared" si="12"/>
        <v>0.34324990068571132</v>
      </c>
      <c r="P45" s="95">
        <f t="shared" si="12"/>
        <v>0.34324990068571132</v>
      </c>
      <c r="Q45" s="95">
        <f t="shared" si="12"/>
        <v>0.34324990068571132</v>
      </c>
      <c r="R45" s="95">
        <f>$K55/$O55</f>
        <v>0.34324990068571132</v>
      </c>
      <c r="S45" s="95">
        <v>1.8640415411060298</v>
      </c>
      <c r="T45" s="95">
        <f t="shared" si="9"/>
        <v>0.34324990068571132</v>
      </c>
      <c r="U45" s="347"/>
      <c r="V45" s="359"/>
      <c r="W45" s="350"/>
      <c r="X45" s="350"/>
      <c r="AA45" s="372" t="s">
        <v>19</v>
      </c>
      <c r="AB45" s="375">
        <v>35.876526998426449</v>
      </c>
      <c r="AC45" s="375">
        <v>38.03212457679512</v>
      </c>
      <c r="AD45" s="374" t="s">
        <v>19</v>
      </c>
      <c r="AE45" s="375">
        <v>28.129082432984287</v>
      </c>
      <c r="AF45" s="375">
        <v>30.517731644259605</v>
      </c>
    </row>
    <row r="46" spans="2:40" ht="15.5">
      <c r="B46" s="342"/>
      <c r="C46" s="342"/>
      <c r="D46" s="5"/>
      <c r="E46" s="355" t="s">
        <v>23</v>
      </c>
      <c r="F46" s="365">
        <f>F42</f>
        <v>2026</v>
      </c>
      <c r="G46" s="95">
        <v>1</v>
      </c>
      <c r="H46" s="95">
        <f>$K56/$O56</f>
        <v>0.32079721147489609</v>
      </c>
      <c r="I46" s="95">
        <f t="shared" ref="I46:T46" si="13">$K56/$O56</f>
        <v>0.32079721147489609</v>
      </c>
      <c r="J46" s="95">
        <f t="shared" si="13"/>
        <v>0.32079721147489609</v>
      </c>
      <c r="K46" s="95">
        <f t="shared" si="13"/>
        <v>0.32079721147489609</v>
      </c>
      <c r="L46" s="95">
        <f t="shared" si="13"/>
        <v>0.32079721147489609</v>
      </c>
      <c r="M46" s="95">
        <f t="shared" si="13"/>
        <v>0.32079721147489609</v>
      </c>
      <c r="N46" s="95">
        <f t="shared" si="13"/>
        <v>0.32079721147489609</v>
      </c>
      <c r="O46" s="95">
        <f t="shared" si="13"/>
        <v>0.32079721147489609</v>
      </c>
      <c r="P46" s="95">
        <f t="shared" si="13"/>
        <v>0.32079721147489609</v>
      </c>
      <c r="Q46" s="95">
        <f t="shared" si="13"/>
        <v>0.32079721147489609</v>
      </c>
      <c r="R46" s="95">
        <f t="shared" si="13"/>
        <v>0.32079721147489609</v>
      </c>
      <c r="S46" s="95">
        <v>0.24723697134857206</v>
      </c>
      <c r="T46" s="95">
        <f t="shared" si="13"/>
        <v>0.32079721147489609</v>
      </c>
      <c r="U46" s="347"/>
      <c r="V46" s="359"/>
      <c r="W46" s="350"/>
      <c r="X46" s="350"/>
      <c r="AA46" s="372" t="s">
        <v>30</v>
      </c>
      <c r="AB46" s="375">
        <v>35.04098349229276</v>
      </c>
      <c r="AC46" s="375">
        <v>35.950335548978678</v>
      </c>
      <c r="AD46" s="374" t="s">
        <v>23</v>
      </c>
      <c r="AE46" s="375">
        <v>25.258006838675957</v>
      </c>
      <c r="AF46" s="375">
        <v>26.142767729506289</v>
      </c>
    </row>
    <row r="47" spans="2:40" ht="15.5">
      <c r="B47" s="342"/>
      <c r="C47" s="342"/>
      <c r="D47" s="5"/>
      <c r="E47" s="355" t="s">
        <v>23</v>
      </c>
      <c r="F47" s="365">
        <f>F43</f>
        <v>2027</v>
      </c>
      <c r="G47" s="95">
        <f t="shared" ref="G47:S47" si="14">G46</f>
        <v>1</v>
      </c>
      <c r="H47" s="95">
        <f t="shared" si="14"/>
        <v>0.32079721147489609</v>
      </c>
      <c r="I47" s="95">
        <f t="shared" si="14"/>
        <v>0.32079721147489609</v>
      </c>
      <c r="J47" s="95">
        <f t="shared" si="14"/>
        <v>0.32079721147489609</v>
      </c>
      <c r="K47" s="95">
        <f t="shared" si="14"/>
        <v>0.32079721147489609</v>
      </c>
      <c r="L47" s="95">
        <f t="shared" si="14"/>
        <v>0.32079721147489609</v>
      </c>
      <c r="M47" s="95">
        <f t="shared" si="14"/>
        <v>0.32079721147489609</v>
      </c>
      <c r="N47" s="95">
        <f t="shared" si="14"/>
        <v>0.32079721147489609</v>
      </c>
      <c r="O47" s="95">
        <f t="shared" si="14"/>
        <v>0.32079721147489609</v>
      </c>
      <c r="P47" s="95">
        <f t="shared" si="14"/>
        <v>0.32079721147489609</v>
      </c>
      <c r="Q47" s="95">
        <f t="shared" si="14"/>
        <v>0.32079721147489609</v>
      </c>
      <c r="R47" s="95">
        <f t="shared" si="14"/>
        <v>0.32079721147489609</v>
      </c>
      <c r="S47" s="95">
        <f t="shared" si="14"/>
        <v>0.24723697134857206</v>
      </c>
      <c r="T47" s="95">
        <f>$K57/$O57</f>
        <v>0.32079721147489609</v>
      </c>
      <c r="U47" s="348"/>
      <c r="V47" s="346"/>
      <c r="W47" s="359"/>
      <c r="X47" s="350"/>
      <c r="AA47" s="376"/>
      <c r="AB47" s="377"/>
      <c r="AC47" s="377"/>
      <c r="AD47" s="377"/>
      <c r="AE47" s="377"/>
      <c r="AF47" s="378"/>
    </row>
    <row r="48" spans="2:40" ht="46.5">
      <c r="B48" s="342"/>
      <c r="C48" s="342"/>
      <c r="D48" s="5"/>
      <c r="E48" s="355" t="s">
        <v>23</v>
      </c>
      <c r="F48" s="365">
        <f>F44</f>
        <v>2028</v>
      </c>
      <c r="G48" s="95">
        <f>G46</f>
        <v>1</v>
      </c>
      <c r="H48" s="95">
        <f t="shared" ref="H48:Q48" si="15">H46</f>
        <v>0.32079721147489609</v>
      </c>
      <c r="I48" s="95">
        <f t="shared" si="15"/>
        <v>0.32079721147489609</v>
      </c>
      <c r="J48" s="95">
        <f t="shared" si="15"/>
        <v>0.32079721147489609</v>
      </c>
      <c r="K48" s="95">
        <f t="shared" si="15"/>
        <v>0.32079721147489609</v>
      </c>
      <c r="L48" s="95">
        <f t="shared" si="15"/>
        <v>0.32079721147489609</v>
      </c>
      <c r="M48" s="95">
        <f t="shared" si="15"/>
        <v>0.32079721147489609</v>
      </c>
      <c r="N48" s="95">
        <f t="shared" si="15"/>
        <v>0.32079721147489609</v>
      </c>
      <c r="O48" s="95">
        <f t="shared" si="15"/>
        <v>0.32079721147489609</v>
      </c>
      <c r="P48" s="95">
        <f t="shared" si="15"/>
        <v>0.32079721147489609</v>
      </c>
      <c r="Q48" s="95">
        <f t="shared" si="15"/>
        <v>0.32079721147489609</v>
      </c>
      <c r="R48" s="95">
        <f>R46</f>
        <v>0.32079721147489609</v>
      </c>
      <c r="S48" s="95">
        <f t="shared" ref="S48" si="16">S47</f>
        <v>0.24723697134857206</v>
      </c>
      <c r="T48" s="95">
        <f>$K58/$O58</f>
        <v>0.32079721147489609</v>
      </c>
      <c r="U48" s="347"/>
      <c r="V48" s="359"/>
      <c r="W48" s="359"/>
      <c r="X48" s="350"/>
      <c r="AA48" s="370"/>
      <c r="AB48" s="379" t="s">
        <v>665</v>
      </c>
      <c r="AC48" s="379" t="s">
        <v>666</v>
      </c>
      <c r="AD48" s="373"/>
      <c r="AE48" s="379" t="s">
        <v>667</v>
      </c>
      <c r="AF48" s="379" t="s">
        <v>668</v>
      </c>
      <c r="AM48" s="380"/>
    </row>
    <row r="49" spans="2:32" ht="15.5">
      <c r="B49" s="342"/>
      <c r="C49" s="342"/>
      <c r="D49" s="5"/>
      <c r="E49" s="5"/>
      <c r="F49" s="63"/>
      <c r="G49" s="63"/>
      <c r="H49" s="63"/>
      <c r="I49" s="63"/>
      <c r="J49" s="63"/>
      <c r="K49" s="63"/>
      <c r="L49" s="5"/>
      <c r="M49" s="5"/>
      <c r="N49" s="5"/>
      <c r="O49" s="5"/>
      <c r="P49" s="5"/>
      <c r="Q49" s="5"/>
      <c r="R49" s="5"/>
      <c r="S49" s="347"/>
      <c r="T49" s="348"/>
      <c r="U49" s="348"/>
      <c r="V49" s="348"/>
      <c r="W49" s="350"/>
      <c r="X49" s="350"/>
      <c r="AA49" s="372"/>
      <c r="AB49" s="373"/>
      <c r="AC49" s="373"/>
      <c r="AD49" s="374"/>
      <c r="AE49" s="373"/>
      <c r="AF49" s="373"/>
    </row>
    <row r="50" spans="2:32" ht="15.5">
      <c r="B50" s="342"/>
      <c r="C50" s="342"/>
      <c r="D50" s="5"/>
      <c r="E50" s="5"/>
      <c r="F50" s="330" t="s">
        <v>285</v>
      </c>
      <c r="G50" s="63"/>
      <c r="H50" s="63"/>
      <c r="I50" s="63"/>
      <c r="J50" s="330" t="s">
        <v>135</v>
      </c>
      <c r="K50" s="63"/>
      <c r="L50" s="166"/>
      <c r="M50"/>
      <c r="N50" s="330" t="s">
        <v>134</v>
      </c>
      <c r="O50" s="5"/>
      <c r="P50" s="5"/>
      <c r="Q50" s="5"/>
      <c r="R50" s="5"/>
      <c r="S50" s="347"/>
      <c r="T50" s="454"/>
      <c r="U50" s="454"/>
      <c r="V50" s="348"/>
      <c r="W50" s="346"/>
      <c r="X50" s="346"/>
      <c r="AA50" s="372" t="s">
        <v>19</v>
      </c>
      <c r="AB50" s="375">
        <v>35.656709684711373</v>
      </c>
      <c r="AC50" s="375">
        <v>37.812307263080044</v>
      </c>
      <c r="AD50" s="374" t="s">
        <v>19</v>
      </c>
      <c r="AE50" s="375">
        <v>27.886265438798862</v>
      </c>
      <c r="AF50" s="375">
        <v>30.27491465007418</v>
      </c>
    </row>
    <row r="51" spans="2:32" ht="15.5">
      <c r="B51" s="5"/>
      <c r="C51" s="5"/>
      <c r="D51" s="5"/>
      <c r="E51" s="355" t="s">
        <v>19</v>
      </c>
      <c r="F51" s="365">
        <f>F41</f>
        <v>2025</v>
      </c>
      <c r="G51" s="144">
        <v>19682427.314727828</v>
      </c>
      <c r="H51" s="63"/>
      <c r="I51" s="355" t="s">
        <v>19</v>
      </c>
      <c r="J51" s="365">
        <f t="shared" ref="J51:J58" si="17">F51</f>
        <v>2025</v>
      </c>
      <c r="K51" s="144">
        <v>10093574.567219546</v>
      </c>
      <c r="L51" s="344"/>
      <c r="M51" s="355" t="s">
        <v>19</v>
      </c>
      <c r="N51" s="365">
        <f t="shared" ref="N51:N58" si="18">F51</f>
        <v>2025</v>
      </c>
      <c r="O51" s="331">
        <v>26463071.04541485</v>
      </c>
      <c r="P51" s="167"/>
      <c r="Q51" s="5"/>
      <c r="R51" s="5"/>
      <c r="S51" s="381"/>
      <c r="T51" s="348"/>
      <c r="U51" s="347"/>
      <c r="V51" s="359"/>
      <c r="W51" s="348"/>
      <c r="X51" s="348"/>
      <c r="AA51" s="372" t="s">
        <v>30</v>
      </c>
      <c r="AB51" s="375">
        <v>34.778170423848316</v>
      </c>
      <c r="AC51" s="375">
        <v>35.687522480534234</v>
      </c>
      <c r="AD51" s="374" t="s">
        <v>23</v>
      </c>
      <c r="AE51" s="382">
        <v>24.987041940003813</v>
      </c>
      <c r="AF51" s="382">
        <v>25.871802830834145</v>
      </c>
    </row>
    <row r="52" spans="2:32" ht="15.5">
      <c r="B52" s="5"/>
      <c r="C52" s="5"/>
      <c r="D52" s="5"/>
      <c r="E52" s="355" t="s">
        <v>19</v>
      </c>
      <c r="F52" s="365">
        <f t="shared" ref="F52:F58" si="19">F42</f>
        <v>2026</v>
      </c>
      <c r="G52" s="144">
        <v>19830169.112524658</v>
      </c>
      <c r="H52" s="163"/>
      <c r="I52" s="355" t="s">
        <v>19</v>
      </c>
      <c r="J52" s="365">
        <f t="shared" si="17"/>
        <v>2026</v>
      </c>
      <c r="K52" s="144">
        <v>10059394.157951087</v>
      </c>
      <c r="L52" s="383"/>
      <c r="M52" s="355" t="s">
        <v>19</v>
      </c>
      <c r="N52" s="365">
        <f t="shared" si="18"/>
        <v>2026</v>
      </c>
      <c r="O52" s="331">
        <v>27006490.013619561</v>
      </c>
      <c r="P52" s="163"/>
      <c r="Q52" s="342"/>
      <c r="R52" s="193"/>
      <c r="S52" s="347"/>
      <c r="T52" s="348"/>
      <c r="U52" s="347"/>
      <c r="V52" s="350"/>
      <c r="W52" s="348"/>
      <c r="X52" s="348"/>
    </row>
    <row r="53" spans="2:32" ht="15.5">
      <c r="B53" s="5"/>
      <c r="C53" s="5"/>
      <c r="D53" s="5"/>
      <c r="E53" s="355" t="s">
        <v>19</v>
      </c>
      <c r="F53" s="365">
        <f t="shared" si="19"/>
        <v>2027</v>
      </c>
      <c r="G53" s="144">
        <f>G52</f>
        <v>19830169.112524658</v>
      </c>
      <c r="H53" s="63"/>
      <c r="I53" s="355" t="s">
        <v>19</v>
      </c>
      <c r="J53" s="365">
        <f t="shared" si="17"/>
        <v>2027</v>
      </c>
      <c r="K53" s="144">
        <f>K52</f>
        <v>10059394.157951087</v>
      </c>
      <c r="L53" s="5"/>
      <c r="M53" s="355" t="s">
        <v>19</v>
      </c>
      <c r="N53" s="365">
        <f t="shared" si="18"/>
        <v>2027</v>
      </c>
      <c r="O53" s="144">
        <f>O52</f>
        <v>27006490.013619561</v>
      </c>
      <c r="P53" s="5"/>
      <c r="Q53" s="5"/>
      <c r="R53" s="5"/>
      <c r="S53" s="347"/>
      <c r="T53" s="348"/>
      <c r="U53" s="347"/>
      <c r="V53" s="359"/>
      <c r="W53" s="359"/>
      <c r="X53" s="350"/>
    </row>
    <row r="54" spans="2:32" ht="15.5">
      <c r="B54" s="5"/>
      <c r="C54" s="5"/>
      <c r="D54" s="5"/>
      <c r="E54" s="355" t="s">
        <v>19</v>
      </c>
      <c r="F54" s="365">
        <f t="shared" si="19"/>
        <v>2028</v>
      </c>
      <c r="G54" s="144">
        <f>G53</f>
        <v>19830169.112524658</v>
      </c>
      <c r="H54" s="63"/>
      <c r="I54" s="355" t="s">
        <v>19</v>
      </c>
      <c r="J54" s="365">
        <f t="shared" si="17"/>
        <v>2028</v>
      </c>
      <c r="K54" s="144">
        <f>K53</f>
        <v>10059394.157951087</v>
      </c>
      <c r="L54" s="5"/>
      <c r="M54" s="355" t="s">
        <v>19</v>
      </c>
      <c r="N54" s="365">
        <f t="shared" si="18"/>
        <v>2028</v>
      </c>
      <c r="O54" s="144">
        <f>$O$53</f>
        <v>27006490.013619561</v>
      </c>
      <c r="P54" s="5"/>
      <c r="Q54" s="5"/>
      <c r="R54" s="5"/>
      <c r="S54" s="347"/>
      <c r="T54" s="348"/>
      <c r="U54" s="347"/>
      <c r="V54" s="359"/>
      <c r="W54" s="359"/>
      <c r="X54" s="350"/>
    </row>
    <row r="55" spans="2:32" ht="15.5">
      <c r="B55" s="5"/>
      <c r="C55" s="5"/>
      <c r="D55" s="5"/>
      <c r="E55" s="355" t="s">
        <v>23</v>
      </c>
      <c r="F55" s="365">
        <f t="shared" si="19"/>
        <v>2025</v>
      </c>
      <c r="G55" s="144">
        <v>69174483.386814445</v>
      </c>
      <c r="H55" s="63"/>
      <c r="I55" s="355" t="s">
        <v>23</v>
      </c>
      <c r="J55" s="365">
        <f t="shared" si="17"/>
        <v>2025</v>
      </c>
      <c r="K55" s="144">
        <v>26204056.23133941</v>
      </c>
      <c r="L55" s="5"/>
      <c r="M55" s="355" t="s">
        <v>23</v>
      </c>
      <c r="N55" s="365">
        <f t="shared" si="18"/>
        <v>2025</v>
      </c>
      <c r="O55" s="331">
        <v>76341045.340410858</v>
      </c>
      <c r="P55" s="167"/>
      <c r="Q55" s="5"/>
      <c r="R55" s="5"/>
      <c r="S55" s="347"/>
      <c r="T55" s="348"/>
      <c r="U55" s="347"/>
      <c r="V55" s="350"/>
      <c r="W55" s="359"/>
      <c r="X55" s="350"/>
      <c r="AB55" s="384"/>
    </row>
    <row r="56" spans="2:32" ht="15.5">
      <c r="B56" s="5"/>
      <c r="C56" s="5"/>
      <c r="D56" s="5"/>
      <c r="E56" s="355" t="s">
        <v>23</v>
      </c>
      <c r="F56" s="365">
        <f t="shared" si="19"/>
        <v>2026</v>
      </c>
      <c r="G56" s="144">
        <v>70534125.937143385</v>
      </c>
      <c r="H56" s="163"/>
      <c r="I56" s="355" t="s">
        <v>23</v>
      </c>
      <c r="J56" s="365">
        <f t="shared" si="17"/>
        <v>2026</v>
      </c>
      <c r="K56" s="144">
        <v>25055466.304582879</v>
      </c>
      <c r="L56" s="163"/>
      <c r="M56" s="355" t="s">
        <v>23</v>
      </c>
      <c r="N56" s="365">
        <f t="shared" si="18"/>
        <v>2026</v>
      </c>
      <c r="O56" s="331">
        <v>78103753.425374106</v>
      </c>
      <c r="P56" s="163"/>
      <c r="Q56" s="5"/>
      <c r="R56" s="5"/>
      <c r="S56" s="347"/>
      <c r="T56" s="348"/>
      <c r="U56" s="348"/>
      <c r="V56" s="348"/>
      <c r="W56" s="348"/>
      <c r="X56" s="348"/>
    </row>
    <row r="57" spans="2:32" ht="15.5">
      <c r="B57" s="5"/>
      <c r="C57" s="5"/>
      <c r="D57" s="5"/>
      <c r="E57" s="355" t="s">
        <v>23</v>
      </c>
      <c r="F57" s="365">
        <f t="shared" si="19"/>
        <v>2027</v>
      </c>
      <c r="G57" s="144">
        <f>G56</f>
        <v>70534125.937143385</v>
      </c>
      <c r="H57" s="63"/>
      <c r="I57" s="355" t="s">
        <v>23</v>
      </c>
      <c r="J57" s="365">
        <f t="shared" si="17"/>
        <v>2027</v>
      </c>
      <c r="K57" s="144">
        <f>K56</f>
        <v>25055466.304582879</v>
      </c>
      <c r="L57" s="5"/>
      <c r="M57" s="355" t="s">
        <v>23</v>
      </c>
      <c r="N57" s="365">
        <f t="shared" si="18"/>
        <v>2027</v>
      </c>
      <c r="O57" s="144">
        <f>O56</f>
        <v>78103753.425374106</v>
      </c>
      <c r="P57" s="5"/>
      <c r="Q57" s="5"/>
      <c r="R57" s="5"/>
      <c r="S57" s="347"/>
      <c r="T57" s="348"/>
      <c r="U57" s="348"/>
      <c r="V57" s="348"/>
      <c r="W57" s="348"/>
      <c r="X57" s="348"/>
    </row>
    <row r="58" spans="2:32" ht="15.5">
      <c r="B58" s="5"/>
      <c r="C58" s="5"/>
      <c r="D58" s="5"/>
      <c r="E58" s="355" t="s">
        <v>23</v>
      </c>
      <c r="F58" s="365">
        <f t="shared" si="19"/>
        <v>2028</v>
      </c>
      <c r="G58" s="144">
        <f>G57</f>
        <v>70534125.937143385</v>
      </c>
      <c r="H58" s="63"/>
      <c r="I58" s="355" t="s">
        <v>23</v>
      </c>
      <c r="J58" s="365">
        <f t="shared" si="17"/>
        <v>2028</v>
      </c>
      <c r="K58" s="144">
        <f>K57</f>
        <v>25055466.304582879</v>
      </c>
      <c r="L58" s="5"/>
      <c r="M58" s="355" t="s">
        <v>23</v>
      </c>
      <c r="N58" s="365">
        <f t="shared" si="18"/>
        <v>2028</v>
      </c>
      <c r="O58" s="144">
        <f>O57</f>
        <v>78103753.425374106</v>
      </c>
      <c r="P58" s="5"/>
      <c r="Q58" s="5"/>
      <c r="R58" s="5"/>
      <c r="S58" s="347"/>
      <c r="T58" s="348"/>
      <c r="U58" s="347"/>
      <c r="V58" s="350"/>
      <c r="W58" s="359"/>
      <c r="X58" s="350"/>
    </row>
    <row r="59" spans="2:32" ht="15.5">
      <c r="B59" s="5"/>
      <c r="C59" s="5"/>
      <c r="D59" s="5"/>
      <c r="E59" s="5"/>
      <c r="F59" s="63"/>
      <c r="G59" s="63"/>
      <c r="H59" s="63"/>
      <c r="I59" s="63"/>
      <c r="J59" s="63"/>
      <c r="K59" s="63"/>
      <c r="L59" s="5"/>
      <c r="M59" s="5"/>
      <c r="N59" s="5"/>
      <c r="O59" s="5"/>
      <c r="P59" s="5"/>
      <c r="Q59" s="5"/>
      <c r="R59" s="5"/>
      <c r="S59" s="347"/>
      <c r="T59" s="348"/>
      <c r="U59" s="348"/>
      <c r="V59" s="346"/>
      <c r="W59" s="359"/>
      <c r="X59" s="350"/>
    </row>
    <row r="60" spans="2:32" ht="15.5">
      <c r="B60" s="5"/>
      <c r="C60" s="5"/>
      <c r="D60" s="5"/>
      <c r="E60" s="385" t="s">
        <v>63</v>
      </c>
      <c r="F60" s="63"/>
      <c r="G60" s="63"/>
      <c r="H60" s="63"/>
      <c r="I60" s="63"/>
      <c r="J60" s="63"/>
      <c r="K60" s="63"/>
      <c r="L60" s="5"/>
      <c r="M60" s="5"/>
      <c r="N60" s="5"/>
      <c r="O60" s="5"/>
      <c r="P60" s="5"/>
      <c r="Q60" s="5"/>
      <c r="R60" s="5"/>
      <c r="S60" s="347"/>
      <c r="T60" s="454"/>
      <c r="U60" s="454"/>
      <c r="V60" s="348"/>
      <c r="W60" s="359"/>
      <c r="X60" s="350"/>
    </row>
    <row r="61" spans="2:32" ht="15.5">
      <c r="B61" s="5"/>
      <c r="C61" s="5"/>
      <c r="D61" s="5"/>
      <c r="E61" s="5"/>
      <c r="F61" s="63"/>
      <c r="G61" s="63"/>
      <c r="H61" s="63"/>
      <c r="I61" s="63"/>
      <c r="J61" s="63"/>
      <c r="K61" s="63"/>
      <c r="L61" s="5"/>
      <c r="M61" s="5"/>
      <c r="N61" s="5"/>
      <c r="O61" s="5"/>
      <c r="P61" s="5"/>
      <c r="Q61" s="5"/>
      <c r="R61" s="5"/>
      <c r="S61" s="347"/>
      <c r="T61" s="348"/>
      <c r="U61" s="347"/>
      <c r="V61" s="348"/>
      <c r="W61" s="359"/>
      <c r="X61" s="359"/>
    </row>
    <row r="62" spans="2:32" ht="15.5">
      <c r="B62" s="5"/>
      <c r="C62" s="5"/>
      <c r="D62" s="5"/>
      <c r="E62" s="5" t="s">
        <v>543</v>
      </c>
      <c r="F62" s="63"/>
      <c r="G62" s="63"/>
      <c r="H62" s="63"/>
      <c r="I62" s="63"/>
      <c r="J62" s="63"/>
      <c r="K62" s="63"/>
      <c r="L62" s="5"/>
      <c r="M62" s="5"/>
      <c r="N62" s="5"/>
      <c r="O62" s="5"/>
      <c r="P62" s="5"/>
      <c r="Q62" s="5"/>
      <c r="R62" s="5"/>
      <c r="S62" s="347"/>
      <c r="T62" s="348"/>
      <c r="U62" s="347"/>
      <c r="V62" s="348"/>
      <c r="W62" s="359"/>
      <c r="X62" s="350"/>
    </row>
    <row r="63" spans="2:32" ht="15.5">
      <c r="B63" s="5"/>
      <c r="C63" s="5"/>
      <c r="D63" s="5"/>
      <c r="E63" s="5" t="s">
        <v>607</v>
      </c>
      <c r="F63" s="63"/>
      <c r="G63" s="63"/>
      <c r="H63" s="63"/>
      <c r="I63" s="63"/>
      <c r="J63" s="63"/>
      <c r="K63" s="63"/>
      <c r="L63" s="5"/>
      <c r="M63" s="5"/>
      <c r="N63" s="5"/>
      <c r="O63" s="5"/>
      <c r="P63" s="5"/>
      <c r="Q63" s="5"/>
      <c r="R63" s="5"/>
      <c r="S63" s="347"/>
      <c r="T63" s="348"/>
      <c r="U63" s="348"/>
      <c r="V63" s="348"/>
      <c r="W63" s="348"/>
      <c r="X63" s="348"/>
    </row>
    <row r="64" spans="2:32" ht="15.5">
      <c r="B64" s="5"/>
      <c r="C64" s="5"/>
      <c r="D64" s="5"/>
      <c r="E64" s="5" t="s">
        <v>608</v>
      </c>
      <c r="F64" s="63"/>
      <c r="G64" s="63"/>
      <c r="H64" s="63"/>
      <c r="I64" s="63"/>
      <c r="J64" s="63"/>
      <c r="K64" s="63"/>
      <c r="L64" s="5"/>
      <c r="M64" s="5"/>
      <c r="N64" s="5"/>
      <c r="O64" s="5"/>
      <c r="P64" s="5"/>
      <c r="Q64" s="5"/>
      <c r="R64" s="5"/>
      <c r="S64" s="347"/>
      <c r="T64" s="348"/>
      <c r="U64" s="348"/>
      <c r="V64" s="346"/>
      <c r="W64" s="348"/>
      <c r="X64" s="348"/>
    </row>
    <row r="65" spans="2:24" ht="15.5">
      <c r="B65" s="5"/>
      <c r="C65" s="5"/>
      <c r="D65" s="5"/>
      <c r="E65" s="5" t="s">
        <v>609</v>
      </c>
      <c r="F65" s="63"/>
      <c r="G65" s="63"/>
      <c r="H65" s="63"/>
      <c r="I65" s="63"/>
      <c r="J65" s="63"/>
      <c r="K65" s="63"/>
      <c r="L65" s="5"/>
      <c r="M65" s="5"/>
      <c r="N65" s="5"/>
      <c r="O65" s="5"/>
      <c r="P65" s="5"/>
      <c r="Q65" s="5"/>
      <c r="R65" s="5"/>
      <c r="S65" s="347"/>
      <c r="T65" s="454"/>
      <c r="U65" s="454"/>
      <c r="V65" s="350"/>
      <c r="W65" s="350"/>
      <c r="X65" s="350"/>
    </row>
    <row r="66" spans="2:24" ht="15.5">
      <c r="B66" s="5"/>
      <c r="C66" s="5"/>
      <c r="D66" s="5"/>
      <c r="E66" s="5"/>
      <c r="F66" s="63"/>
      <c r="G66" s="144"/>
      <c r="H66" s="63"/>
      <c r="I66" s="63"/>
      <c r="J66" s="63"/>
      <c r="K66" s="63"/>
      <c r="L66" s="5"/>
      <c r="M66" s="5"/>
      <c r="N66" s="5"/>
      <c r="O66" s="5"/>
      <c r="P66" s="5"/>
      <c r="Q66" s="5"/>
      <c r="R66" s="5"/>
      <c r="S66" s="5"/>
      <c r="T66" s="5"/>
      <c r="U66" s="5"/>
      <c r="V66" s="5"/>
      <c r="W66" s="346"/>
      <c r="X66" s="346"/>
    </row>
    <row r="67" spans="2:24" ht="15.5">
      <c r="B67" s="5"/>
      <c r="C67" s="5"/>
      <c r="D67" s="5"/>
      <c r="W67" s="348"/>
      <c r="X67" s="348"/>
    </row>
    <row r="68" spans="2:24" ht="15.5">
      <c r="B68" s="5"/>
      <c r="C68" s="5"/>
      <c r="D68" s="5"/>
      <c r="W68" s="348"/>
      <c r="X68" s="348"/>
    </row>
    <row r="69" spans="2:24" ht="15.5">
      <c r="B69" s="5"/>
      <c r="C69" s="5"/>
      <c r="D69" s="5"/>
      <c r="W69" s="348"/>
      <c r="X69" s="348"/>
    </row>
    <row r="70" spans="2:24" ht="15.5">
      <c r="B70" s="5"/>
      <c r="C70" s="5"/>
      <c r="D70" s="5"/>
      <c r="W70" s="346"/>
      <c r="X70" s="346"/>
    </row>
    <row r="71" spans="2:24" ht="15.5">
      <c r="B71" s="5"/>
      <c r="C71" s="5"/>
      <c r="D71" s="5"/>
      <c r="W71" s="348"/>
      <c r="X71" s="348"/>
    </row>
    <row r="72" spans="2:24" ht="15.5">
      <c r="B72" s="5"/>
      <c r="C72" s="5"/>
      <c r="D72" s="5"/>
      <c r="W72" s="348"/>
      <c r="X72" s="348"/>
    </row>
    <row r="73" spans="2:24" ht="15.5">
      <c r="B73" s="5"/>
      <c r="C73" s="5"/>
      <c r="D73" s="5"/>
      <c r="W73" s="346"/>
      <c r="X73" s="346"/>
    </row>
    <row r="74" spans="2:24" ht="15.5">
      <c r="B74" s="5"/>
      <c r="C74" s="5"/>
      <c r="D74" s="5"/>
      <c r="W74" s="350"/>
      <c r="X74" s="350"/>
    </row>
    <row r="75" spans="2:24" ht="15.5">
      <c r="B75" s="5"/>
      <c r="C75" s="5"/>
      <c r="D75" s="5"/>
      <c r="W75" s="5"/>
      <c r="X75" s="5"/>
    </row>
  </sheetData>
  <mergeCells count="13">
    <mergeCell ref="C2:D2"/>
    <mergeCell ref="G4:P4"/>
    <mergeCell ref="G8:R8"/>
    <mergeCell ref="T50:U50"/>
    <mergeCell ref="T60:U60"/>
    <mergeCell ref="U17:V17"/>
    <mergeCell ref="U16:V16"/>
    <mergeCell ref="AI25:AN25"/>
    <mergeCell ref="AA25:AF25"/>
    <mergeCell ref="T65:U65"/>
    <mergeCell ref="G17:Q17"/>
    <mergeCell ref="F26:K26"/>
    <mergeCell ref="P26:U26"/>
  </mergeCells>
  <phoneticPr fontId="34" type="noConversion"/>
  <pageMargins left="0.7" right="0.7" top="0.75" bottom="0.75" header="0.3" footer="0.3"/>
  <pageSetup orientation="portrait" r:id="rId1"/>
  <headerFooter>
    <oddFooter xml:space="preserve">&amp;C
</oddFooter>
  </headerFooter>
  <ignoredErrors>
    <ignoredError sqref="H38"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2CCD3-06FE-487F-A366-08EE8C65937B}">
  <sheetPr codeName="Sheet4">
    <pageSetUpPr autoPageBreaks="0"/>
  </sheetPr>
  <dimension ref="A1:AM127"/>
  <sheetViews>
    <sheetView tabSelected="1" topLeftCell="Y18" workbookViewId="0">
      <selection activeCell="A35" sqref="A35:XFD1048576"/>
    </sheetView>
  </sheetViews>
  <sheetFormatPr defaultColWidth="8.81640625" defaultRowHeight="14.5"/>
  <cols>
    <col min="1" max="1" width="7.453125" style="39" customWidth="1"/>
    <col min="2" max="2" width="14.453125" style="39" customWidth="1"/>
    <col min="3" max="4" width="13" style="39" customWidth="1"/>
    <col min="5" max="5" width="23.453125" style="39" customWidth="1"/>
    <col min="6" max="6" width="13.54296875" style="39" customWidth="1"/>
    <col min="7" max="7" width="19" style="39" bestFit="1" customWidth="1"/>
    <col min="8" max="8" width="14.1796875" style="39" customWidth="1"/>
    <col min="9" max="9" width="19" style="39" bestFit="1" customWidth="1"/>
    <col min="10" max="10" width="14" style="39" customWidth="1"/>
    <col min="11" max="11" width="19" style="39" bestFit="1" customWidth="1"/>
    <col min="12" max="12" width="13" style="39" customWidth="1"/>
    <col min="13" max="14" width="14.1796875" style="39" customWidth="1"/>
    <col min="15" max="15" width="14.54296875" style="39" customWidth="1"/>
    <col min="16" max="16" width="19.7265625" style="39" customWidth="1"/>
    <col min="17" max="17" width="15.7265625" style="39" bestFit="1" customWidth="1"/>
    <col min="18" max="18" width="19.54296875" style="39" customWidth="1"/>
    <col min="19" max="19" width="15.7265625" style="39" bestFit="1" customWidth="1"/>
    <col min="20" max="20" width="19" style="39" bestFit="1" customWidth="1"/>
    <col min="21" max="21" width="16.54296875" style="39" customWidth="1"/>
    <col min="22" max="22" width="19" style="39" bestFit="1" customWidth="1"/>
    <col min="23" max="23" width="14" style="39" customWidth="1"/>
    <col min="24" max="24" width="23.1796875" style="39" customWidth="1"/>
    <col min="25" max="28" width="19.1796875" style="39" bestFit="1" customWidth="1"/>
    <col min="29" max="29" width="12.26953125" style="39" customWidth="1"/>
    <col min="30" max="30" width="18.26953125" style="39" customWidth="1"/>
    <col min="31" max="32" width="18.81640625" style="39" bestFit="1" customWidth="1"/>
    <col min="33" max="33" width="28.54296875" style="39" customWidth="1"/>
    <col min="34" max="35" width="8.81640625" style="39"/>
    <col min="36" max="36" width="9.81640625" style="39" bestFit="1" customWidth="1"/>
    <col min="37" max="37" width="8.81640625" style="39"/>
    <col min="38" max="38" width="255.7265625" style="39" bestFit="1" customWidth="1"/>
    <col min="39" max="16384" width="8.81640625" style="39"/>
  </cols>
  <sheetData>
    <row r="1" spans="1:38">
      <c r="A1" s="30"/>
      <c r="B1" s="30"/>
      <c r="C1" s="30"/>
      <c r="D1" s="30"/>
      <c r="E1" s="30"/>
      <c r="F1" s="30"/>
      <c r="G1" s="30"/>
      <c r="H1" s="30"/>
      <c r="I1" s="30"/>
    </row>
    <row r="2" spans="1:38">
      <c r="A2" s="17"/>
      <c r="B2" s="473"/>
      <c r="C2" s="473"/>
      <c r="D2" s="473"/>
      <c r="F2" s="17"/>
    </row>
    <row r="3" spans="1:38">
      <c r="E3" s="474" t="s">
        <v>64</v>
      </c>
      <c r="F3" s="474"/>
      <c r="G3" s="474"/>
      <c r="H3" s="474"/>
      <c r="I3" s="474"/>
      <c r="J3" s="474"/>
      <c r="K3" s="474"/>
      <c r="M3" s="65"/>
      <c r="N3" s="65"/>
      <c r="O3" s="65"/>
      <c r="P3" s="474" t="s">
        <v>65</v>
      </c>
      <c r="Q3" s="474"/>
      <c r="R3" s="474"/>
      <c r="S3" s="474"/>
      <c r="T3" s="474"/>
      <c r="U3" s="474"/>
      <c r="V3" s="474"/>
    </row>
    <row r="4" spans="1:38" ht="15.75" customHeight="1">
      <c r="D4" s="5"/>
      <c r="E4" s="97">
        <f>Summary!D3</f>
        <v>2025</v>
      </c>
      <c r="F4" s="94">
        <f>Summary!L3</f>
        <v>45901</v>
      </c>
      <c r="G4" s="386">
        <f>Summary!L3</f>
        <v>45901</v>
      </c>
      <c r="H4" s="14" t="s">
        <v>21</v>
      </c>
      <c r="I4" s="14" t="s">
        <v>21</v>
      </c>
      <c r="J4" s="14" t="s">
        <v>21</v>
      </c>
      <c r="K4" s="14" t="s">
        <v>21</v>
      </c>
      <c r="L4" s="63"/>
      <c r="O4" s="5"/>
      <c r="P4" s="97">
        <f>E4</f>
        <v>2025</v>
      </c>
      <c r="Q4" s="94">
        <f>Summary!L3</f>
        <v>45901</v>
      </c>
      <c r="R4" s="386">
        <f>Summary!L3</f>
        <v>45901</v>
      </c>
      <c r="S4" s="14" t="s">
        <v>21</v>
      </c>
      <c r="T4" s="14" t="s">
        <v>21</v>
      </c>
      <c r="U4" s="14" t="s">
        <v>21</v>
      </c>
      <c r="V4" s="14" t="s">
        <v>21</v>
      </c>
    </row>
    <row r="5" spans="1:38" ht="30.65" customHeight="1">
      <c r="D5" s="5"/>
      <c r="E5" s="14" t="s">
        <v>41</v>
      </c>
      <c r="F5" s="14" t="s">
        <v>26</v>
      </c>
      <c r="G5" s="14" t="s">
        <v>42</v>
      </c>
      <c r="H5" s="14" t="s">
        <v>166</v>
      </c>
      <c r="I5" s="14" t="s">
        <v>167</v>
      </c>
      <c r="J5" s="14" t="s">
        <v>168</v>
      </c>
      <c r="K5" s="14" t="s">
        <v>169</v>
      </c>
      <c r="L5" s="6"/>
      <c r="M5" s="74"/>
      <c r="N5" s="74"/>
      <c r="O5" s="6"/>
      <c r="P5" s="14" t="s">
        <v>41</v>
      </c>
      <c r="Q5" s="14" t="s">
        <v>26</v>
      </c>
      <c r="R5" s="14" t="s">
        <v>42</v>
      </c>
      <c r="S5" s="14" t="s">
        <v>166</v>
      </c>
      <c r="T5" s="14" t="s">
        <v>167</v>
      </c>
      <c r="U5" s="14" t="s">
        <v>168</v>
      </c>
      <c r="V5" s="14" t="s">
        <v>169</v>
      </c>
    </row>
    <row r="6" spans="1:38" ht="42" customHeight="1">
      <c r="B6" s="7"/>
      <c r="D6" s="7"/>
      <c r="E6" s="5"/>
      <c r="F6" s="5"/>
      <c r="G6" s="5"/>
      <c r="J6" s="63"/>
      <c r="K6" s="63"/>
      <c r="L6" s="63"/>
      <c r="O6" s="7"/>
      <c r="P6" s="5"/>
      <c r="Q6" s="5"/>
      <c r="R6" s="5"/>
      <c r="U6" s="63"/>
      <c r="V6" s="63"/>
    </row>
    <row r="7" spans="1:38" ht="15.5">
      <c r="D7" s="8" t="s">
        <v>43</v>
      </c>
      <c r="E7" s="101">
        <f>HLOOKUP($E$4,$Y$38:$AB$42,2,FALSE)</f>
        <v>1539742611.5980248</v>
      </c>
      <c r="F7" s="9">
        <v>0.39834321767662773</v>
      </c>
      <c r="G7" s="168">
        <f t="shared" ref="G7:G12" si="0">F7*E7</f>
        <v>613346026.29777122</v>
      </c>
      <c r="H7" s="15">
        <f>(Y9/SUM(SUM(E7:E8),F9/F7*SUM(E9:E10),F11/F7*SUM(E11:E12),SUM(P7:P8)*(1+(Q7/F7-1)),SUM(P9:P10)*(1+(Q9/F9-1))*F9/F7,SUM(P11:P12)*(1+(Q11/F11-1))*F11/F7))</f>
        <v>0.39577660980783691</v>
      </c>
      <c r="I7" s="168">
        <f t="shared" ref="I7:I12" si="1">E7*H7</f>
        <v>609394110.79493129</v>
      </c>
      <c r="J7" s="15">
        <f>(Y10/SUM(SUM(E7:E8),F9/F7*SUM(E9:E10),F11/F7*SUM(E11:E12),SUM(P7:P8)*(1+(Q7/F7-1)),SUM(P9:P10)*(1+(Q9/F9-1))*F9/F7,SUM(P11:P12)*(1+(Q11/F11-1))*F11/F7))</f>
        <v>0.40510996307190544</v>
      </c>
      <c r="K7" s="168">
        <f t="shared" ref="K7:K12" si="2">E7*J7</f>
        <v>623765072.52471507</v>
      </c>
      <c r="L7" s="15"/>
      <c r="O7" s="8" t="s">
        <v>43</v>
      </c>
      <c r="P7" s="101">
        <f>HLOOKUP($E$4,$Y$49:$AB$53,2,FALSE)</f>
        <v>917088578.44337201</v>
      </c>
      <c r="Q7" s="9">
        <v>0.24452548297336099</v>
      </c>
      <c r="R7" s="168">
        <f t="shared" ref="R7:R12" si="3">Q7*P7</f>
        <v>224251527.57321858</v>
      </c>
      <c r="S7" s="15">
        <f t="shared" ref="S7:S12" si="4">H7*(1+(Q7/F7-1))</f>
        <v>0.2429499546328012</v>
      </c>
      <c r="T7" s="168">
        <f t="shared" ref="T7:T12" si="5">P7*S7</f>
        <v>222806628.52707738</v>
      </c>
      <c r="U7" s="15">
        <f t="shared" ref="U7:U12" si="6">J7*(1+(Q7/F7-1))</f>
        <v>0.24867929208197065</v>
      </c>
      <c r="V7" s="168">
        <f t="shared" ref="V7:V12" si="7">P7*U7</f>
        <v>228060938.46375856</v>
      </c>
      <c r="W7" s="11"/>
      <c r="X7" s="39" t="s">
        <v>48</v>
      </c>
    </row>
    <row r="8" spans="1:38" ht="15.5">
      <c r="D8" s="12" t="s">
        <v>44</v>
      </c>
      <c r="E8" s="101">
        <f>HLOOKUP($E$4,$Y$38:$AB$42,3,FALSE)</f>
        <v>2087811424.8768358</v>
      </c>
      <c r="F8" s="9">
        <v>0.39834321767662773</v>
      </c>
      <c r="G8" s="168">
        <f t="shared" si="0"/>
        <v>831665520.88746369</v>
      </c>
      <c r="H8" s="15">
        <f>H7</f>
        <v>0.39577660980783691</v>
      </c>
      <c r="I8" s="168">
        <f t="shared" si="1"/>
        <v>826306927.65582347</v>
      </c>
      <c r="J8" s="15">
        <f>J7</f>
        <v>0.40510996307190544</v>
      </c>
      <c r="K8" s="168">
        <f t="shared" si="2"/>
        <v>845793209.23295724</v>
      </c>
      <c r="L8" s="15"/>
      <c r="O8" s="12" t="s">
        <v>44</v>
      </c>
      <c r="P8" s="101">
        <f>HLOOKUP($E$4,$Y$49:$AB$53,3,FALSE)</f>
        <v>1518299194.662082</v>
      </c>
      <c r="Q8" s="9">
        <v>0.24452548297336099</v>
      </c>
      <c r="R8" s="168">
        <f t="shared" si="3"/>
        <v>371262843.8728106</v>
      </c>
      <c r="S8" s="15">
        <f t="shared" si="4"/>
        <v>0.2429499546328012</v>
      </c>
      <c r="T8" s="168">
        <f t="shared" si="5"/>
        <v>368870720.46217138</v>
      </c>
      <c r="U8" s="15">
        <f t="shared" si="6"/>
        <v>0.24867929208197065</v>
      </c>
      <c r="V8" s="168">
        <f t="shared" si="7"/>
        <v>377569568.89719272</v>
      </c>
      <c r="W8" s="11"/>
      <c r="X8" s="39" t="s">
        <v>20</v>
      </c>
      <c r="Y8" s="19">
        <f>SUM(G7:G12)+SUM(R7:R12)</f>
        <v>3802420458.2985191</v>
      </c>
    </row>
    <row r="9" spans="1:38" ht="15.5">
      <c r="D9" s="8" t="s">
        <v>45</v>
      </c>
      <c r="E9" s="101">
        <f>HLOOKUP($E$4,$Y$38:$AB$42,4,FALSE)</f>
        <v>1193550817.6062469</v>
      </c>
      <c r="F9" s="9">
        <v>0.49918415407833872</v>
      </c>
      <c r="G9" s="168">
        <f t="shared" si="0"/>
        <v>595801655.2362839</v>
      </c>
      <c r="H9" s="15">
        <f>F9/F$7*H$7</f>
        <v>0.49596780716698441</v>
      </c>
      <c r="I9" s="168">
        <f t="shared" si="1"/>
        <v>591962781.75053167</v>
      </c>
      <c r="J9" s="15">
        <f>F9/F$7*J$7</f>
        <v>0.50766390703034536</v>
      </c>
      <c r="K9" s="168">
        <f t="shared" si="2"/>
        <v>605922671.30525041</v>
      </c>
      <c r="L9" s="15"/>
      <c r="O9" s="8" t="s">
        <v>45</v>
      </c>
      <c r="P9" s="101">
        <f>HLOOKUP($E$4,$Y$49:$AB$53,4,FALSE)</f>
        <v>561993596.33662593</v>
      </c>
      <c r="Q9" s="9">
        <v>0.31007209163447425</v>
      </c>
      <c r="R9" s="168">
        <f t="shared" si="3"/>
        <v>174258529.90127802</v>
      </c>
      <c r="S9" s="15">
        <f t="shared" si="4"/>
        <v>0.30807423291624819</v>
      </c>
      <c r="T9" s="168">
        <f t="shared" si="5"/>
        <v>173135746.09524965</v>
      </c>
      <c r="U9" s="15">
        <f t="shared" si="6"/>
        <v>0.31533935565495774</v>
      </c>
      <c r="V9" s="168">
        <f t="shared" si="7"/>
        <v>177218698.55100405</v>
      </c>
      <c r="W9" s="11"/>
      <c r="X9" s="39" t="s">
        <v>170</v>
      </c>
      <c r="Y9" s="19">
        <f>('SAR and RAR'!V19-('SAR and RAR'!P10*'SAR and RAR'!P19))*1000</f>
        <v>3777920675.6095047</v>
      </c>
      <c r="Z9" s="39">
        <f>Y9/Y8-1</f>
        <v>-6.4432071512621203E-3</v>
      </c>
    </row>
    <row r="10" spans="1:38" ht="15.5">
      <c r="D10" s="12" t="s">
        <v>44</v>
      </c>
      <c r="E10" s="101">
        <f>HLOOKUP($E$4,$Y$38:$AB$42,5,FALSE)</f>
        <v>1514443134.71802</v>
      </c>
      <c r="F10" s="9">
        <v>0.49918415407833872</v>
      </c>
      <c r="G10" s="168">
        <f t="shared" si="0"/>
        <v>755986015.1039623</v>
      </c>
      <c r="H10" s="15">
        <f>H9</f>
        <v>0.49596780716698441</v>
      </c>
      <c r="I10" s="168">
        <f t="shared" si="1"/>
        <v>751115040.60519028</v>
      </c>
      <c r="J10" s="15">
        <f>J9</f>
        <v>0.50766390703034536</v>
      </c>
      <c r="K10" s="168">
        <f t="shared" si="2"/>
        <v>768828118.7462337</v>
      </c>
      <c r="L10" s="15"/>
      <c r="O10" s="12" t="s">
        <v>44</v>
      </c>
      <c r="P10" s="101">
        <f>HLOOKUP($E$4,$Y$49:$AB$53,5,FALSE)</f>
        <v>760624208.97833705</v>
      </c>
      <c r="Q10" s="9">
        <v>0.31007209163447425</v>
      </c>
      <c r="R10" s="168">
        <f t="shared" si="3"/>
        <v>235848339.42573041</v>
      </c>
      <c r="S10" s="15">
        <f t="shared" si="4"/>
        <v>0.30807423291624819</v>
      </c>
      <c r="T10" s="168">
        <f t="shared" si="5"/>
        <v>234328719.71852925</v>
      </c>
      <c r="U10" s="15">
        <f t="shared" si="6"/>
        <v>0.31533935565495774</v>
      </c>
      <c r="V10" s="168">
        <f t="shared" si="7"/>
        <v>239854747.95479074</v>
      </c>
      <c r="W10" s="11"/>
      <c r="X10" s="39" t="s">
        <v>171</v>
      </c>
      <c r="Y10" s="19">
        <f>('SAR and RAR'!X19-('SAR and RAR'!P13*'SAR and RAR'!P19))*1000</f>
        <v>3867013025.6759024</v>
      </c>
      <c r="Z10" s="189">
        <f>Y10/Y8-1</f>
        <v>1.6987223818558661E-2</v>
      </c>
      <c r="AL10" s="39">
        <v>75546565</v>
      </c>
    </row>
    <row r="11" spans="1:38" ht="15.5">
      <c r="D11" s="8" t="s">
        <v>46</v>
      </c>
      <c r="E11" s="101">
        <f>HLOOKUP($E$4,$Y$38:$AB$44,6,FALSE)</f>
        <v>0</v>
      </c>
      <c r="F11" s="9">
        <v>0.49918415407833872</v>
      </c>
      <c r="G11" s="168">
        <f t="shared" si="0"/>
        <v>0</v>
      </c>
      <c r="H11" s="15">
        <f>F11/F$7*H$7</f>
        <v>0.49596780716698441</v>
      </c>
      <c r="I11" s="168">
        <f t="shared" si="1"/>
        <v>0</v>
      </c>
      <c r="J11" s="15">
        <f>F11/F$7*J$7</f>
        <v>0.50766390703034536</v>
      </c>
      <c r="K11" s="168">
        <f t="shared" si="2"/>
        <v>0</v>
      </c>
      <c r="L11" s="15"/>
      <c r="O11" s="8" t="s">
        <v>46</v>
      </c>
      <c r="P11" s="101">
        <f>HLOOKUP($E$4,$Y$49:$AB$55,6,FALSE)</f>
        <v>0</v>
      </c>
      <c r="Q11" s="9">
        <v>0.31007209163447319</v>
      </c>
      <c r="R11" s="168">
        <f t="shared" si="3"/>
        <v>0</v>
      </c>
      <c r="S11" s="15">
        <f t="shared" si="4"/>
        <v>0.30807423291624714</v>
      </c>
      <c r="T11" s="168">
        <f t="shared" si="5"/>
        <v>0</v>
      </c>
      <c r="U11" s="15">
        <f t="shared" si="6"/>
        <v>0.31533935565495663</v>
      </c>
      <c r="V11" s="168">
        <f t="shared" si="7"/>
        <v>0</v>
      </c>
      <c r="W11" s="11"/>
      <c r="Y11" s="19"/>
      <c r="AG11" s="333"/>
    </row>
    <row r="12" spans="1:38" ht="15.5">
      <c r="D12" s="12" t="s">
        <v>44</v>
      </c>
      <c r="E12" s="101">
        <f>HLOOKUP($E$4,$Y$38:$AB$44,7,FALSE)</f>
        <v>0</v>
      </c>
      <c r="F12" s="9">
        <v>0.49918415407833872</v>
      </c>
      <c r="G12" s="168">
        <f t="shared" si="0"/>
        <v>0</v>
      </c>
      <c r="H12" s="15">
        <f>H11</f>
        <v>0.49596780716698441</v>
      </c>
      <c r="I12" s="168">
        <f t="shared" si="1"/>
        <v>0</v>
      </c>
      <c r="J12" s="15">
        <f>J11</f>
        <v>0.50766390703034536</v>
      </c>
      <c r="K12" s="168">
        <f t="shared" si="2"/>
        <v>0</v>
      </c>
      <c r="L12" s="15"/>
      <c r="O12" s="12" t="s">
        <v>44</v>
      </c>
      <c r="P12" s="101">
        <f>HLOOKUP($E$4,$Y$49:$AB$55,7,FALSE)</f>
        <v>0</v>
      </c>
      <c r="Q12" s="9">
        <v>0.31007209163447319</v>
      </c>
      <c r="R12" s="168">
        <f t="shared" si="3"/>
        <v>0</v>
      </c>
      <c r="S12" s="15">
        <f t="shared" si="4"/>
        <v>0.30807423291624714</v>
      </c>
      <c r="T12" s="168">
        <f t="shared" si="5"/>
        <v>0</v>
      </c>
      <c r="U12" s="15">
        <f t="shared" si="6"/>
        <v>0.31533935565495663</v>
      </c>
      <c r="V12" s="168">
        <f t="shared" si="7"/>
        <v>0</v>
      </c>
      <c r="W12" s="11"/>
      <c r="Y12" s="19"/>
    </row>
    <row r="13" spans="1:38" ht="15.5">
      <c r="D13" s="12"/>
      <c r="E13" s="75"/>
      <c r="F13" s="9"/>
      <c r="G13" s="101"/>
      <c r="H13" s="190"/>
      <c r="I13" s="101"/>
      <c r="J13" s="5"/>
      <c r="K13" s="13"/>
      <c r="L13" s="11"/>
      <c r="O13" s="12"/>
      <c r="P13" s="10"/>
      <c r="Q13" s="9"/>
      <c r="R13" s="101"/>
      <c r="S13" s="101"/>
      <c r="T13" s="101"/>
      <c r="U13" s="5"/>
      <c r="V13" s="13"/>
      <c r="X13" s="19"/>
      <c r="Y13" s="19"/>
      <c r="AL13" s="333"/>
    </row>
    <row r="14" spans="1:38" ht="15.5">
      <c r="D14" s="12"/>
      <c r="E14" s="75"/>
      <c r="F14" s="9"/>
      <c r="G14" s="191"/>
      <c r="H14" s="10"/>
      <c r="I14" s="191"/>
      <c r="J14" s="190"/>
      <c r="K14" s="191"/>
      <c r="L14" s="190"/>
      <c r="O14" s="12"/>
      <c r="P14" s="10"/>
      <c r="Q14" s="9"/>
      <c r="R14" s="10"/>
      <c r="S14" s="190"/>
      <c r="T14" s="10"/>
      <c r="U14" s="190"/>
      <c r="V14" s="10"/>
      <c r="Y14" s="19"/>
    </row>
    <row r="15" spans="1:38" ht="15.5">
      <c r="D15" s="12"/>
      <c r="E15" s="75"/>
      <c r="F15" s="9"/>
      <c r="G15" s="191"/>
      <c r="H15" s="166"/>
      <c r="I15" s="191"/>
      <c r="J15" s="190"/>
      <c r="K15" s="387"/>
      <c r="L15" s="190"/>
      <c r="O15" s="76"/>
      <c r="P15" s="10"/>
      <c r="Q15" s="9"/>
      <c r="R15" s="10"/>
      <c r="S15" s="190"/>
      <c r="T15" s="10"/>
      <c r="U15" s="190"/>
      <c r="V15" s="10"/>
      <c r="AL15" s="333">
        <v>-638780651.84724808</v>
      </c>
    </row>
    <row r="16" spans="1:38" ht="15.5">
      <c r="H16" s="166"/>
      <c r="I16" s="325"/>
      <c r="J16" s="166"/>
      <c r="K16" s="325"/>
      <c r="P16" s="10"/>
      <c r="Q16" s="9"/>
      <c r="S16" s="190"/>
      <c r="U16" s="190"/>
    </row>
    <row r="17" spans="2:33" ht="15.5">
      <c r="H17" s="166"/>
      <c r="J17" s="166"/>
      <c r="O17" s="18"/>
      <c r="S17" s="388"/>
    </row>
    <row r="18" spans="2:33" ht="15.5">
      <c r="S18" s="388"/>
    </row>
    <row r="19" spans="2:33">
      <c r="B19" s="20"/>
      <c r="E19" s="389"/>
      <c r="P19" s="39" t="s">
        <v>586</v>
      </c>
      <c r="X19" s="39" t="s">
        <v>585</v>
      </c>
    </row>
    <row r="20" spans="2:33">
      <c r="B20" s="21" t="s">
        <v>149</v>
      </c>
      <c r="C20" s="21"/>
      <c r="E20" s="22" t="s">
        <v>21</v>
      </c>
      <c r="F20" s="22" t="s">
        <v>21</v>
      </c>
      <c r="H20" s="21" t="s">
        <v>38</v>
      </c>
      <c r="I20" s="21"/>
      <c r="J20" s="21"/>
      <c r="K20" s="21"/>
      <c r="L20" s="21" t="s">
        <v>220</v>
      </c>
      <c r="M20" s="21"/>
      <c r="N20" s="21"/>
      <c r="P20" s="29" t="s">
        <v>32</v>
      </c>
      <c r="Q20" s="77" t="s">
        <v>147</v>
      </c>
      <c r="R20" s="77" t="s">
        <v>148</v>
      </c>
      <c r="S20" s="77" t="s">
        <v>147</v>
      </c>
      <c r="T20" s="77" t="s">
        <v>148</v>
      </c>
      <c r="U20" s="466" t="s">
        <v>172</v>
      </c>
      <c r="V20" s="467"/>
      <c r="X20" s="29" t="s">
        <v>32</v>
      </c>
      <c r="Y20" s="77" t="s">
        <v>147</v>
      </c>
      <c r="Z20" s="77" t="s">
        <v>148</v>
      </c>
      <c r="AA20" s="77" t="s">
        <v>147</v>
      </c>
      <c r="AB20" s="77" t="s">
        <v>148</v>
      </c>
      <c r="AC20" s="466" t="s">
        <v>172</v>
      </c>
      <c r="AD20" s="467"/>
    </row>
    <row r="21" spans="2:33">
      <c r="B21" s="23" t="s">
        <v>26</v>
      </c>
      <c r="C21" s="78">
        <v>45658</v>
      </c>
      <c r="D21" s="78">
        <f>Summary!L3</f>
        <v>45901</v>
      </c>
      <c r="E21" s="79" t="s">
        <v>173</v>
      </c>
      <c r="F21" s="79" t="s">
        <v>174</v>
      </c>
      <c r="H21" s="24" t="s">
        <v>32</v>
      </c>
      <c r="I21" s="24" t="s">
        <v>328</v>
      </c>
      <c r="J21" s="24" t="s">
        <v>329</v>
      </c>
      <c r="L21" s="24" t="s">
        <v>32</v>
      </c>
      <c r="M21" s="24" t="s">
        <v>328</v>
      </c>
      <c r="N21" s="24" t="s">
        <v>329</v>
      </c>
      <c r="P21" s="40"/>
      <c r="Q21" s="466" t="s">
        <v>49</v>
      </c>
      <c r="R21" s="467"/>
      <c r="S21" s="466" t="s">
        <v>50</v>
      </c>
      <c r="T21" s="467"/>
      <c r="U21" s="60" t="s">
        <v>49</v>
      </c>
      <c r="V21" s="246" t="s">
        <v>50</v>
      </c>
      <c r="X21" s="40"/>
      <c r="Y21" s="466" t="s">
        <v>49</v>
      </c>
      <c r="Z21" s="467"/>
      <c r="AA21" s="466" t="s">
        <v>50</v>
      </c>
      <c r="AB21" s="467"/>
      <c r="AC21" s="247" t="s">
        <v>49</v>
      </c>
      <c r="AD21" s="390" t="s">
        <v>50</v>
      </c>
    </row>
    <row r="22" spans="2:33">
      <c r="B22" s="25" t="s">
        <v>28</v>
      </c>
      <c r="C22" s="80">
        <v>0.40122000000000002</v>
      </c>
      <c r="D22" s="80">
        <f>F7</f>
        <v>0.39834321767662773</v>
      </c>
      <c r="E22" s="80">
        <f>H7</f>
        <v>0.39577660980783691</v>
      </c>
      <c r="F22" s="80">
        <f>J7</f>
        <v>0.40510996307190544</v>
      </c>
      <c r="H22" s="39" t="s">
        <v>199</v>
      </c>
      <c r="I22" s="19">
        <f>13.5*$R$33</f>
        <v>410.90625</v>
      </c>
      <c r="J22" s="19">
        <f>11*$R$33</f>
        <v>334.8125</v>
      </c>
      <c r="L22" s="39" t="s">
        <v>199</v>
      </c>
      <c r="M22" s="19">
        <f>15.2*$R$33</f>
        <v>462.65</v>
      </c>
      <c r="N22" s="19">
        <f>26*$R$33</f>
        <v>791.375</v>
      </c>
      <c r="P22" s="90" t="s">
        <v>199</v>
      </c>
      <c r="Q22" s="106">
        <v>570.5</v>
      </c>
      <c r="R22" s="106">
        <v>411.375</v>
      </c>
      <c r="S22" s="106">
        <v>645.25</v>
      </c>
      <c r="T22" s="106">
        <v>520.5</v>
      </c>
      <c r="U22" s="201">
        <v>4.5569400429465723E-2</v>
      </c>
      <c r="V22" s="202">
        <v>2.3853335386819371E-2</v>
      </c>
      <c r="X22" s="90" t="s">
        <v>199</v>
      </c>
      <c r="Y22" s="106">
        <v>624.5</v>
      </c>
      <c r="Z22" s="106">
        <v>556.375</v>
      </c>
      <c r="AA22" s="106">
        <v>716.25</v>
      </c>
      <c r="AB22" s="106">
        <v>717</v>
      </c>
      <c r="AC22" s="203">
        <v>0.20178895994923271</v>
      </c>
      <c r="AD22" s="204">
        <v>0.18545607447854359</v>
      </c>
    </row>
    <row r="23" spans="2:33">
      <c r="B23" s="25" t="s">
        <v>29</v>
      </c>
      <c r="C23" s="80">
        <v>0.50256999999999996</v>
      </c>
      <c r="D23" s="80">
        <f>F9</f>
        <v>0.49918415407833872</v>
      </c>
      <c r="E23" s="80">
        <f>H9</f>
        <v>0.49596780716698441</v>
      </c>
      <c r="F23" s="80">
        <f>J9</f>
        <v>0.50766390703034536</v>
      </c>
      <c r="H23" s="39" t="s">
        <v>200</v>
      </c>
      <c r="I23" s="19">
        <f>9.8*$R$33</f>
        <v>298.28750000000002</v>
      </c>
      <c r="J23" s="19">
        <f>11*$R$33</f>
        <v>334.8125</v>
      </c>
      <c r="L23" s="39" t="s">
        <v>200</v>
      </c>
      <c r="M23" s="19">
        <f>8.5*$R$33</f>
        <v>258.71875</v>
      </c>
      <c r="N23" s="19">
        <f>26*$R$33</f>
        <v>791.375</v>
      </c>
      <c r="P23" s="81" t="s">
        <v>200</v>
      </c>
      <c r="Q23" s="106">
        <v>379.25</v>
      </c>
      <c r="R23" s="106">
        <v>437.5</v>
      </c>
      <c r="S23" s="106">
        <v>352.75</v>
      </c>
      <c r="T23" s="106">
        <v>419</v>
      </c>
      <c r="U23" s="203">
        <v>3.2458015912467647E-4</v>
      </c>
      <c r="V23" s="204">
        <v>1.0336687735675832E-4</v>
      </c>
      <c r="X23" s="81" t="s">
        <v>200</v>
      </c>
      <c r="Y23" s="106">
        <v>478</v>
      </c>
      <c r="Z23" s="106">
        <v>604.625</v>
      </c>
      <c r="AA23" s="106">
        <v>462.25</v>
      </c>
      <c r="AB23" s="106">
        <v>603.125</v>
      </c>
      <c r="AC23" s="203">
        <v>1.2866059097670171E-3</v>
      </c>
      <c r="AD23" s="204">
        <v>5.3596598244637383E-4</v>
      </c>
    </row>
    <row r="24" spans="2:33">
      <c r="H24" s="39" t="s">
        <v>201</v>
      </c>
      <c r="I24" s="19">
        <f>17.7*$R$33</f>
        <v>538.74374999999998</v>
      </c>
      <c r="J24" s="19">
        <f>10.4*$R$33</f>
        <v>316.55</v>
      </c>
      <c r="L24" s="39" t="s">
        <v>201</v>
      </c>
      <c r="M24" s="19">
        <f>19.9*$R$33</f>
        <v>605.70624999999995</v>
      </c>
      <c r="N24" s="19">
        <f>26.7*$R$33</f>
        <v>812.68124999999998</v>
      </c>
      <c r="P24" s="81" t="s">
        <v>201</v>
      </c>
      <c r="Q24" s="106">
        <v>830.75</v>
      </c>
      <c r="R24" s="106">
        <v>409.75</v>
      </c>
      <c r="S24" s="106">
        <v>934.25</v>
      </c>
      <c r="T24" s="106">
        <v>448.625</v>
      </c>
      <c r="U24" s="203">
        <v>0.28001642885561262</v>
      </c>
      <c r="V24" s="204">
        <v>0.37810486959281503</v>
      </c>
      <c r="X24" s="81" t="s">
        <v>201</v>
      </c>
      <c r="Y24" s="106">
        <v>799.25</v>
      </c>
      <c r="Z24" s="106">
        <v>529.125</v>
      </c>
      <c r="AA24" s="106">
        <v>922.5</v>
      </c>
      <c r="AB24" s="106">
        <v>611.125</v>
      </c>
      <c r="AC24" s="203">
        <v>0.25274882481434541</v>
      </c>
      <c r="AD24" s="204">
        <v>0.33014764234190486</v>
      </c>
    </row>
    <row r="25" spans="2:33">
      <c r="H25" s="39" t="s">
        <v>202</v>
      </c>
      <c r="I25" s="19">
        <f>15*$R$33</f>
        <v>456.5625</v>
      </c>
      <c r="J25" s="19">
        <f>10.2*$R$33</f>
        <v>310.46249999999998</v>
      </c>
      <c r="L25" s="39" t="s">
        <v>202</v>
      </c>
      <c r="M25" s="19">
        <f>17.8*$R$33</f>
        <v>541.78750000000002</v>
      </c>
      <c r="N25" s="19">
        <f>23.7*$R$33</f>
        <v>721.36874999999998</v>
      </c>
      <c r="P25" s="81" t="s">
        <v>202</v>
      </c>
      <c r="Q25" s="106">
        <v>715</v>
      </c>
      <c r="R25" s="106">
        <v>409</v>
      </c>
      <c r="S25" s="106">
        <v>792.75</v>
      </c>
      <c r="T25" s="106">
        <v>446.375</v>
      </c>
      <c r="U25" s="203">
        <v>0.363131690876564</v>
      </c>
      <c r="V25" s="204">
        <v>0.30773903655317691</v>
      </c>
      <c r="X25" s="81" t="s">
        <v>202</v>
      </c>
      <c r="Y25" s="106">
        <v>707.5</v>
      </c>
      <c r="Z25" s="106">
        <v>500.375</v>
      </c>
      <c r="AA25" s="106">
        <v>769.25</v>
      </c>
      <c r="AB25" s="106">
        <v>558.125</v>
      </c>
      <c r="AC25" s="203">
        <v>0.25412438352043987</v>
      </c>
      <c r="AD25" s="204">
        <v>0.25428180558352187</v>
      </c>
    </row>
    <row r="26" spans="2:33">
      <c r="B26" s="21" t="s">
        <v>190</v>
      </c>
      <c r="C26" s="21"/>
      <c r="D26" s="21"/>
      <c r="E26" s="22" t="s">
        <v>21</v>
      </c>
      <c r="F26" s="22" t="s">
        <v>21</v>
      </c>
      <c r="H26" s="39" t="s">
        <v>203</v>
      </c>
      <c r="I26" s="19">
        <f>6.5*$R$33</f>
        <v>197.84375</v>
      </c>
      <c r="J26" s="19">
        <f>7.5*$R$33</f>
        <v>228.28125</v>
      </c>
      <c r="L26" s="39" t="s">
        <v>203</v>
      </c>
      <c r="M26" s="19">
        <f>7.1*$R$33</f>
        <v>216.10624999999999</v>
      </c>
      <c r="N26" s="19">
        <f>12.9*$R$33</f>
        <v>392.64375000000001</v>
      </c>
      <c r="P26" s="81" t="s">
        <v>203</v>
      </c>
      <c r="Q26" s="106">
        <v>260.5</v>
      </c>
      <c r="R26" s="106">
        <v>303</v>
      </c>
      <c r="S26" s="106">
        <v>266.25</v>
      </c>
      <c r="T26" s="106">
        <v>303.125</v>
      </c>
      <c r="U26" s="203">
        <v>4.9522938376171173E-2</v>
      </c>
      <c r="V26" s="204">
        <v>2.1410448833006135E-2</v>
      </c>
      <c r="X26" s="81" t="s">
        <v>203</v>
      </c>
      <c r="Y26" s="106">
        <v>292.25</v>
      </c>
      <c r="Z26" s="106">
        <v>369</v>
      </c>
      <c r="AA26" s="106">
        <v>269.25</v>
      </c>
      <c r="AB26" s="106">
        <v>338</v>
      </c>
      <c r="AC26" s="203">
        <v>3.888612758215295E-2</v>
      </c>
      <c r="AD26" s="204">
        <v>2.6397064919990051E-2</v>
      </c>
    </row>
    <row r="27" spans="2:33">
      <c r="B27" s="23" t="s">
        <v>26</v>
      </c>
      <c r="C27" s="78">
        <f>C21</f>
        <v>45658</v>
      </c>
      <c r="D27" s="78">
        <f>D21</f>
        <v>45901</v>
      </c>
      <c r="E27" s="79" t="s">
        <v>173</v>
      </c>
      <c r="F27" s="79" t="s">
        <v>174</v>
      </c>
      <c r="H27" s="39" t="s">
        <v>204</v>
      </c>
      <c r="I27" s="19">
        <f>7.1*$R$33</f>
        <v>216.10624999999999</v>
      </c>
      <c r="J27" s="19">
        <f>8.1*$R$33</f>
        <v>246.54374999999999</v>
      </c>
      <c r="L27" s="39" t="s">
        <v>204</v>
      </c>
      <c r="M27" s="19">
        <f>10.4*$R$33</f>
        <v>316.55</v>
      </c>
      <c r="N27" s="19">
        <f>19.1*$R$33</f>
        <v>581.35625000000005</v>
      </c>
      <c r="P27" s="81" t="s">
        <v>204</v>
      </c>
      <c r="Q27" s="106">
        <v>313.75</v>
      </c>
      <c r="R27" s="106">
        <v>367.5</v>
      </c>
      <c r="S27" s="106">
        <v>292</v>
      </c>
      <c r="T27" s="106">
        <v>349</v>
      </c>
      <c r="U27" s="203">
        <v>1.7338507013963608E-3</v>
      </c>
      <c r="V27" s="204">
        <v>1.2401428125088465E-3</v>
      </c>
      <c r="X27" s="81" t="s">
        <v>204</v>
      </c>
      <c r="Y27" s="106">
        <v>418.25</v>
      </c>
      <c r="Z27" s="106">
        <v>527.5</v>
      </c>
      <c r="AA27" s="106">
        <v>404.75</v>
      </c>
      <c r="AB27" s="106">
        <v>559.375</v>
      </c>
      <c r="AC27" s="203">
        <v>1.9762193410890389E-3</v>
      </c>
      <c r="AD27" s="204">
        <v>1.4420742179634476E-3</v>
      </c>
    </row>
    <row r="28" spans="2:33">
      <c r="B28" s="25" t="s">
        <v>28</v>
      </c>
      <c r="C28" s="80">
        <v>0.24539</v>
      </c>
      <c r="D28" s="80">
        <f>Q7</f>
        <v>0.24452548297336099</v>
      </c>
      <c r="E28" s="80">
        <f>S7</f>
        <v>0.2429499546328012</v>
      </c>
      <c r="F28" s="80">
        <f>U7</f>
        <v>0.24867929208197065</v>
      </c>
      <c r="H28" s="39" t="s">
        <v>205</v>
      </c>
      <c r="I28" s="19">
        <f>19.2*$R$33</f>
        <v>584.4</v>
      </c>
      <c r="J28" s="19">
        <f>9.8*$R$33</f>
        <v>298.28750000000002</v>
      </c>
      <c r="L28" s="39" t="s">
        <v>205</v>
      </c>
      <c r="M28" s="19">
        <f>22.4*$R$33</f>
        <v>681.8</v>
      </c>
      <c r="N28" s="19">
        <f>19*$R$33</f>
        <v>578.3125</v>
      </c>
      <c r="P28" s="81" t="s">
        <v>205</v>
      </c>
      <c r="Q28" s="106">
        <v>915.5</v>
      </c>
      <c r="R28" s="106">
        <v>376.875</v>
      </c>
      <c r="S28" s="106">
        <v>1012.25</v>
      </c>
      <c r="T28" s="106">
        <v>422.125</v>
      </c>
      <c r="U28" s="203">
        <v>0.13057035142865805</v>
      </c>
      <c r="V28" s="204">
        <v>0.23113612924287918</v>
      </c>
      <c r="X28" s="81" t="s">
        <v>205</v>
      </c>
      <c r="Y28" s="106">
        <v>914</v>
      </c>
      <c r="Z28" s="106">
        <v>439.875</v>
      </c>
      <c r="AA28" s="106">
        <v>1030.75</v>
      </c>
      <c r="AB28" s="106">
        <v>484.25</v>
      </c>
      <c r="AC28" s="203">
        <v>7.0357076699319371E-2</v>
      </c>
      <c r="AD28" s="204">
        <v>0.13152930934416715</v>
      </c>
    </row>
    <row r="29" spans="2:33">
      <c r="B29" s="25" t="s">
        <v>29</v>
      </c>
      <c r="C29" s="80">
        <v>0.31126999999999999</v>
      </c>
      <c r="D29" s="80">
        <f>Q9</f>
        <v>0.31007209163447425</v>
      </c>
      <c r="E29" s="80">
        <f>S9</f>
        <v>0.30807423291624819</v>
      </c>
      <c r="F29" s="80">
        <f>U9</f>
        <v>0.31533935565495774</v>
      </c>
      <c r="H29" s="39" t="s">
        <v>206</v>
      </c>
      <c r="I29" s="19">
        <f>9.8*$R$33</f>
        <v>298.28750000000002</v>
      </c>
      <c r="J29" s="19">
        <f>9.7*$R$33</f>
        <v>295.24374999999998</v>
      </c>
      <c r="L29" s="39" t="s">
        <v>206</v>
      </c>
      <c r="M29" s="19">
        <f>8.5*$R$33</f>
        <v>258.71875</v>
      </c>
      <c r="N29" s="19">
        <f>14.6*$R$33</f>
        <v>444.38749999999999</v>
      </c>
      <c r="P29" s="81" t="s">
        <v>206</v>
      </c>
      <c r="Q29" s="106">
        <v>481.75</v>
      </c>
      <c r="R29" s="106">
        <v>402.875</v>
      </c>
      <c r="S29" s="106">
        <v>438.25</v>
      </c>
      <c r="T29" s="106">
        <v>381.625</v>
      </c>
      <c r="U29" s="203">
        <v>0.10825954284044623</v>
      </c>
      <c r="V29" s="204">
        <v>3.2200340591263733E-2</v>
      </c>
      <c r="X29" s="81" t="s">
        <v>206</v>
      </c>
      <c r="Y29" s="106">
        <v>463</v>
      </c>
      <c r="Z29" s="106">
        <v>462.875</v>
      </c>
      <c r="AA29" s="106">
        <v>413.5</v>
      </c>
      <c r="AB29" s="106">
        <v>438.75</v>
      </c>
      <c r="AC29" s="203">
        <v>6.2885041807814276E-2</v>
      </c>
      <c r="AD29" s="204">
        <v>3.9744394565719494E-2</v>
      </c>
    </row>
    <row r="30" spans="2:33">
      <c r="H30" s="39" t="s">
        <v>207</v>
      </c>
      <c r="I30" s="19">
        <f>10.5*$R$33</f>
        <v>319.59375</v>
      </c>
      <c r="J30" s="19">
        <f>11.1*$R$33</f>
        <v>337.85624999999999</v>
      </c>
      <c r="L30" s="39" t="s">
        <v>207</v>
      </c>
      <c r="M30" s="19">
        <f>12*$R$33</f>
        <v>365.25</v>
      </c>
      <c r="N30" s="19">
        <f>24*$R$33</f>
        <v>730.5</v>
      </c>
      <c r="P30" s="81" t="s">
        <v>207</v>
      </c>
      <c r="Q30" s="106">
        <v>382</v>
      </c>
      <c r="R30" s="106">
        <v>326</v>
      </c>
      <c r="S30" s="106">
        <v>522</v>
      </c>
      <c r="T30" s="106">
        <v>516.25</v>
      </c>
      <c r="U30" s="203">
        <v>1.9184685880831991E-2</v>
      </c>
      <c r="V30" s="204">
        <v>4.1559717875950921E-3</v>
      </c>
      <c r="X30" s="81" t="s">
        <v>207</v>
      </c>
      <c r="Y30" s="106">
        <v>376.75</v>
      </c>
      <c r="Z30" s="106">
        <v>360.5</v>
      </c>
      <c r="AA30" s="106">
        <v>603.25</v>
      </c>
      <c r="AB30" s="106">
        <v>670.75</v>
      </c>
      <c r="AC30" s="203">
        <v>0.10365201666076705</v>
      </c>
      <c r="AD30" s="204">
        <v>3.0003731033910953E-2</v>
      </c>
    </row>
    <row r="31" spans="2:33">
      <c r="B31" s="20"/>
      <c r="C31" s="83"/>
      <c r="D31" s="83"/>
      <c r="E31" s="108"/>
      <c r="F31" s="108"/>
      <c r="H31" s="39" t="s">
        <v>208</v>
      </c>
      <c r="I31" s="19">
        <f>5.9*$R$33</f>
        <v>179.58125000000001</v>
      </c>
      <c r="J31" s="19">
        <f>7.8*$R$33</f>
        <v>237.41249999999999</v>
      </c>
      <c r="L31" s="39" t="s">
        <v>208</v>
      </c>
      <c r="M31" s="19">
        <f>6.7*$R$33</f>
        <v>203.93125000000001</v>
      </c>
      <c r="N31" s="19">
        <f>15.7*$R$33</f>
        <v>477.86874999999998</v>
      </c>
      <c r="P31" s="82" t="s">
        <v>208</v>
      </c>
      <c r="Q31" s="104">
        <v>192.25</v>
      </c>
      <c r="R31" s="104">
        <v>173.125</v>
      </c>
      <c r="S31" s="104">
        <v>223.25</v>
      </c>
      <c r="T31" s="104">
        <v>239.5</v>
      </c>
      <c r="U31" s="205">
        <v>1.6865304517292106E-3</v>
      </c>
      <c r="V31" s="206">
        <v>5.6358322578936061E-5</v>
      </c>
      <c r="X31" s="82" t="s">
        <v>208</v>
      </c>
      <c r="Y31" s="104">
        <v>202.25</v>
      </c>
      <c r="Z31" s="104">
        <v>172.625</v>
      </c>
      <c r="AA31" s="104">
        <v>348.25</v>
      </c>
      <c r="AB31" s="104">
        <v>451.375</v>
      </c>
      <c r="AC31" s="205">
        <v>1.2294743715072273E-2</v>
      </c>
      <c r="AD31" s="206">
        <v>4.6193753183223379E-4</v>
      </c>
      <c r="AG31" s="333"/>
    </row>
    <row r="32" spans="2:33">
      <c r="B32" s="20"/>
      <c r="C32" s="83"/>
      <c r="D32" s="83"/>
      <c r="E32" s="108"/>
      <c r="F32" s="108"/>
    </row>
    <row r="33" spans="2:39">
      <c r="B33" s="20"/>
      <c r="C33" s="83"/>
      <c r="D33" s="83"/>
      <c r="E33" s="108"/>
      <c r="F33" s="108"/>
      <c r="Q33" s="41" t="s">
        <v>47</v>
      </c>
      <c r="R33" s="39">
        <f>365.25/12</f>
        <v>30.4375</v>
      </c>
    </row>
    <row r="34" spans="2:39">
      <c r="B34" s="20"/>
      <c r="C34" s="83"/>
      <c r="D34" s="83"/>
      <c r="E34" s="108"/>
      <c r="F34" s="108"/>
      <c r="N34" s="41"/>
    </row>
    <row r="35" spans="2:39">
      <c r="B35" s="20"/>
      <c r="C35" s="468" t="s">
        <v>243</v>
      </c>
      <c r="D35" s="468"/>
      <c r="E35" s="468"/>
      <c r="F35" s="468"/>
      <c r="G35" s="468"/>
      <c r="H35" s="468"/>
      <c r="I35" s="468"/>
      <c r="J35" s="468"/>
      <c r="L35" s="20"/>
      <c r="M35" s="468" t="s">
        <v>249</v>
      </c>
      <c r="N35" s="468"/>
      <c r="O35" s="468"/>
      <c r="P35" s="468"/>
      <c r="Q35" s="468"/>
      <c r="R35" s="468"/>
      <c r="S35" s="468"/>
      <c r="T35" s="468"/>
    </row>
    <row r="36" spans="2:39">
      <c r="B36" s="20"/>
      <c r="C36" s="469">
        <f>$C$27</f>
        <v>45658</v>
      </c>
      <c r="D36" s="470"/>
      <c r="E36" s="469">
        <f>$D$27</f>
        <v>45901</v>
      </c>
      <c r="F36" s="470"/>
      <c r="G36" s="471" t="str">
        <f>$E$21</f>
        <v>Authorized</v>
      </c>
      <c r="H36" s="471"/>
      <c r="I36" s="472" t="str">
        <f>$F$21</f>
        <v>w/Pending</v>
      </c>
      <c r="J36" s="471"/>
      <c r="L36" s="20"/>
      <c r="M36" s="469">
        <f>$C$27</f>
        <v>45658</v>
      </c>
      <c r="N36" s="470"/>
      <c r="O36" s="469">
        <f>$D$27</f>
        <v>45901</v>
      </c>
      <c r="P36" s="470"/>
      <c r="Q36" s="471" t="str">
        <f>$E$21</f>
        <v>Authorized</v>
      </c>
      <c r="R36" s="471"/>
      <c r="S36" s="472" t="str">
        <f>$F$21</f>
        <v>w/Pending</v>
      </c>
      <c r="T36" s="471"/>
    </row>
    <row r="37" spans="2:39">
      <c r="B37" s="20"/>
      <c r="C37" s="83" t="s">
        <v>147</v>
      </c>
      <c r="D37" s="83" t="s">
        <v>148</v>
      </c>
      <c r="E37" s="83" t="s">
        <v>147</v>
      </c>
      <c r="F37" s="83" t="s">
        <v>148</v>
      </c>
      <c r="G37" s="83" t="s">
        <v>147</v>
      </c>
      <c r="H37" s="83" t="s">
        <v>148</v>
      </c>
      <c r="I37" s="83" t="s">
        <v>147</v>
      </c>
      <c r="J37" s="83" t="s">
        <v>148</v>
      </c>
      <c r="L37" s="20"/>
      <c r="M37" s="83" t="s">
        <v>147</v>
      </c>
      <c r="N37" s="83" t="s">
        <v>148</v>
      </c>
      <c r="O37" s="83" t="s">
        <v>147</v>
      </c>
      <c r="P37" s="83" t="s">
        <v>148</v>
      </c>
      <c r="Q37" s="83" t="s">
        <v>147</v>
      </c>
      <c r="R37" s="83" t="s">
        <v>148</v>
      </c>
      <c r="S37" s="83" t="s">
        <v>147</v>
      </c>
      <c r="T37" s="83" t="s">
        <v>148</v>
      </c>
      <c r="AD37" s="468" t="s">
        <v>463</v>
      </c>
      <c r="AE37" s="468"/>
      <c r="AF37" s="468"/>
      <c r="AG37" s="468"/>
    </row>
    <row r="38" spans="2:39">
      <c r="B38" s="39" t="s">
        <v>199</v>
      </c>
      <c r="C38" s="83">
        <f>IF(I22&lt;Q22,$C$22*I22+$C$23*(Q22-I22),$C$22*Q22)</f>
        <v>245.07083656250001</v>
      </c>
      <c r="D38" s="83">
        <f>IF(J22&lt;R22,$C$22*J22+$C$23*(R22-J22),$C$22*R22)</f>
        <v>172.81148687500001</v>
      </c>
      <c r="E38" s="83">
        <f t="shared" ref="E38:E47" si="8">IF(I22&lt;Q22,$D$22*I22+$D$23*(Q22-I22),$D$22*Q22)</f>
        <v>243.34838887837668</v>
      </c>
      <c r="F38" s="83">
        <f t="shared" ref="F38:F47" si="9">IF(J22&lt;R22,$D$22*J22+$D$23*(R22-J22),$D$22*R22)</f>
        <v>171.58907536497873</v>
      </c>
      <c r="G38" s="83">
        <f t="shared" ref="G38:G47" si="10">IF(I22&lt;Q22,$E$22*I22+$E$23*(Q22-I22),$E$22*Q22)</f>
        <v>241.78044479890741</v>
      </c>
      <c r="H38" s="83">
        <f t="shared" ref="H38:H47" si="11">IF(J22&lt;R22,$E$22*J22+$E$23*(R22-J22),$E$22*R22)</f>
        <v>170.48349140750867</v>
      </c>
      <c r="I38" s="83">
        <f t="shared" ref="I38:I47" si="12">IF(I22&lt;Q22, $F$22*I22+$F$23*(Q22-I22), $F$22*Q22)</f>
        <v>247.48220242613931</v>
      </c>
      <c r="J38" s="83">
        <f t="shared" ref="J38:J47" si="13">IF(J22&lt;R22, $F$22*J22+$F$23*(R22-J22), $F$22*R22)</f>
        <v>174.50389739302318</v>
      </c>
      <c r="K38" s="391"/>
      <c r="L38" s="39" t="s">
        <v>199</v>
      </c>
      <c r="M38" s="83">
        <f t="shared" ref="M38:M47" si="14">IF(M22&lt;Y22,$C$22*M22+$C$23*(Y22-M22),$C$22*Y22)</f>
        <v>266.96538750000002</v>
      </c>
      <c r="N38" s="83">
        <f t="shared" ref="N38:N47" si="15">IF(N22&lt;Z22,$C$22*N22+$C$23*(Z22-N22),$C$22*Z22)</f>
        <v>223.22877750000001</v>
      </c>
      <c r="O38" s="83">
        <f t="shared" ref="O38:O47" si="16">IF(M22&lt;Y22,$D$22*M22+$D$23*(Y22-M22),$D$22*Y22)</f>
        <v>265.08644499567094</v>
      </c>
      <c r="P38" s="83">
        <f t="shared" ref="P38:P47" si="17">IF(N22&lt;Z22,$D$22*N22+$D$23*(Z22-N22),$D$22*Z22)</f>
        <v>221.62820773483375</v>
      </c>
      <c r="Q38" s="83">
        <f t="shared" ref="Q38:Q47" si="18">IF(M22&lt;Y22,$E$22*M22+$E$23*(Y22-M22),$E$22*Y22)</f>
        <v>263.37843811757216</v>
      </c>
      <c r="R38" s="83">
        <f t="shared" ref="R38:R47" si="19">IF(N22&lt;Z22,$E$22*N22+$E$23*(Z22-N22),$E$22*Z22)</f>
        <v>220.20021128183527</v>
      </c>
      <c r="S38" s="83">
        <f t="shared" ref="S38:S47" si="20">IF(M22&lt;Y22,$F$22*M22+$F$23*(Y22-M22),$F$22*Y22)</f>
        <v>269.58952776807848</v>
      </c>
      <c r="T38" s="83">
        <f t="shared" ref="T38:T47" si="21">IF(N22&lt;Z22,$F$22*N22+$F$23*(Z22-N22),$F$22*Z22)</f>
        <v>225.3930557041314</v>
      </c>
      <c r="W38" s="39" t="s">
        <v>213</v>
      </c>
      <c r="Y38" s="365">
        <v>2025</v>
      </c>
      <c r="Z38" s="365">
        <f>Y38+1</f>
        <v>2026</v>
      </c>
      <c r="AA38" s="365">
        <f>Z38+1</f>
        <v>2027</v>
      </c>
      <c r="AB38" s="365">
        <f>AA38+1</f>
        <v>2028</v>
      </c>
      <c r="AD38" s="365">
        <v>2025</v>
      </c>
      <c r="AE38" s="365">
        <f>AD38+1</f>
        <v>2026</v>
      </c>
      <c r="AF38" s="365">
        <f>AE38+1</f>
        <v>2027</v>
      </c>
      <c r="AG38" s="365">
        <f>AF38+1</f>
        <v>2028</v>
      </c>
    </row>
    <row r="39" spans="2:39" ht="15.5">
      <c r="B39" s="39" t="s">
        <v>200</v>
      </c>
      <c r="C39" s="83">
        <f>IF(I23&lt;Q23,C$22*I23+C$23*(Q23-I23),C$22*Q23)</f>
        <v>160.36823437499999</v>
      </c>
      <c r="D39" s="83">
        <f t="shared" ref="D39:D47" si="22">IF(J23&lt;R23,$C$22*J23+$C$23*(R23-J23),$C$22*R23)</f>
        <v>185.94112812500001</v>
      </c>
      <c r="E39" s="83">
        <f t="shared" si="8"/>
        <v>159.23599961728459</v>
      </c>
      <c r="F39" s="83">
        <f t="shared" si="9"/>
        <v>184.63026139027534</v>
      </c>
      <c r="G39" s="83">
        <f t="shared" si="10"/>
        <v>158.21000908581212</v>
      </c>
      <c r="H39" s="83">
        <f t="shared" si="11"/>
        <v>183.44065036974612</v>
      </c>
      <c r="I39" s="83">
        <f t="shared" si="12"/>
        <v>161.94097718275532</v>
      </c>
      <c r="J39" s="83">
        <f t="shared" si="13"/>
        <v>187.76661696419094</v>
      </c>
      <c r="K39" s="391"/>
      <c r="L39" s="39" t="s">
        <v>200</v>
      </c>
      <c r="M39" s="83">
        <f t="shared" si="14"/>
        <v>214.00731468750001</v>
      </c>
      <c r="N39" s="83">
        <f t="shared" si="15"/>
        <v>242.58764250000002</v>
      </c>
      <c r="O39" s="83">
        <f t="shared" si="16"/>
        <v>212.52058463476573</v>
      </c>
      <c r="P39" s="83">
        <f t="shared" si="17"/>
        <v>240.84826798773105</v>
      </c>
      <c r="Q39" s="83">
        <f t="shared" si="18"/>
        <v>211.15127048405662</v>
      </c>
      <c r="R39" s="83">
        <f t="shared" si="19"/>
        <v>239.29643270506338</v>
      </c>
      <c r="S39" s="83">
        <f t="shared" si="20"/>
        <v>216.13071937200743</v>
      </c>
      <c r="T39" s="83">
        <f t="shared" si="21"/>
        <v>244.93961142235082</v>
      </c>
      <c r="W39" s="39" t="s">
        <v>28</v>
      </c>
      <c r="X39" s="39" t="s">
        <v>147</v>
      </c>
      <c r="Y39" s="101">
        <f>SUM(AD39,AD44)</f>
        <v>1539742611.5980248</v>
      </c>
      <c r="Z39" s="101">
        <f>SUM(AE39,AE44)</f>
        <v>1478871959.774354</v>
      </c>
      <c r="AA39" s="101">
        <f t="shared" ref="AA39:AB42" si="23">$Z39</f>
        <v>1478871959.774354</v>
      </c>
      <c r="AB39" s="101">
        <f t="shared" si="23"/>
        <v>1478871959.774354</v>
      </c>
      <c r="AD39" s="101">
        <v>893073758.08411193</v>
      </c>
      <c r="AE39" s="101">
        <v>810079399.28795099</v>
      </c>
      <c r="AF39" s="101">
        <f t="shared" ref="AF39:AG42" si="24">AE39</f>
        <v>810079399.28795099</v>
      </c>
      <c r="AG39" s="101">
        <f t="shared" si="24"/>
        <v>810079399.28795099</v>
      </c>
    </row>
    <row r="40" spans="2:39" ht="15.5">
      <c r="B40" s="39" t="s">
        <v>201</v>
      </c>
      <c r="C40" s="83">
        <f t="shared" ref="C40:C46" si="25">IF(I24&lt;Q24,C$22*I24+C$23*(Q24-I24),C$22*Q24)</f>
        <v>362.90834843749997</v>
      </c>
      <c r="D40" s="83">
        <f t="shared" si="22"/>
        <v>173.84571500000001</v>
      </c>
      <c r="E40" s="83">
        <f t="shared" si="8"/>
        <v>360.36981177001064</v>
      </c>
      <c r="F40" s="83">
        <f t="shared" si="9"/>
        <v>172.61950871563766</v>
      </c>
      <c r="G40" s="83">
        <f t="shared" si="10"/>
        <v>358.04787442171505</v>
      </c>
      <c r="H40" s="83">
        <f t="shared" si="11"/>
        <v>171.50728546263372</v>
      </c>
      <c r="I40" s="83">
        <f t="shared" si="12"/>
        <v>366.49149441999964</v>
      </c>
      <c r="J40" s="83">
        <f t="shared" si="13"/>
        <v>175.55183494563988</v>
      </c>
      <c r="K40" s="391"/>
      <c r="L40" s="39" t="s">
        <v>201</v>
      </c>
      <c r="M40" s="83">
        <f t="shared" si="14"/>
        <v>340.29074406250004</v>
      </c>
      <c r="N40" s="83">
        <f t="shared" si="15"/>
        <v>212.29553250000001</v>
      </c>
      <c r="O40" s="83">
        <f t="shared" si="16"/>
        <v>337.89294971274336</v>
      </c>
      <c r="P40" s="83">
        <f t="shared" si="17"/>
        <v>210.77335505314565</v>
      </c>
      <c r="Q40" s="83">
        <f t="shared" si="18"/>
        <v>335.71583544279315</v>
      </c>
      <c r="R40" s="83">
        <f t="shared" si="19"/>
        <v>209.41529866457171</v>
      </c>
      <c r="S40" s="83">
        <f t="shared" si="20"/>
        <v>343.63281287622675</v>
      </c>
      <c r="T40" s="83">
        <f t="shared" si="21"/>
        <v>214.35380921042196</v>
      </c>
      <c r="W40" s="39" t="s">
        <v>28</v>
      </c>
      <c r="X40" s="39" t="s">
        <v>148</v>
      </c>
      <c r="Y40" s="101">
        <f t="shared" ref="Y40:Z42" si="26">SUM(AD40,AD45)</f>
        <v>2087811424.8768358</v>
      </c>
      <c r="Z40" s="101">
        <f t="shared" si="26"/>
        <v>1995078797.684051</v>
      </c>
      <c r="AA40" s="101">
        <f t="shared" si="23"/>
        <v>1995078797.684051</v>
      </c>
      <c r="AB40" s="101">
        <f t="shared" si="23"/>
        <v>1995078797.684051</v>
      </c>
      <c r="AD40" s="101">
        <v>1107988847.1859779</v>
      </c>
      <c r="AE40" s="101">
        <v>987846724.98315406</v>
      </c>
      <c r="AF40" s="101">
        <f t="shared" si="24"/>
        <v>987846724.98315406</v>
      </c>
      <c r="AG40" s="101">
        <f t="shared" si="24"/>
        <v>987846724.98315406</v>
      </c>
    </row>
    <row r="41" spans="2:39" ht="15.5">
      <c r="B41" s="39" t="s">
        <v>202</v>
      </c>
      <c r="C41" s="83">
        <f t="shared" si="25"/>
        <v>313.06494062499996</v>
      </c>
      <c r="D41" s="83">
        <f t="shared" si="22"/>
        <v>174.08575562499999</v>
      </c>
      <c r="E41" s="83">
        <f t="shared" si="8"/>
        <v>310.87648014010597</v>
      </c>
      <c r="F41" s="83">
        <f t="shared" si="9"/>
        <v>172.85898980042433</v>
      </c>
      <c r="G41" s="83">
        <f t="shared" si="10"/>
        <v>308.87343858010809</v>
      </c>
      <c r="H41" s="83">
        <f t="shared" si="11"/>
        <v>171.74522352118231</v>
      </c>
      <c r="I41" s="83">
        <f t="shared" si="12"/>
        <v>316.15740848817171</v>
      </c>
      <c r="J41" s="83">
        <f t="shared" si="13"/>
        <v>175.7953841492141</v>
      </c>
      <c r="K41" s="391"/>
      <c r="L41" s="39" t="s">
        <v>202</v>
      </c>
      <c r="M41" s="83">
        <f t="shared" si="14"/>
        <v>300.65811187500003</v>
      </c>
      <c r="N41" s="83">
        <f t="shared" si="15"/>
        <v>200.7604575</v>
      </c>
      <c r="O41" s="83">
        <f t="shared" si="16"/>
        <v>298.53843017968268</v>
      </c>
      <c r="P41" s="83">
        <f t="shared" si="17"/>
        <v>199.3209875449426</v>
      </c>
      <c r="Q41" s="83">
        <f t="shared" si="18"/>
        <v>296.61488523142236</v>
      </c>
      <c r="R41" s="83">
        <f t="shared" si="19"/>
        <v>198.0367211325964</v>
      </c>
      <c r="S41" s="83">
        <f t="shared" si="20"/>
        <v>303.60976931158609</v>
      </c>
      <c r="T41" s="83">
        <f t="shared" si="21"/>
        <v>202.7068977721047</v>
      </c>
      <c r="W41" s="39" t="s">
        <v>29</v>
      </c>
      <c r="X41" s="39" t="s">
        <v>147</v>
      </c>
      <c r="Y41" s="101">
        <f>SUM(AD41,AD46)</f>
        <v>1193550817.6062469</v>
      </c>
      <c r="Z41" s="101">
        <f>SUM(AE41,AE46)</f>
        <v>1266267232.4551249</v>
      </c>
      <c r="AA41" s="101">
        <f t="shared" si="23"/>
        <v>1266267232.4551249</v>
      </c>
      <c r="AB41" s="101">
        <f t="shared" si="23"/>
        <v>1266267232.4551249</v>
      </c>
      <c r="AD41" s="101">
        <v>586688402.61045301</v>
      </c>
      <c r="AE41" s="101">
        <v>625980536.79583395</v>
      </c>
      <c r="AF41" s="101">
        <f t="shared" si="24"/>
        <v>625980536.79583395</v>
      </c>
      <c r="AG41" s="101">
        <f t="shared" si="24"/>
        <v>625980536.79583395</v>
      </c>
    </row>
    <row r="42" spans="2:39" ht="15.5">
      <c r="B42" s="39" t="s">
        <v>203</v>
      </c>
      <c r="C42" s="83">
        <f t="shared" si="25"/>
        <v>110.86802093750001</v>
      </c>
      <c r="D42" s="83">
        <f t="shared" si="22"/>
        <v>129.14240531249999</v>
      </c>
      <c r="E42" s="83">
        <f t="shared" si="8"/>
        <v>110.08672312618123</v>
      </c>
      <c r="F42" s="83">
        <f t="shared" si="9"/>
        <v>128.23270367278354</v>
      </c>
      <c r="G42" s="83">
        <f t="shared" si="10"/>
        <v>109.37741156447561</v>
      </c>
      <c r="H42" s="83">
        <f t="shared" si="11"/>
        <v>127.40647379945338</v>
      </c>
      <c r="I42" s="83">
        <f t="shared" si="12"/>
        <v>111.95679093137738</v>
      </c>
      <c r="J42" s="83">
        <f t="shared" si="13"/>
        <v>130.41102131093203</v>
      </c>
      <c r="K42" s="391"/>
      <c r="L42" s="39" t="s">
        <v>203</v>
      </c>
      <c r="M42" s="83">
        <f t="shared" si="14"/>
        <v>124.97371406249999</v>
      </c>
      <c r="N42" s="83">
        <f t="shared" si="15"/>
        <v>148.05018000000001</v>
      </c>
      <c r="O42" s="83">
        <f t="shared" si="16"/>
        <v>124.09421241713224</v>
      </c>
      <c r="P42" s="83">
        <f t="shared" si="17"/>
        <v>146.98864732267563</v>
      </c>
      <c r="Q42" s="83">
        <f t="shared" si="18"/>
        <v>123.29464770025592</v>
      </c>
      <c r="R42" s="83">
        <f t="shared" si="19"/>
        <v>146.04156901909181</v>
      </c>
      <c r="S42" s="83">
        <f t="shared" si="20"/>
        <v>126.20222857804983</v>
      </c>
      <c r="T42" s="83">
        <f t="shared" si="21"/>
        <v>149.48557637353312</v>
      </c>
      <c r="W42" s="39" t="s">
        <v>29</v>
      </c>
      <c r="X42" s="39" t="s">
        <v>148</v>
      </c>
      <c r="Y42" s="101">
        <f t="shared" si="26"/>
        <v>1514443134.71802</v>
      </c>
      <c r="Z42" s="101">
        <f>SUM(AE42,AE47)</f>
        <v>1234673677.003494</v>
      </c>
      <c r="AA42" s="101">
        <f t="shared" si="23"/>
        <v>1234673677.003494</v>
      </c>
      <c r="AB42" s="101">
        <f t="shared" si="23"/>
        <v>1234673677.003494</v>
      </c>
      <c r="AD42" s="101">
        <v>524352230.645311</v>
      </c>
      <c r="AE42" s="101">
        <v>433856466.73832899</v>
      </c>
      <c r="AF42" s="101">
        <f t="shared" si="24"/>
        <v>433856466.73832899</v>
      </c>
      <c r="AG42" s="101">
        <f t="shared" si="24"/>
        <v>433856466.73832899</v>
      </c>
    </row>
    <row r="43" spans="2:39" ht="15" customHeight="1">
      <c r="B43" s="39" t="s">
        <v>204</v>
      </c>
      <c r="C43" s="83">
        <f t="shared" si="25"/>
        <v>135.77896906249998</v>
      </c>
      <c r="D43" s="83">
        <f t="shared" si="22"/>
        <v>159.70726593750001</v>
      </c>
      <c r="E43" s="83">
        <f t="shared" si="8"/>
        <v>134.82667172981652</v>
      </c>
      <c r="F43" s="83">
        <f t="shared" si="9"/>
        <v>158.58847400980017</v>
      </c>
      <c r="G43" s="83">
        <f t="shared" si="10"/>
        <v>133.95795555434609</v>
      </c>
      <c r="H43" s="83">
        <f t="shared" si="11"/>
        <v>157.56665561995246</v>
      </c>
      <c r="I43" s="83">
        <f t="shared" si="12"/>
        <v>137.11700257920225</v>
      </c>
      <c r="J43" s="83">
        <f t="shared" si="13"/>
        <v>161.2824519128483</v>
      </c>
      <c r="K43" s="391"/>
      <c r="L43" s="39" t="s">
        <v>204</v>
      </c>
      <c r="M43" s="83">
        <f t="shared" si="14"/>
        <v>178.11756</v>
      </c>
      <c r="N43" s="83">
        <f t="shared" si="15"/>
        <v>211.64355</v>
      </c>
      <c r="O43" s="83">
        <f t="shared" si="16"/>
        <v>176.86257402530356</v>
      </c>
      <c r="P43" s="83">
        <f t="shared" si="17"/>
        <v>210.12604732442114</v>
      </c>
      <c r="Q43" s="83">
        <f t="shared" si="18"/>
        <v>175.72301182355307</v>
      </c>
      <c r="R43" s="83">
        <f t="shared" si="19"/>
        <v>208.77216167363397</v>
      </c>
      <c r="S43" s="83">
        <f t="shared" si="20"/>
        <v>179.86697815539782</v>
      </c>
      <c r="T43" s="83">
        <f t="shared" si="21"/>
        <v>213.69550552043012</v>
      </c>
      <c r="AD43" s="468" t="s">
        <v>464</v>
      </c>
      <c r="AE43" s="468"/>
      <c r="AF43" s="468"/>
      <c r="AG43" s="468"/>
    </row>
    <row r="44" spans="2:39" ht="15" customHeight="1">
      <c r="B44" s="39" t="s">
        <v>205</v>
      </c>
      <c r="C44" s="83">
        <f t="shared" si="25"/>
        <v>400.873895</v>
      </c>
      <c r="D44" s="83">
        <f t="shared" si="22"/>
        <v>159.17463062499999</v>
      </c>
      <c r="E44" s="83">
        <f t="shared" si="8"/>
        <v>398.07164982555923</v>
      </c>
      <c r="F44" s="83">
        <f t="shared" si="9"/>
        <v>158.05043725134854</v>
      </c>
      <c r="G44" s="83">
        <f t="shared" si="10"/>
        <v>395.50679172468841</v>
      </c>
      <c r="H44" s="83">
        <f t="shared" si="11"/>
        <v>157.03208554379054</v>
      </c>
      <c r="I44" s="83">
        <f t="shared" si="12"/>
        <v>404.83378203696884</v>
      </c>
      <c r="J44" s="83">
        <f t="shared" si="13"/>
        <v>160.73527540355826</v>
      </c>
      <c r="K44" s="391"/>
      <c r="L44" s="39" t="s">
        <v>205</v>
      </c>
      <c r="M44" s="83">
        <f t="shared" si="14"/>
        <v>390.24855000000002</v>
      </c>
      <c r="N44" s="83">
        <f t="shared" si="15"/>
        <v>176.4866475</v>
      </c>
      <c r="O44" s="83">
        <f t="shared" si="16"/>
        <v>387.50096638891506</v>
      </c>
      <c r="P44" s="83">
        <f t="shared" si="17"/>
        <v>175.22122287550661</v>
      </c>
      <c r="Q44" s="83">
        <f t="shared" si="18"/>
        <v>385.004217391157</v>
      </c>
      <c r="R44" s="83">
        <f t="shared" si="19"/>
        <v>174.09223623922227</v>
      </c>
      <c r="S44" s="83">
        <f t="shared" si="20"/>
        <v>394.08353203487133</v>
      </c>
      <c r="T44" s="83">
        <f t="shared" si="21"/>
        <v>178.19774500625439</v>
      </c>
      <c r="AD44" s="101">
        <v>646668853.51391304</v>
      </c>
      <c r="AE44" s="101">
        <v>668792560.48640311</v>
      </c>
      <c r="AF44" s="101">
        <f t="shared" ref="AF44:AG47" si="27">AE44</f>
        <v>668792560.48640311</v>
      </c>
      <c r="AG44" s="101">
        <f t="shared" si="27"/>
        <v>668792560.48640311</v>
      </c>
    </row>
    <row r="45" spans="2:39" ht="15" customHeight="1">
      <c r="B45" s="39" t="s">
        <v>206</v>
      </c>
      <c r="C45" s="83">
        <f t="shared" si="25"/>
        <v>211.881659375</v>
      </c>
      <c r="D45" s="83">
        <f t="shared" si="22"/>
        <v>172.54993468750001</v>
      </c>
      <c r="E45" s="83">
        <f t="shared" si="8"/>
        <v>210.40237541031431</v>
      </c>
      <c r="F45" s="83">
        <f t="shared" si="9"/>
        <v>171.33615985755804</v>
      </c>
      <c r="G45" s="83">
        <f t="shared" si="10"/>
        <v>209.04670932042802</v>
      </c>
      <c r="H45" s="83">
        <f t="shared" si="11"/>
        <v>170.23220548709403</v>
      </c>
      <c r="I45" s="83">
        <f t="shared" si="12"/>
        <v>213.97652765336574</v>
      </c>
      <c r="J45" s="83">
        <f t="shared" si="13"/>
        <v>174.24668555327077</v>
      </c>
      <c r="K45" s="391"/>
      <c r="L45" s="39" t="s">
        <v>206</v>
      </c>
      <c r="M45" s="83">
        <f t="shared" si="14"/>
        <v>206.4687646875</v>
      </c>
      <c r="N45" s="83">
        <f t="shared" si="15"/>
        <v>187.58841562500001</v>
      </c>
      <c r="O45" s="83">
        <f t="shared" si="16"/>
        <v>205.03282232359066</v>
      </c>
      <c r="P45" s="83">
        <f t="shared" si="17"/>
        <v>186.24741369379569</v>
      </c>
      <c r="Q45" s="83">
        <f t="shared" si="18"/>
        <v>203.71175337655183</v>
      </c>
      <c r="R45" s="83">
        <f t="shared" si="19"/>
        <v>185.04738302597974</v>
      </c>
      <c r="S45" s="83">
        <f t="shared" si="20"/>
        <v>208.51576076655226</v>
      </c>
      <c r="T45" s="83">
        <f t="shared" si="21"/>
        <v>189.41124019583989</v>
      </c>
      <c r="AD45" s="101">
        <v>979822577.69085789</v>
      </c>
      <c r="AE45" s="101">
        <v>1007232072.700897</v>
      </c>
      <c r="AF45" s="101">
        <f t="shared" si="27"/>
        <v>1007232072.700897</v>
      </c>
      <c r="AG45" s="101">
        <f t="shared" si="27"/>
        <v>1007232072.700897</v>
      </c>
    </row>
    <row r="46" spans="2:39" ht="15.5">
      <c r="B46" s="39" t="s">
        <v>207</v>
      </c>
      <c r="C46" s="83">
        <f t="shared" si="25"/>
        <v>159.59091343750001</v>
      </c>
      <c r="D46" s="83">
        <f t="shared" si="22"/>
        <v>130.79772</v>
      </c>
      <c r="E46" s="83">
        <f t="shared" si="8"/>
        <v>158.46021383979107</v>
      </c>
      <c r="F46" s="83">
        <f t="shared" si="9"/>
        <v>129.85988896258064</v>
      </c>
      <c r="G46" s="83">
        <f t="shared" si="10"/>
        <v>157.43922185678801</v>
      </c>
      <c r="H46" s="83">
        <f t="shared" si="11"/>
        <v>129.02317479735484</v>
      </c>
      <c r="I46" s="83">
        <f t="shared" si="12"/>
        <v>161.15201295862428</v>
      </c>
      <c r="J46" s="83">
        <f t="shared" si="13"/>
        <v>132.06584796144116</v>
      </c>
      <c r="K46" s="391"/>
      <c r="L46" s="39" t="s">
        <v>207</v>
      </c>
      <c r="M46" s="83">
        <f t="shared" si="14"/>
        <v>152.32515999999998</v>
      </c>
      <c r="N46" s="83">
        <f t="shared" si="15"/>
        <v>144.63981000000001</v>
      </c>
      <c r="O46" s="83">
        <f t="shared" si="16"/>
        <v>151.23547802828918</v>
      </c>
      <c r="P46" s="83">
        <f t="shared" si="17"/>
        <v>143.6027299724243</v>
      </c>
      <c r="Q46" s="83">
        <f t="shared" si="18"/>
        <v>150.26103651473275</v>
      </c>
      <c r="R46" s="83">
        <f t="shared" si="19"/>
        <v>142.6774678357252</v>
      </c>
      <c r="S46" s="83">
        <f t="shared" si="20"/>
        <v>153.80454894286245</v>
      </c>
      <c r="T46" s="83">
        <f t="shared" si="21"/>
        <v>146.04214168742192</v>
      </c>
      <c r="AD46" s="101">
        <v>606862414.99579382</v>
      </c>
      <c r="AE46" s="101">
        <v>640286695.65929103</v>
      </c>
      <c r="AF46" s="101">
        <f t="shared" si="27"/>
        <v>640286695.65929103</v>
      </c>
      <c r="AG46" s="101">
        <f t="shared" si="27"/>
        <v>640286695.65929103</v>
      </c>
      <c r="AJ46" s="19"/>
    </row>
    <row r="47" spans="2:39" ht="15.5">
      <c r="B47" s="39" t="s">
        <v>208</v>
      </c>
      <c r="C47" s="83">
        <f>IF(I31&lt;Q31,C$22*I31+C$23*(Q31-I31),C31*Q31)</f>
        <v>78.418522812500001</v>
      </c>
      <c r="D47" s="83">
        <f t="shared" si="22"/>
        <v>69.461212500000002</v>
      </c>
      <c r="E47" s="83">
        <f t="shared" si="8"/>
        <v>77.859012211370867</v>
      </c>
      <c r="F47" s="83">
        <f t="shared" si="9"/>
        <v>68.963169560266181</v>
      </c>
      <c r="G47" s="83">
        <f t="shared" si="10"/>
        <v>77.357350467100346</v>
      </c>
      <c r="H47" s="83">
        <f t="shared" si="11"/>
        <v>68.518825572981768</v>
      </c>
      <c r="I47" s="83">
        <f t="shared" si="12"/>
        <v>79.181620678097303</v>
      </c>
      <c r="J47" s="83">
        <f t="shared" si="13"/>
        <v>70.134662356823625</v>
      </c>
      <c r="K47" s="391"/>
      <c r="L47" s="39" t="s">
        <v>208</v>
      </c>
      <c r="M47" s="83">
        <f t="shared" si="14"/>
        <v>81.14674500000001</v>
      </c>
      <c r="N47" s="83">
        <f t="shared" si="15"/>
        <v>69.260602500000005</v>
      </c>
      <c r="O47" s="83">
        <f t="shared" si="16"/>
        <v>80.564915775097958</v>
      </c>
      <c r="P47" s="83">
        <f t="shared" si="17"/>
        <v>68.763997951427868</v>
      </c>
      <c r="Q47" s="83">
        <f t="shared" si="18"/>
        <v>80.045819333635009</v>
      </c>
      <c r="R47" s="83">
        <f t="shared" si="19"/>
        <v>68.320937268077842</v>
      </c>
      <c r="S47" s="83">
        <f t="shared" si="20"/>
        <v>81.933490031292877</v>
      </c>
      <c r="T47" s="83">
        <f t="shared" si="21"/>
        <v>69.932107375287671</v>
      </c>
      <c r="AD47" s="101">
        <v>990090904.07270885</v>
      </c>
      <c r="AE47" s="101">
        <v>800817210.26516509</v>
      </c>
      <c r="AF47" s="101">
        <f t="shared" si="27"/>
        <v>800817210.26516509</v>
      </c>
      <c r="AG47" s="101">
        <f t="shared" si="27"/>
        <v>800817210.26516509</v>
      </c>
      <c r="AM47" s="28"/>
    </row>
    <row r="48" spans="2:39" s="28" customFormat="1">
      <c r="B48" s="39" t="s">
        <v>198</v>
      </c>
      <c r="C48" s="107">
        <f t="shared" ref="C48:J48" si="28">SUMPRODUCT(C38:C47,$U$22:$U$31)</f>
        <v>310.72422873551085</v>
      </c>
      <c r="D48" s="107">
        <f t="shared" si="28"/>
        <v>168.5935257919343</v>
      </c>
      <c r="E48" s="107">
        <f t="shared" si="28"/>
        <v>308.55082320189081</v>
      </c>
      <c r="F48" s="107">
        <f t="shared" si="28"/>
        <v>167.40454839110461</v>
      </c>
      <c r="G48" s="107">
        <f t="shared" si="28"/>
        <v>306.56276633130852</v>
      </c>
      <c r="H48" s="107">
        <f t="shared" si="28"/>
        <v>166.32592620775722</v>
      </c>
      <c r="I48" s="107">
        <f t="shared" si="28"/>
        <v>313.79224509502183</v>
      </c>
      <c r="J48" s="107">
        <f t="shared" si="28"/>
        <v>170.24828692286903</v>
      </c>
      <c r="L48" s="39" t="s">
        <v>198</v>
      </c>
      <c r="M48" s="107">
        <f t="shared" ref="M48:T48" si="29">SUMPRODUCT(M38:M47,$AC$22:$AC$31)</f>
        <v>278.99742962482929</v>
      </c>
      <c r="N48" s="107">
        <f t="shared" si="29"/>
        <v>196.26548295910993</v>
      </c>
      <c r="O48" s="107">
        <f t="shared" si="29"/>
        <v>277.03127146498446</v>
      </c>
      <c r="P48" s="107">
        <f t="shared" si="29"/>
        <v>194.85849537048674</v>
      </c>
      <c r="Q48" s="107">
        <f t="shared" si="29"/>
        <v>275.24630159555795</v>
      </c>
      <c r="R48" s="107">
        <f t="shared" si="29"/>
        <v>193.60298171963146</v>
      </c>
      <c r="S48" s="107">
        <f t="shared" si="29"/>
        <v>281.73726367809996</v>
      </c>
      <c r="T48" s="107">
        <f t="shared" si="29"/>
        <v>198.1686002442928</v>
      </c>
      <c r="AD48" s="468" t="s">
        <v>465</v>
      </c>
      <c r="AE48" s="468"/>
      <c r="AF48" s="468"/>
      <c r="AG48" s="468"/>
    </row>
    <row r="49" spans="2:33">
      <c r="B49" s="20"/>
      <c r="C49" s="83"/>
      <c r="D49" s="83"/>
      <c r="E49" s="108"/>
      <c r="F49" s="140"/>
      <c r="G49" s="392"/>
      <c r="H49" s="141"/>
      <c r="I49" s="141"/>
      <c r="J49" s="141"/>
      <c r="L49" s="20"/>
      <c r="M49" s="83"/>
      <c r="N49" s="83"/>
      <c r="O49" s="108"/>
      <c r="P49" s="140"/>
      <c r="Q49" s="392"/>
      <c r="R49" s="141"/>
      <c r="S49" s="141"/>
      <c r="T49" s="141"/>
      <c r="W49" s="39" t="s">
        <v>214</v>
      </c>
      <c r="Y49" s="39">
        <f>Y38</f>
        <v>2025</v>
      </c>
      <c r="Z49" s="39">
        <f>Z38</f>
        <v>2026</v>
      </c>
      <c r="AA49" s="39">
        <f>AA38</f>
        <v>2027</v>
      </c>
      <c r="AB49" s="39">
        <f>AB38</f>
        <v>2028</v>
      </c>
      <c r="AD49" s="365">
        <v>2025</v>
      </c>
      <c r="AE49" s="365">
        <f>AD49+1</f>
        <v>2026</v>
      </c>
      <c r="AF49" s="365">
        <f>AE49+1</f>
        <v>2027</v>
      </c>
      <c r="AG49" s="365">
        <f>AF49+1</f>
        <v>2028</v>
      </c>
    </row>
    <row r="50" spans="2:33" ht="15.5">
      <c r="B50" s="20"/>
      <c r="C50" s="83"/>
      <c r="D50" s="83"/>
      <c r="E50" s="108"/>
      <c r="F50" s="83"/>
      <c r="G50" s="126"/>
      <c r="H50" s="141"/>
      <c r="I50" s="141"/>
      <c r="J50" s="141"/>
      <c r="L50" s="20"/>
      <c r="M50" s="83"/>
      <c r="N50" s="83"/>
      <c r="O50" s="108"/>
      <c r="P50" s="83"/>
      <c r="Q50" s="126"/>
      <c r="R50" s="141"/>
      <c r="S50" s="141"/>
      <c r="T50" s="141"/>
      <c r="W50" s="39" t="s">
        <v>28</v>
      </c>
      <c r="X50" s="39" t="s">
        <v>147</v>
      </c>
      <c r="Y50" s="101">
        <f>SUM(AD50,AD55)</f>
        <v>917088578.44337201</v>
      </c>
      <c r="Z50" s="101">
        <f>SUM(AE50,AE55)</f>
        <v>910964982.79669785</v>
      </c>
      <c r="AA50" s="101">
        <f t="shared" ref="AA50:AB53" si="30">$Z50</f>
        <v>910964982.79669785</v>
      </c>
      <c r="AB50" s="101">
        <f t="shared" si="30"/>
        <v>910964982.79669785</v>
      </c>
      <c r="AD50" s="101">
        <v>704143500.40224397</v>
      </c>
      <c r="AE50" s="101">
        <v>659447431.55494094</v>
      </c>
      <c r="AF50" s="101">
        <f t="shared" ref="AF50:AG53" si="31">AE50</f>
        <v>659447431.55494094</v>
      </c>
      <c r="AG50" s="101">
        <f t="shared" si="31"/>
        <v>659447431.55494094</v>
      </c>
    </row>
    <row r="51" spans="2:33" ht="15.5">
      <c r="B51" s="20"/>
      <c r="C51" s="468" t="s">
        <v>244</v>
      </c>
      <c r="D51" s="468"/>
      <c r="E51" s="468"/>
      <c r="F51" s="468"/>
      <c r="G51" s="468"/>
      <c r="H51" s="468"/>
      <c r="I51" s="468"/>
      <c r="J51" s="468"/>
      <c r="L51" s="20"/>
      <c r="M51" s="468" t="s">
        <v>250</v>
      </c>
      <c r="N51" s="468"/>
      <c r="O51" s="468"/>
      <c r="P51" s="468"/>
      <c r="Q51" s="468"/>
      <c r="R51" s="468"/>
      <c r="S51" s="468"/>
      <c r="T51" s="468"/>
      <c r="W51" s="39" t="s">
        <v>28</v>
      </c>
      <c r="X51" s="39" t="s">
        <v>148</v>
      </c>
      <c r="Y51" s="101">
        <f t="shared" ref="Y51:Z53" si="32">SUM(AD51,AD56)</f>
        <v>1518299194.662082</v>
      </c>
      <c r="Z51" s="101">
        <f t="shared" si="32"/>
        <v>1698591264.0983658</v>
      </c>
      <c r="AA51" s="101">
        <f t="shared" si="30"/>
        <v>1698591264.0983658</v>
      </c>
      <c r="AB51" s="101">
        <f t="shared" si="30"/>
        <v>1698591264.0983658</v>
      </c>
      <c r="AD51" s="101">
        <v>1205105238.640496</v>
      </c>
      <c r="AE51" s="101">
        <v>1237511192.5295119</v>
      </c>
      <c r="AF51" s="101">
        <f t="shared" si="31"/>
        <v>1237511192.5295119</v>
      </c>
      <c r="AG51" s="101">
        <f t="shared" si="31"/>
        <v>1237511192.5295119</v>
      </c>
    </row>
    <row r="52" spans="2:33" ht="15.5">
      <c r="B52" s="20"/>
      <c r="C52" s="469">
        <f>$C$27</f>
        <v>45658</v>
      </c>
      <c r="D52" s="470"/>
      <c r="E52" s="469">
        <f>$D$27</f>
        <v>45901</v>
      </c>
      <c r="F52" s="470"/>
      <c r="G52" s="471" t="str">
        <f>$E$21</f>
        <v>Authorized</v>
      </c>
      <c r="H52" s="471"/>
      <c r="I52" s="472" t="str">
        <f>$F$21</f>
        <v>w/Pending</v>
      </c>
      <c r="J52" s="471"/>
      <c r="L52" s="20"/>
      <c r="M52" s="469">
        <f>$C$27</f>
        <v>45658</v>
      </c>
      <c r="N52" s="470"/>
      <c r="O52" s="469">
        <f>$D$27</f>
        <v>45901</v>
      </c>
      <c r="P52" s="470"/>
      <c r="Q52" s="471" t="str">
        <f>$E$21</f>
        <v>Authorized</v>
      </c>
      <c r="R52" s="471"/>
      <c r="S52" s="472" t="str">
        <f>$F$21</f>
        <v>w/Pending</v>
      </c>
      <c r="T52" s="471"/>
      <c r="W52" s="39" t="s">
        <v>29</v>
      </c>
      <c r="X52" s="39" t="s">
        <v>147</v>
      </c>
      <c r="Y52" s="101">
        <f t="shared" si="32"/>
        <v>561993596.33662593</v>
      </c>
      <c r="Z52" s="101">
        <f t="shared" si="32"/>
        <v>708171358.60665298</v>
      </c>
      <c r="AA52" s="101">
        <f t="shared" si="30"/>
        <v>708171358.60665298</v>
      </c>
      <c r="AB52" s="101">
        <f t="shared" si="30"/>
        <v>708171358.60665298</v>
      </c>
      <c r="AD52" s="101">
        <v>404166203.44757098</v>
      </c>
      <c r="AE52" s="101">
        <v>481804702.37536198</v>
      </c>
      <c r="AF52" s="101">
        <f t="shared" si="31"/>
        <v>481804702.37536198</v>
      </c>
      <c r="AG52" s="101">
        <f t="shared" si="31"/>
        <v>481804702.37536198</v>
      </c>
    </row>
    <row r="53" spans="2:33" ht="15.5">
      <c r="B53" s="20"/>
      <c r="C53" s="83" t="s">
        <v>147</v>
      </c>
      <c r="D53" s="83" t="s">
        <v>148</v>
      </c>
      <c r="E53" s="83" t="s">
        <v>147</v>
      </c>
      <c r="F53" s="83" t="s">
        <v>148</v>
      </c>
      <c r="G53" s="83" t="s">
        <v>147</v>
      </c>
      <c r="H53" s="83" t="s">
        <v>148</v>
      </c>
      <c r="I53" s="83" t="s">
        <v>147</v>
      </c>
      <c r="J53" s="83" t="s">
        <v>148</v>
      </c>
      <c r="L53" s="20"/>
      <c r="M53" s="83" t="s">
        <v>147</v>
      </c>
      <c r="N53" s="83" t="s">
        <v>148</v>
      </c>
      <c r="O53" s="83" t="s">
        <v>147</v>
      </c>
      <c r="P53" s="83" t="s">
        <v>148</v>
      </c>
      <c r="Q53" s="83" t="s">
        <v>147</v>
      </c>
      <c r="R53" s="83" t="s">
        <v>148</v>
      </c>
      <c r="S53" s="83" t="s">
        <v>147</v>
      </c>
      <c r="T53" s="83" t="s">
        <v>148</v>
      </c>
      <c r="W53" s="39" t="s">
        <v>29</v>
      </c>
      <c r="X53" s="39" t="s">
        <v>148</v>
      </c>
      <c r="Y53" s="101">
        <f t="shared" si="32"/>
        <v>760624208.97833705</v>
      </c>
      <c r="Z53" s="101">
        <f t="shared" si="32"/>
        <v>766750452.53234386</v>
      </c>
      <c r="AA53" s="101">
        <f t="shared" si="30"/>
        <v>766750452.53234386</v>
      </c>
      <c r="AB53" s="101">
        <f t="shared" si="30"/>
        <v>766750452.53234386</v>
      </c>
      <c r="AD53" s="101">
        <v>476226374.32654494</v>
      </c>
      <c r="AE53" s="101">
        <v>461109260.99737298</v>
      </c>
      <c r="AF53" s="101">
        <f t="shared" si="31"/>
        <v>461109260.99737298</v>
      </c>
      <c r="AG53" s="101">
        <f t="shared" si="31"/>
        <v>461109260.99737298</v>
      </c>
    </row>
    <row r="54" spans="2:33">
      <c r="B54" s="39" t="s">
        <v>199</v>
      </c>
      <c r="C54" s="83">
        <f t="shared" ref="C54:C63" si="33">IF(I22&lt;S22,$C$28*I22+$C$29*(S22-I22),$C$28*S22)</f>
        <v>173.77646375</v>
      </c>
      <c r="D54" s="83">
        <f t="shared" ref="D54:D63" si="34">IF(J22&lt;T22,$C$28*J22+$C$29*(T22-J22),$C$28*T22)</f>
        <v>139.95858749999999</v>
      </c>
      <c r="E54" s="83">
        <f t="shared" ref="E54:E63" si="35">IF(I22&lt;S22,$D$28*I22+$D$29*(S22-I22),$D$28*S22)</f>
        <v>173.14050596198894</v>
      </c>
      <c r="F54" s="83">
        <f t="shared" ref="F54:F63" si="36">IF(J22&lt;T22,$D$28*J22+$D$29*(T22-J22),$D$28*T22)</f>
        <v>139.44669978339488</v>
      </c>
      <c r="G54" s="83">
        <f t="shared" ref="G54:G63" si="37">IF(I22&lt;S22,$E$28*I22+$E$29*(S22-I22),$E$28*S22)</f>
        <v>172.02492581580151</v>
      </c>
      <c r="H54" s="83">
        <f t="shared" ref="H54:H63" si="38">IF(J22&lt;T22,$E$28*J22+$E$29*(T22-J22),$E$28*T22)</f>
        <v>138.54821581013059</v>
      </c>
      <c r="I54" s="83">
        <f t="shared" ref="I54:I63" si="39">IF(I22&lt;S22,$F$28*I22+$F$29*(S22-I22),$F$28*S22)</f>
        <v>176.08168248882376</v>
      </c>
      <c r="J54" s="83">
        <f t="shared" ref="J54:J63" si="40">IF(J22&lt;T22,$F$28*J22+$F$29*(T22-J22),$F$28*T22)</f>
        <v>141.81551208337476</v>
      </c>
      <c r="L54" s="39" t="s">
        <v>199</v>
      </c>
      <c r="M54" s="83">
        <f t="shared" ref="M54:M63" si="41">IF(M22&lt;AA22,$C$28*M22+$C$29*(AA22-M22),$C$28*AA22)</f>
        <v>192.46775550000001</v>
      </c>
      <c r="N54" s="83">
        <f t="shared" ref="N54:N63" si="42">IF(N22&lt;AB22,$C$28*N22+$C$29*(AB22-N22),$C$28*AB22)</f>
        <v>175.94462999999999</v>
      </c>
      <c r="O54" s="83">
        <f t="shared" ref="O54:O63" si="43">IF(M22&lt;AA22,$D$28*M22+$D$29*(AA22-M22),$D$28*AA22)</f>
        <v>191.76399713612813</v>
      </c>
      <c r="P54" s="83">
        <f t="shared" ref="P54:P63" si="44">IF(N22&lt;AB22,$D$28*N22+$D$29*(AB22-N22),$D$28*AB22)</f>
        <v>175.32477129189982</v>
      </c>
      <c r="Q54" s="83">
        <f t="shared" ref="Q54:Q63" si="45">IF(M22&lt;AA22,$E$28*M22+$E$29*(AA22-M22),$E$28*AA22)</f>
        <v>190.52842197842602</v>
      </c>
      <c r="R54" s="83">
        <f t="shared" ref="R54:R63" si="46">IF(N22&lt;AB22,$E$28*N22+$E$29*(AB22-N22),$E$28*AB22)</f>
        <v>174.19511747171845</v>
      </c>
      <c r="S54" s="83">
        <f t="shared" ref="S54:S63" si="47">IF(M22&lt;AA22,$F$28*M22+$F$29*(AA22-M22),$F$28*AA22)</f>
        <v>195.02153507582102</v>
      </c>
      <c r="T54" s="83">
        <f t="shared" ref="T54:T63" si="48">IF(N22&lt;AB22,$F$28*N22+$F$29*(AB22-N22),$F$28*AB22)</f>
        <v>178.30305242277296</v>
      </c>
      <c r="AD54" s="468" t="s">
        <v>466</v>
      </c>
      <c r="AE54" s="468"/>
      <c r="AF54" s="468"/>
      <c r="AG54" s="468"/>
    </row>
    <row r="55" spans="2:33" ht="15.5">
      <c r="B55" s="39" t="s">
        <v>200</v>
      </c>
      <c r="C55" s="83">
        <f t="shared" si="33"/>
        <v>90.149311999999995</v>
      </c>
      <c r="D55" s="83">
        <f t="shared" si="34"/>
        <v>108.3646825</v>
      </c>
      <c r="E55" s="83">
        <f t="shared" si="35"/>
        <v>89.826196293058956</v>
      </c>
      <c r="F55" s="83">
        <f t="shared" si="36"/>
        <v>107.97438248249573</v>
      </c>
      <c r="G55" s="83">
        <f t="shared" si="37"/>
        <v>89.247427502732847</v>
      </c>
      <c r="H55" s="83">
        <f t="shared" si="38"/>
        <v>107.2786811691314</v>
      </c>
      <c r="I55" s="83">
        <f t="shared" si="39"/>
        <v>91.352093994258951</v>
      </c>
      <c r="J55" s="83">
        <f t="shared" si="40"/>
        <v>109.80856748439656</v>
      </c>
      <c r="L55" s="39" t="s">
        <v>200</v>
      </c>
      <c r="M55" s="83">
        <f t="shared" si="41"/>
        <v>126.84016625000001</v>
      </c>
      <c r="N55" s="83">
        <f t="shared" si="42"/>
        <v>148.00084375</v>
      </c>
      <c r="O55" s="83">
        <f t="shared" si="43"/>
        <v>126.37268769849332</v>
      </c>
      <c r="P55" s="83">
        <f t="shared" si="44"/>
        <v>147.47943191830834</v>
      </c>
      <c r="Q55" s="83">
        <f t="shared" si="45"/>
        <v>125.55844229339017</v>
      </c>
      <c r="R55" s="83">
        <f t="shared" si="46"/>
        <v>146.52919138790821</v>
      </c>
      <c r="S55" s="83">
        <f t="shared" si="47"/>
        <v>128.51940882898046</v>
      </c>
      <c r="T55" s="83">
        <f t="shared" si="48"/>
        <v>149.98469803693854</v>
      </c>
      <c r="AD55" s="101">
        <v>212945078.04112801</v>
      </c>
      <c r="AE55" s="101">
        <v>251517551.24175698</v>
      </c>
      <c r="AF55" s="101">
        <f t="shared" ref="AF55:AG58" si="49">AE55</f>
        <v>251517551.24175698</v>
      </c>
      <c r="AG55" s="101">
        <f t="shared" si="49"/>
        <v>251517551.24175698</v>
      </c>
    </row>
    <row r="56" spans="2:33" ht="15.5">
      <c r="B56" s="39" t="s">
        <v>201</v>
      </c>
      <c r="C56" s="83">
        <f t="shared" si="33"/>
        <v>255.31155924999999</v>
      </c>
      <c r="D56" s="83">
        <f t="shared" si="34"/>
        <v>118.78918975000001</v>
      </c>
      <c r="E56" s="83">
        <f t="shared" si="35"/>
        <v>254.37202585963692</v>
      </c>
      <c r="F56" s="83">
        <f t="shared" si="36"/>
        <v>118.35731313784061</v>
      </c>
      <c r="G56" s="83">
        <f t="shared" si="37"/>
        <v>252.73305420353711</v>
      </c>
      <c r="H56" s="83">
        <f t="shared" si="38"/>
        <v>117.59471245142669</v>
      </c>
      <c r="I56" s="83">
        <f t="shared" si="39"/>
        <v>258.69310039609479</v>
      </c>
      <c r="J56" s="83">
        <f t="shared" si="40"/>
        <v>120.36787530667635</v>
      </c>
      <c r="L56" s="39" t="s">
        <v>201</v>
      </c>
      <c r="M56" s="83">
        <f t="shared" si="41"/>
        <v>247.24264725</v>
      </c>
      <c r="N56" s="83">
        <f t="shared" si="42"/>
        <v>149.96396375</v>
      </c>
      <c r="O56" s="83">
        <f t="shared" si="43"/>
        <v>246.33951400046209</v>
      </c>
      <c r="P56" s="83">
        <f t="shared" si="44"/>
        <v>149.43563578209523</v>
      </c>
      <c r="Q56" s="83">
        <f t="shared" si="45"/>
        <v>244.75229748221585</v>
      </c>
      <c r="R56" s="83">
        <f t="shared" si="46"/>
        <v>148.47279102497063</v>
      </c>
      <c r="S56" s="83">
        <f t="shared" si="47"/>
        <v>250.52413846014292</v>
      </c>
      <c r="T56" s="83">
        <f t="shared" si="48"/>
        <v>151.9741323735943</v>
      </c>
      <c r="AD56" s="101">
        <v>313193956.021586</v>
      </c>
      <c r="AE56" s="101">
        <v>461080071.56885397</v>
      </c>
      <c r="AF56" s="101">
        <f t="shared" si="49"/>
        <v>461080071.56885397</v>
      </c>
      <c r="AG56" s="101">
        <f t="shared" si="49"/>
        <v>461080071.56885397</v>
      </c>
    </row>
    <row r="57" spans="2:33" ht="15.5">
      <c r="B57" s="39" t="s">
        <v>202</v>
      </c>
      <c r="C57" s="83">
        <f t="shared" si="33"/>
        <v>216.68095499999998</v>
      </c>
      <c r="D57" s="83">
        <f t="shared" si="34"/>
        <v>118.48987675000001</v>
      </c>
      <c r="E57" s="83">
        <f t="shared" si="35"/>
        <v>215.88352712638994</v>
      </c>
      <c r="F57" s="83">
        <f t="shared" si="36"/>
        <v>118.05866591188757</v>
      </c>
      <c r="G57" s="83">
        <f t="shared" si="37"/>
        <v>214.49254484056948</v>
      </c>
      <c r="H57" s="83">
        <f t="shared" si="38"/>
        <v>117.29798947141563</v>
      </c>
      <c r="I57" s="83">
        <f t="shared" si="39"/>
        <v>219.55078892042582</v>
      </c>
      <c r="J57" s="83">
        <f t="shared" si="40"/>
        <v>120.06415489345326</v>
      </c>
      <c r="L57" s="39" t="s">
        <v>202</v>
      </c>
      <c r="M57" s="83">
        <f t="shared" si="41"/>
        <v>203.751487</v>
      </c>
      <c r="N57" s="83">
        <f t="shared" si="42"/>
        <v>136.95829375</v>
      </c>
      <c r="O57" s="83">
        <f t="shared" si="43"/>
        <v>203.01062324983639</v>
      </c>
      <c r="P57" s="83">
        <f t="shared" si="44"/>
        <v>136.47578518450712</v>
      </c>
      <c r="Q57" s="83">
        <f t="shared" si="45"/>
        <v>201.70258375033089</v>
      </c>
      <c r="R57" s="83">
        <f t="shared" si="46"/>
        <v>135.59644342943216</v>
      </c>
      <c r="S57" s="83">
        <f t="shared" si="47"/>
        <v>206.45921014452648</v>
      </c>
      <c r="T57" s="83">
        <f t="shared" si="48"/>
        <v>138.79412989324987</v>
      </c>
      <c r="AD57" s="101">
        <v>157827392.88905492</v>
      </c>
      <c r="AE57" s="101">
        <v>226366656.23129103</v>
      </c>
      <c r="AF57" s="101">
        <f t="shared" si="49"/>
        <v>226366656.23129103</v>
      </c>
      <c r="AG57" s="101">
        <f t="shared" si="49"/>
        <v>226366656.23129103</v>
      </c>
    </row>
    <row r="58" spans="2:33" ht="15.5">
      <c r="B58" s="39" t="s">
        <v>203</v>
      </c>
      <c r="C58" s="83">
        <f t="shared" si="33"/>
        <v>69.841691249999997</v>
      </c>
      <c r="D58" s="83">
        <f t="shared" si="34"/>
        <v>79.314549999999997</v>
      </c>
      <c r="E58" s="83">
        <f t="shared" si="35"/>
        <v>69.588707540381648</v>
      </c>
      <c r="F58" s="83">
        <f t="shared" si="36"/>
        <v>79.027541018280246</v>
      </c>
      <c r="G58" s="83">
        <f t="shared" si="37"/>
        <v>69.140333082310363</v>
      </c>
      <c r="H58" s="83">
        <f t="shared" si="38"/>
        <v>78.518350200844594</v>
      </c>
      <c r="I58" s="83">
        <f t="shared" si="39"/>
        <v>70.770826490614326</v>
      </c>
      <c r="J58" s="83">
        <f t="shared" si="40"/>
        <v>80.369999545388112</v>
      </c>
      <c r="L58" s="39" t="s">
        <v>203</v>
      </c>
      <c r="M58" s="83">
        <f t="shared" si="41"/>
        <v>69.572367749999998</v>
      </c>
      <c r="N58" s="83">
        <f t="shared" si="42"/>
        <v>82.941819999999993</v>
      </c>
      <c r="O58" s="83">
        <f t="shared" si="43"/>
        <v>69.321878874611485</v>
      </c>
      <c r="P58" s="83">
        <f t="shared" si="44"/>
        <v>82.649613244996019</v>
      </c>
      <c r="Q58" s="83">
        <f t="shared" si="45"/>
        <v>68.875223648907664</v>
      </c>
      <c r="R58" s="83">
        <f t="shared" si="46"/>
        <v>82.117084665886807</v>
      </c>
      <c r="S58" s="83">
        <f t="shared" si="47"/>
        <v>70.499465146577535</v>
      </c>
      <c r="T58" s="83">
        <f t="shared" si="48"/>
        <v>84.053600723706083</v>
      </c>
      <c r="AD58" s="101">
        <v>284397834.65179217</v>
      </c>
      <c r="AE58" s="101">
        <v>305641191.53497094</v>
      </c>
      <c r="AF58" s="101">
        <f t="shared" si="49"/>
        <v>305641191.53497094</v>
      </c>
      <c r="AG58" s="101">
        <f t="shared" si="49"/>
        <v>305641191.53497094</v>
      </c>
    </row>
    <row r="59" spans="2:33">
      <c r="B59" s="39" t="s">
        <v>204</v>
      </c>
      <c r="C59" s="83">
        <f t="shared" si="33"/>
        <v>76.653760250000005</v>
      </c>
      <c r="D59" s="83">
        <f t="shared" si="34"/>
        <v>92.390927750000003</v>
      </c>
      <c r="E59" s="83">
        <f t="shared" si="35"/>
        <v>76.376018959295777</v>
      </c>
      <c r="F59" s="83">
        <f t="shared" si="36"/>
        <v>92.055053281338175</v>
      </c>
      <c r="G59" s="83">
        <f t="shared" si="37"/>
        <v>75.883912447752309</v>
      </c>
      <c r="H59" s="83">
        <f t="shared" si="38"/>
        <v>91.461923503726041</v>
      </c>
      <c r="I59" s="83">
        <f t="shared" si="39"/>
        <v>77.673435487727815</v>
      </c>
      <c r="J59" s="83">
        <f t="shared" si="40"/>
        <v>93.618813075057616</v>
      </c>
      <c r="L59" s="39" t="s">
        <v>204</v>
      </c>
      <c r="M59" s="83">
        <f t="shared" si="41"/>
        <v>105.13221850000001</v>
      </c>
      <c r="N59" s="83">
        <f t="shared" si="42"/>
        <v>137.26503124999999</v>
      </c>
      <c r="O59" s="83">
        <f t="shared" si="43"/>
        <v>104.75290011737805</v>
      </c>
      <c r="P59" s="83">
        <f t="shared" si="44"/>
        <v>136.78144203822382</v>
      </c>
      <c r="Q59" s="83">
        <f t="shared" si="45"/>
        <v>104.0779554822263</v>
      </c>
      <c r="R59" s="83">
        <f t="shared" si="46"/>
        <v>135.90013087272317</v>
      </c>
      <c r="S59" s="83">
        <f t="shared" si="47"/>
        <v>106.53236107731507</v>
      </c>
      <c r="T59" s="83">
        <f t="shared" si="48"/>
        <v>139.10497900835233</v>
      </c>
    </row>
    <row r="60" spans="2:33">
      <c r="B60" s="39" t="s">
        <v>205</v>
      </c>
      <c r="C60" s="83">
        <f t="shared" si="33"/>
        <v>276.5827855</v>
      </c>
      <c r="D60" s="83">
        <f t="shared" si="34"/>
        <v>111.74366824999998</v>
      </c>
      <c r="E60" s="83">
        <f t="shared" si="35"/>
        <v>275.56503665544199</v>
      </c>
      <c r="F60" s="83">
        <f t="shared" si="36"/>
        <v>111.33744765020062</v>
      </c>
      <c r="G60" s="83">
        <f t="shared" si="37"/>
        <v>273.78951404062582</v>
      </c>
      <c r="H60" s="83">
        <f t="shared" si="38"/>
        <v>110.62007741129757</v>
      </c>
      <c r="I60" s="83">
        <f t="shared" si="39"/>
        <v>280.24612160967735</v>
      </c>
      <c r="J60" s="83">
        <f t="shared" si="40"/>
        <v>113.22876179282164</v>
      </c>
      <c r="L60" s="39" t="s">
        <v>205</v>
      </c>
      <c r="M60" s="83">
        <f t="shared" si="41"/>
        <v>275.92456849999996</v>
      </c>
      <c r="N60" s="83">
        <f t="shared" si="42"/>
        <v>118.8301075</v>
      </c>
      <c r="O60" s="83">
        <f t="shared" si="43"/>
        <v>274.91713066708735</v>
      </c>
      <c r="P60" s="83">
        <f t="shared" si="44"/>
        <v>118.41146512985006</v>
      </c>
      <c r="Q60" s="83">
        <f t="shared" si="45"/>
        <v>273.14578264476864</v>
      </c>
      <c r="R60" s="83">
        <f t="shared" si="46"/>
        <v>117.64851553093398</v>
      </c>
      <c r="S60" s="83">
        <f t="shared" si="47"/>
        <v>279.58720949728513</v>
      </c>
      <c r="T60" s="83">
        <f t="shared" si="48"/>
        <v>120.42294719069429</v>
      </c>
    </row>
    <row r="61" spans="2:33">
      <c r="B61" s="39" t="s">
        <v>206</v>
      </c>
      <c r="C61" s="83">
        <f t="shared" si="33"/>
        <v>116.762897</v>
      </c>
      <c r="D61" s="83">
        <f t="shared" si="34"/>
        <v>99.3377555</v>
      </c>
      <c r="E61" s="83">
        <f t="shared" si="35"/>
        <v>116.33736012780651</v>
      </c>
      <c r="F61" s="83">
        <f t="shared" si="36"/>
        <v>98.979035429116678</v>
      </c>
      <c r="G61" s="83">
        <f t="shared" si="37"/>
        <v>115.58777441707207</v>
      </c>
      <c r="H61" s="83">
        <f t="shared" si="38"/>
        <v>98.341293000214762</v>
      </c>
      <c r="I61" s="83">
        <f t="shared" si="39"/>
        <v>118.31360890275785</v>
      </c>
      <c r="J61" s="83">
        <f t="shared" si="40"/>
        <v>100.66041445729614</v>
      </c>
      <c r="L61" s="39" t="s">
        <v>206</v>
      </c>
      <c r="M61" s="83">
        <f t="shared" si="41"/>
        <v>111.66575374999999</v>
      </c>
      <c r="N61" s="83">
        <f t="shared" si="42"/>
        <v>107.6648625</v>
      </c>
      <c r="O61" s="83">
        <f t="shared" si="43"/>
        <v>111.2566732313127</v>
      </c>
      <c r="P61" s="83">
        <f t="shared" si="44"/>
        <v>107.28555565456213</v>
      </c>
      <c r="Q61" s="83">
        <f t="shared" si="45"/>
        <v>110.53982343872308</v>
      </c>
      <c r="R61" s="83">
        <f t="shared" si="46"/>
        <v>106.59429259514152</v>
      </c>
      <c r="S61" s="83">
        <f t="shared" si="47"/>
        <v>113.14661524080127</v>
      </c>
      <c r="T61" s="83">
        <f t="shared" si="48"/>
        <v>109.10803940096463</v>
      </c>
    </row>
    <row r="62" spans="2:33">
      <c r="B62" s="39" t="s">
        <v>207</v>
      </c>
      <c r="C62" s="83">
        <f t="shared" si="33"/>
        <v>141.42810374999999</v>
      </c>
      <c r="D62" s="83">
        <f t="shared" si="34"/>
        <v>138.43516775000001</v>
      </c>
      <c r="E62" s="83">
        <f t="shared" si="35"/>
        <v>140.90934537140788</v>
      </c>
      <c r="F62" s="83">
        <f t="shared" si="36"/>
        <v>137.92938590383608</v>
      </c>
      <c r="G62" s="83">
        <f t="shared" si="37"/>
        <v>140.00143726963117</v>
      </c>
      <c r="H62" s="83">
        <f t="shared" si="38"/>
        <v>137.0406782982113</v>
      </c>
      <c r="I62" s="83">
        <f t="shared" si="39"/>
        <v>143.30300395935859</v>
      </c>
      <c r="J62" s="83">
        <f t="shared" si="40"/>
        <v>140.27242325334092</v>
      </c>
      <c r="L62" s="39" t="s">
        <v>207</v>
      </c>
      <c r="M62" s="83">
        <f t="shared" si="41"/>
        <v>163.71095750000001</v>
      </c>
      <c r="N62" s="83">
        <f t="shared" si="42"/>
        <v>164.59534249999999</v>
      </c>
      <c r="O62" s="83">
        <f t="shared" si="43"/>
        <v>163.11009046502497</v>
      </c>
      <c r="P62" s="83">
        <f t="shared" si="44"/>
        <v>164.01546770438188</v>
      </c>
      <c r="Q62" s="83">
        <f t="shared" si="45"/>
        <v>162.05913836369768</v>
      </c>
      <c r="R62" s="83">
        <f t="shared" si="46"/>
        <v>162.95868206995141</v>
      </c>
      <c r="S62" s="83">
        <f t="shared" si="47"/>
        <v>165.88087807881971</v>
      </c>
      <c r="T62" s="83">
        <f t="shared" si="48"/>
        <v>166.80163516398181</v>
      </c>
    </row>
    <row r="63" spans="2:33">
      <c r="B63" s="39" t="s">
        <v>208</v>
      </c>
      <c r="C63" s="83">
        <f t="shared" si="33"/>
        <v>57.660214750000002</v>
      </c>
      <c r="D63" s="83">
        <f t="shared" si="34"/>
        <v>58.908429499999997</v>
      </c>
      <c r="E63" s="83">
        <f t="shared" si="35"/>
        <v>57.452652540772831</v>
      </c>
      <c r="F63" s="83">
        <f t="shared" si="36"/>
        <v>58.700681717700036</v>
      </c>
      <c r="G63" s="83">
        <f t="shared" si="37"/>
        <v>57.082473199063145</v>
      </c>
      <c r="H63" s="83">
        <f t="shared" si="38"/>
        <v>58.322461065472581</v>
      </c>
      <c r="I63" s="83">
        <f t="shared" si="39"/>
        <v>58.428613608452821</v>
      </c>
      <c r="J63" s="83">
        <f t="shared" si="40"/>
        <v>59.697843336340583</v>
      </c>
      <c r="L63" s="39" t="s">
        <v>208</v>
      </c>
      <c r="M63" s="83">
        <f t="shared" si="41"/>
        <v>94.964786750000002</v>
      </c>
      <c r="N63" s="83">
        <f t="shared" si="42"/>
        <v>110.76291125</v>
      </c>
      <c r="O63" s="83">
        <f t="shared" si="43"/>
        <v>94.615604074184006</v>
      </c>
      <c r="P63" s="83">
        <f t="shared" si="44"/>
        <v>110.37268987710081</v>
      </c>
      <c r="Q63" s="83">
        <f t="shared" si="45"/>
        <v>94.005976137392224</v>
      </c>
      <c r="R63" s="83">
        <f t="shared" si="46"/>
        <v>109.66153577238065</v>
      </c>
      <c r="S63" s="83">
        <f t="shared" si="47"/>
        <v>96.222860517320314</v>
      </c>
      <c r="T63" s="83">
        <f t="shared" si="48"/>
        <v>112.2476154634995</v>
      </c>
    </row>
    <row r="64" spans="2:33">
      <c r="B64" s="39" t="s">
        <v>198</v>
      </c>
      <c r="C64" s="107">
        <f>SUMPRODUCT(C54:C63,$V$22:$V$31)</f>
        <v>237.23970278831496</v>
      </c>
      <c r="D64" s="107">
        <f t="shared" ref="D64:J64" si="50">SUMPRODUCT(D54:D63,$V$22:$V$31)</f>
        <v>116.14651125726594</v>
      </c>
      <c r="E64" s="107">
        <f t="shared" si="50"/>
        <v>236.36698830148626</v>
      </c>
      <c r="F64" s="107">
        <f t="shared" si="50"/>
        <v>115.72414721345307</v>
      </c>
      <c r="G64" s="107">
        <f t="shared" si="50"/>
        <v>234.84402683213983</v>
      </c>
      <c r="H64" s="107">
        <f t="shared" si="50"/>
        <v>114.97851256055364</v>
      </c>
      <c r="I64" s="107">
        <f t="shared" si="50"/>
        <v>240.38220723508226</v>
      </c>
      <c r="J64" s="107">
        <f t="shared" si="50"/>
        <v>117.68997920337986</v>
      </c>
      <c r="L64" s="39" t="s">
        <v>198</v>
      </c>
      <c r="M64" s="107">
        <f>SUMPRODUCT(M54:M63,$AD$22:$AD$31)</f>
        <v>216.87334730134762</v>
      </c>
      <c r="N64" s="107">
        <f t="shared" ref="N64:T64" si="51">SUMPRODUCT(N54:N63,$AD$22:$AD$31)</f>
        <v>144.33129876189452</v>
      </c>
      <c r="O64" s="107">
        <f t="shared" si="51"/>
        <v>216.08191001029553</v>
      </c>
      <c r="P64" s="107">
        <f t="shared" si="51"/>
        <v>143.82281485767439</v>
      </c>
      <c r="Q64" s="107">
        <f t="shared" si="51"/>
        <v>214.68964950245882</v>
      </c>
      <c r="R64" s="107">
        <f t="shared" si="51"/>
        <v>142.89613466846876</v>
      </c>
      <c r="S64" s="107">
        <f t="shared" si="51"/>
        <v>219.7525417787821</v>
      </c>
      <c r="T64" s="107">
        <f t="shared" si="51"/>
        <v>146.26596520387682</v>
      </c>
    </row>
    <row r="65" spans="2:31" ht="15.5">
      <c r="B65" s="20"/>
      <c r="C65" s="83"/>
      <c r="D65" s="83"/>
      <c r="E65" s="108"/>
      <c r="F65" s="83"/>
      <c r="G65" s="392"/>
      <c r="H65" s="141"/>
      <c r="I65" s="141"/>
      <c r="J65" s="141"/>
      <c r="AE65" s="101"/>
    </row>
    <row r="66" spans="2:31">
      <c r="B66" s="20"/>
      <c r="C66" s="83"/>
      <c r="D66" s="83"/>
      <c r="E66" s="108"/>
      <c r="G66" s="126"/>
      <c r="H66" s="141"/>
      <c r="I66" s="141"/>
    </row>
    <row r="67" spans="2:31">
      <c r="B67" s="20"/>
      <c r="C67" s="468" t="s">
        <v>221</v>
      </c>
      <c r="D67" s="468"/>
      <c r="E67" s="468"/>
      <c r="F67" s="468"/>
      <c r="G67" s="468"/>
      <c r="H67" s="468"/>
      <c r="I67" s="468"/>
      <c r="J67" s="468"/>
      <c r="L67" s="20"/>
      <c r="M67" s="468" t="s">
        <v>223</v>
      </c>
      <c r="N67" s="468"/>
      <c r="O67" s="468"/>
      <c r="P67" s="468"/>
      <c r="Q67" s="468"/>
      <c r="R67" s="468"/>
      <c r="S67" s="468"/>
      <c r="T67" s="468"/>
    </row>
    <row r="68" spans="2:31">
      <c r="B68" s="20"/>
      <c r="C68" s="469">
        <f>$C$27</f>
        <v>45658</v>
      </c>
      <c r="D68" s="470"/>
      <c r="E68" s="469">
        <f>$D$27</f>
        <v>45901</v>
      </c>
      <c r="F68" s="470"/>
      <c r="G68" s="471" t="str">
        <f>$E$21</f>
        <v>Authorized</v>
      </c>
      <c r="H68" s="471"/>
      <c r="I68" s="472" t="str">
        <f>$F$21</f>
        <v>w/Pending</v>
      </c>
      <c r="J68" s="471"/>
      <c r="L68" s="20"/>
      <c r="M68" s="469">
        <f>$C$27</f>
        <v>45658</v>
      </c>
      <c r="N68" s="470"/>
      <c r="O68" s="469">
        <f>$D$27</f>
        <v>45901</v>
      </c>
      <c r="P68" s="470"/>
      <c r="Q68" s="471" t="str">
        <f>$E$21</f>
        <v>Authorized</v>
      </c>
      <c r="R68" s="471"/>
      <c r="S68" s="472" t="str">
        <f>$F$21</f>
        <v>w/Pending</v>
      </c>
      <c r="T68" s="471"/>
    </row>
    <row r="69" spans="2:31">
      <c r="B69" s="20"/>
      <c r="C69" s="83" t="s">
        <v>147</v>
      </c>
      <c r="D69" s="83" t="s">
        <v>148</v>
      </c>
      <c r="E69" s="83" t="s">
        <v>147</v>
      </c>
      <c r="F69" s="83" t="s">
        <v>148</v>
      </c>
      <c r="G69" s="83" t="s">
        <v>147</v>
      </c>
      <c r="H69" s="83" t="s">
        <v>148</v>
      </c>
      <c r="I69" s="83" t="s">
        <v>147</v>
      </c>
      <c r="J69" s="83" t="s">
        <v>148</v>
      </c>
      <c r="L69" s="20"/>
      <c r="M69" s="83" t="s">
        <v>147</v>
      </c>
      <c r="N69" s="83" t="s">
        <v>148</v>
      </c>
      <c r="O69" s="83" t="s">
        <v>147</v>
      </c>
      <c r="P69" s="83" t="s">
        <v>148</v>
      </c>
      <c r="Q69" s="83" t="s">
        <v>147</v>
      </c>
      <c r="R69" s="83" t="s">
        <v>148</v>
      </c>
      <c r="S69" s="83" t="s">
        <v>147</v>
      </c>
      <c r="T69" s="83" t="s">
        <v>148</v>
      </c>
    </row>
    <row r="70" spans="2:31" ht="15" customHeight="1">
      <c r="B70" s="39" t="s">
        <v>199</v>
      </c>
      <c r="C70" s="83">
        <f t="shared" ref="C70:C79" si="52">C$22*I22</f>
        <v>164.863805625</v>
      </c>
      <c r="D70" s="83">
        <f t="shared" ref="D70:D79" si="53">C$22*J22</f>
        <v>134.33347125</v>
      </c>
      <c r="E70" s="83">
        <f t="shared" ref="E70:E79" si="54">D$22*I22</f>
        <v>163.6817177884368</v>
      </c>
      <c r="F70" s="83">
        <f t="shared" ref="F70:F79" si="55">D$22*J22</f>
        <v>133.37028856835593</v>
      </c>
      <c r="G70" s="83">
        <f t="shared" ref="G70:G79" si="56">E$22*I22</f>
        <v>162.62708257385148</v>
      </c>
      <c r="H70" s="83">
        <f t="shared" ref="H70:H79" si="57">E$22*J22</f>
        <v>132.51095617128641</v>
      </c>
      <c r="I70" s="83">
        <f t="shared" ref="I70:I79" si="58">F$22*I22</f>
        <v>166.46221576351513</v>
      </c>
      <c r="J70" s="83">
        <f t="shared" ref="J70:J79" si="59">F$22*J22</f>
        <v>135.63587951101235</v>
      </c>
      <c r="L70" s="39" t="s">
        <v>199</v>
      </c>
      <c r="M70" s="83">
        <f t="shared" ref="M70:M79" si="60">C$22*M22</f>
        <v>185.62443300000001</v>
      </c>
      <c r="N70" s="83">
        <f t="shared" ref="N70:N79" si="61">C$22*N22</f>
        <v>317.51547750000003</v>
      </c>
      <c r="O70" s="83">
        <f t="shared" ref="O70:O79" si="62">D$22*M22</f>
        <v>184.2934896580918</v>
      </c>
      <c r="P70" s="83">
        <f t="shared" ref="P70:P79" si="63">D$22*N22</f>
        <v>315.23886388884125</v>
      </c>
      <c r="Q70" s="83">
        <f t="shared" ref="Q70:Q79" si="64">E$22*M22</f>
        <v>183.10604852759573</v>
      </c>
      <c r="R70" s="83">
        <f t="shared" ref="R70:R79" si="65">E$22*N22</f>
        <v>313.20771458667696</v>
      </c>
      <c r="S70" s="83">
        <f t="shared" ref="S70:S79" si="66">F$22*M22</f>
        <v>187.42412441521705</v>
      </c>
      <c r="T70" s="83">
        <f t="shared" ref="T70:T79" si="67">F$22*N22</f>
        <v>320.5938970260292</v>
      </c>
      <c r="AE70" s="331"/>
    </row>
    <row r="71" spans="2:31" ht="15" customHeight="1">
      <c r="B71" s="39" t="s">
        <v>200</v>
      </c>
      <c r="C71" s="83">
        <f t="shared" si="52"/>
        <v>119.67891075000001</v>
      </c>
      <c r="D71" s="83">
        <f t="shared" si="53"/>
        <v>134.33347125</v>
      </c>
      <c r="E71" s="83">
        <f t="shared" si="54"/>
        <v>118.8208025427171</v>
      </c>
      <c r="F71" s="83">
        <f t="shared" si="55"/>
        <v>133.37028856835593</v>
      </c>
      <c r="G71" s="83">
        <f t="shared" si="56"/>
        <v>118.05521549805516</v>
      </c>
      <c r="H71" s="83">
        <f t="shared" si="57"/>
        <v>132.51095617128641</v>
      </c>
      <c r="I71" s="83">
        <f t="shared" si="58"/>
        <v>120.83923810981101</v>
      </c>
      <c r="J71" s="83">
        <f t="shared" si="59"/>
        <v>135.63587951101235</v>
      </c>
      <c r="L71" s="39" t="s">
        <v>200</v>
      </c>
      <c r="M71" s="83">
        <f t="shared" si="60"/>
        <v>103.80313687500001</v>
      </c>
      <c r="N71" s="83">
        <f t="shared" si="61"/>
        <v>317.51547750000003</v>
      </c>
      <c r="O71" s="83">
        <f t="shared" si="62"/>
        <v>103.05885934827504</v>
      </c>
      <c r="P71" s="83">
        <f t="shared" si="63"/>
        <v>315.23886388884125</v>
      </c>
      <c r="Q71" s="83">
        <f t="shared" si="64"/>
        <v>102.39482976872131</v>
      </c>
      <c r="R71" s="83">
        <f t="shared" si="65"/>
        <v>313.20771458667696</v>
      </c>
      <c r="S71" s="83">
        <f t="shared" si="66"/>
        <v>104.80954325850954</v>
      </c>
      <c r="T71" s="83">
        <f t="shared" si="67"/>
        <v>320.5938970260292</v>
      </c>
    </row>
    <row r="72" spans="2:31">
      <c r="B72" s="39" t="s">
        <v>201</v>
      </c>
      <c r="C72" s="83">
        <f t="shared" si="52"/>
        <v>216.15476737500001</v>
      </c>
      <c r="D72" s="83">
        <f t="shared" si="53"/>
        <v>127.00619100000002</v>
      </c>
      <c r="E72" s="83">
        <f t="shared" si="54"/>
        <v>214.6049188781727</v>
      </c>
      <c r="F72" s="83">
        <f t="shared" si="55"/>
        <v>126.09554555553652</v>
      </c>
      <c r="G72" s="83">
        <f t="shared" si="56"/>
        <v>213.22217493016083</v>
      </c>
      <c r="H72" s="83">
        <f t="shared" si="57"/>
        <v>125.28308583467077</v>
      </c>
      <c r="I72" s="83">
        <f t="shared" si="58"/>
        <v>218.25046066771984</v>
      </c>
      <c r="J72" s="83">
        <f t="shared" si="59"/>
        <v>128.23755881041168</v>
      </c>
      <c r="L72" s="39" t="s">
        <v>201</v>
      </c>
      <c r="M72" s="83">
        <f t="shared" si="60"/>
        <v>243.021461625</v>
      </c>
      <c r="N72" s="83">
        <f t="shared" si="61"/>
        <v>326.06397112500002</v>
      </c>
      <c r="O72" s="83">
        <f t="shared" si="62"/>
        <v>241.27897659184387</v>
      </c>
      <c r="P72" s="83">
        <f t="shared" si="63"/>
        <v>323.72606407046391</v>
      </c>
      <c r="Q72" s="83">
        <f t="shared" si="64"/>
        <v>239.72436616441809</v>
      </c>
      <c r="R72" s="83">
        <f t="shared" si="65"/>
        <v>321.64022997939514</v>
      </c>
      <c r="S72" s="83">
        <f t="shared" si="66"/>
        <v>245.37763656992232</v>
      </c>
      <c r="T72" s="83">
        <f t="shared" si="67"/>
        <v>329.22527117672996</v>
      </c>
    </row>
    <row r="73" spans="2:31" s="28" customFormat="1" ht="14.25" customHeight="1">
      <c r="B73" s="39" t="s">
        <v>202</v>
      </c>
      <c r="C73" s="83">
        <f t="shared" si="52"/>
        <v>183.18200625</v>
      </c>
      <c r="D73" s="83">
        <f t="shared" si="53"/>
        <v>124.56376424999999</v>
      </c>
      <c r="E73" s="83">
        <f t="shared" si="54"/>
        <v>181.86857532048535</v>
      </c>
      <c r="F73" s="83">
        <f t="shared" si="55"/>
        <v>123.67063121793002</v>
      </c>
      <c r="G73" s="83">
        <f t="shared" si="56"/>
        <v>180.69675841539055</v>
      </c>
      <c r="H73" s="83">
        <f t="shared" si="57"/>
        <v>122.87379572246556</v>
      </c>
      <c r="I73" s="83">
        <f t="shared" si="58"/>
        <v>184.95801751501682</v>
      </c>
      <c r="J73" s="83">
        <f t="shared" si="59"/>
        <v>125.77145191021144</v>
      </c>
      <c r="L73" s="39" t="s">
        <v>202</v>
      </c>
      <c r="M73" s="83">
        <f t="shared" si="60"/>
        <v>217.37598075000002</v>
      </c>
      <c r="N73" s="83">
        <f t="shared" si="61"/>
        <v>289.42756987500002</v>
      </c>
      <c r="O73" s="83">
        <f t="shared" si="62"/>
        <v>215.81737604697597</v>
      </c>
      <c r="P73" s="83">
        <f t="shared" si="63"/>
        <v>287.35234900636686</v>
      </c>
      <c r="Q73" s="83">
        <f t="shared" si="64"/>
        <v>214.42681998626344</v>
      </c>
      <c r="R73" s="83">
        <f t="shared" si="65"/>
        <v>285.50087829631707</v>
      </c>
      <c r="S73" s="83">
        <f t="shared" si="66"/>
        <v>219.48351411781999</v>
      </c>
      <c r="T73" s="83">
        <f t="shared" si="67"/>
        <v>292.23366767372659</v>
      </c>
    </row>
    <row r="74" spans="2:31">
      <c r="B74" s="39" t="s">
        <v>203</v>
      </c>
      <c r="C74" s="83">
        <f t="shared" si="52"/>
        <v>79.378869375000008</v>
      </c>
      <c r="D74" s="83">
        <f t="shared" si="53"/>
        <v>91.591003125</v>
      </c>
      <c r="E74" s="83">
        <f t="shared" si="54"/>
        <v>78.809715972210313</v>
      </c>
      <c r="F74" s="83">
        <f t="shared" si="55"/>
        <v>90.934287660242674</v>
      </c>
      <c r="G74" s="83">
        <f t="shared" si="56"/>
        <v>78.301928646669239</v>
      </c>
      <c r="H74" s="83">
        <f t="shared" si="57"/>
        <v>90.348379207695274</v>
      </c>
      <c r="I74" s="83">
        <f t="shared" si="58"/>
        <v>80.148474256507299</v>
      </c>
      <c r="J74" s="83">
        <f t="shared" si="59"/>
        <v>92.47900875750841</v>
      </c>
      <c r="L74" s="39" t="s">
        <v>203</v>
      </c>
      <c r="M74" s="83">
        <f t="shared" si="60"/>
        <v>86.706149624999995</v>
      </c>
      <c r="N74" s="83">
        <f t="shared" si="61"/>
        <v>157.53652537500002</v>
      </c>
      <c r="O74" s="83">
        <f t="shared" si="62"/>
        <v>86.084458985029727</v>
      </c>
      <c r="P74" s="83">
        <f t="shared" si="63"/>
        <v>156.40697477561741</v>
      </c>
      <c r="Q74" s="83">
        <f t="shared" si="64"/>
        <v>85.529798983284849</v>
      </c>
      <c r="R74" s="83">
        <f t="shared" si="65"/>
        <v>155.39921223723587</v>
      </c>
      <c r="S74" s="83">
        <f t="shared" si="66"/>
        <v>87.546794957107963</v>
      </c>
      <c r="T74" s="83">
        <f t="shared" si="67"/>
        <v>159.06389506291447</v>
      </c>
    </row>
    <row r="75" spans="2:31" ht="15.5">
      <c r="B75" s="39" t="s">
        <v>204</v>
      </c>
      <c r="C75" s="83">
        <f t="shared" si="52"/>
        <v>86.706149624999995</v>
      </c>
      <c r="D75" s="83">
        <f t="shared" si="53"/>
        <v>98.918283375000001</v>
      </c>
      <c r="E75" s="83">
        <f t="shared" si="54"/>
        <v>86.084458985029727</v>
      </c>
      <c r="F75" s="83">
        <f t="shared" si="55"/>
        <v>98.209030673062088</v>
      </c>
      <c r="G75" s="83">
        <f t="shared" si="56"/>
        <v>85.529798983284849</v>
      </c>
      <c r="H75" s="83">
        <f t="shared" si="57"/>
        <v>97.576249544310883</v>
      </c>
      <c r="I75" s="83">
        <f t="shared" si="58"/>
        <v>87.546794957107963</v>
      </c>
      <c r="J75" s="83">
        <f t="shared" si="59"/>
        <v>99.877329458109088</v>
      </c>
      <c r="L75" s="39" t="s">
        <v>204</v>
      </c>
      <c r="M75" s="83">
        <f t="shared" si="60"/>
        <v>127.00619100000002</v>
      </c>
      <c r="N75" s="83">
        <f t="shared" si="61"/>
        <v>233.25175462500002</v>
      </c>
      <c r="O75" s="83">
        <f t="shared" si="62"/>
        <v>126.09554555553652</v>
      </c>
      <c r="P75" s="83">
        <f t="shared" si="63"/>
        <v>231.57931924141803</v>
      </c>
      <c r="Q75" s="83">
        <f t="shared" si="64"/>
        <v>125.28308583467077</v>
      </c>
      <c r="R75" s="83">
        <f t="shared" si="65"/>
        <v>230.08720571559729</v>
      </c>
      <c r="S75" s="83">
        <f t="shared" si="66"/>
        <v>128.23755881041168</v>
      </c>
      <c r="T75" s="83">
        <f t="shared" si="67"/>
        <v>235.51320896912145</v>
      </c>
      <c r="AE75" s="144"/>
    </row>
    <row r="76" spans="2:31">
      <c r="B76" s="39" t="s">
        <v>205</v>
      </c>
      <c r="C76" s="83">
        <f t="shared" si="52"/>
        <v>234.47296800000001</v>
      </c>
      <c r="D76" s="83">
        <f t="shared" si="53"/>
        <v>119.67891075000001</v>
      </c>
      <c r="E76" s="83">
        <f t="shared" si="54"/>
        <v>232.79177641022125</v>
      </c>
      <c r="F76" s="83">
        <f t="shared" si="55"/>
        <v>118.8208025427171</v>
      </c>
      <c r="G76" s="83">
        <f t="shared" si="56"/>
        <v>231.29185077169987</v>
      </c>
      <c r="H76" s="83">
        <f t="shared" si="57"/>
        <v>118.05521549805516</v>
      </c>
      <c r="I76" s="83">
        <f t="shared" si="58"/>
        <v>236.74626241922152</v>
      </c>
      <c r="J76" s="83">
        <f t="shared" si="59"/>
        <v>120.83923810981101</v>
      </c>
      <c r="L76" s="39" t="s">
        <v>205</v>
      </c>
      <c r="M76" s="83">
        <f t="shared" si="60"/>
        <v>273.55179600000002</v>
      </c>
      <c r="N76" s="83">
        <f t="shared" si="61"/>
        <v>232.03054125</v>
      </c>
      <c r="O76" s="83">
        <f t="shared" si="62"/>
        <v>271.59040581192477</v>
      </c>
      <c r="P76" s="83">
        <f t="shared" si="63"/>
        <v>230.36686207261477</v>
      </c>
      <c r="Q76" s="83">
        <f t="shared" si="64"/>
        <v>269.84049256698319</v>
      </c>
      <c r="R76" s="83">
        <f t="shared" si="65"/>
        <v>228.88256065949469</v>
      </c>
      <c r="S76" s="83">
        <f t="shared" si="66"/>
        <v>276.2039728224251</v>
      </c>
      <c r="T76" s="83">
        <f t="shared" si="67"/>
        <v>234.28015551902132</v>
      </c>
    </row>
    <row r="77" spans="2:31">
      <c r="B77" s="39" t="s">
        <v>206</v>
      </c>
      <c r="C77" s="83">
        <f t="shared" si="52"/>
        <v>119.67891075000001</v>
      </c>
      <c r="D77" s="83">
        <f t="shared" si="53"/>
        <v>118.457697375</v>
      </c>
      <c r="E77" s="83">
        <f t="shared" si="54"/>
        <v>118.8208025427171</v>
      </c>
      <c r="F77" s="83">
        <f t="shared" si="55"/>
        <v>117.60834537391385</v>
      </c>
      <c r="G77" s="83">
        <f t="shared" si="56"/>
        <v>118.05521549805516</v>
      </c>
      <c r="H77" s="83">
        <f t="shared" si="57"/>
        <v>116.85057044195254</v>
      </c>
      <c r="I77" s="83">
        <f t="shared" si="58"/>
        <v>120.83923810981101</v>
      </c>
      <c r="J77" s="83">
        <f t="shared" si="59"/>
        <v>119.60618465971088</v>
      </c>
      <c r="L77" s="39" t="s">
        <v>206</v>
      </c>
      <c r="M77" s="83">
        <f t="shared" si="60"/>
        <v>103.80313687500001</v>
      </c>
      <c r="N77" s="83">
        <f t="shared" si="61"/>
        <v>178.29715275000001</v>
      </c>
      <c r="O77" s="83">
        <f t="shared" si="62"/>
        <v>103.05885934827504</v>
      </c>
      <c r="P77" s="83">
        <f t="shared" si="63"/>
        <v>177.01874664527239</v>
      </c>
      <c r="Q77" s="83">
        <f t="shared" si="64"/>
        <v>102.39482976872131</v>
      </c>
      <c r="R77" s="83">
        <f t="shared" si="65"/>
        <v>175.87817819098012</v>
      </c>
      <c r="S77" s="83">
        <f t="shared" si="66"/>
        <v>104.80954325850954</v>
      </c>
      <c r="T77" s="83">
        <f t="shared" si="67"/>
        <v>180.02580371461639</v>
      </c>
    </row>
    <row r="78" spans="2:31">
      <c r="B78" s="39" t="s">
        <v>207</v>
      </c>
      <c r="C78" s="83">
        <f t="shared" si="52"/>
        <v>128.22740437500002</v>
      </c>
      <c r="D78" s="83">
        <f t="shared" si="53"/>
        <v>135.55468462499999</v>
      </c>
      <c r="E78" s="83">
        <f t="shared" si="54"/>
        <v>127.30800272433974</v>
      </c>
      <c r="F78" s="83">
        <f t="shared" si="55"/>
        <v>134.58274573715914</v>
      </c>
      <c r="G78" s="83">
        <f t="shared" si="56"/>
        <v>126.48773089077338</v>
      </c>
      <c r="H78" s="83">
        <f t="shared" si="57"/>
        <v>133.71560122738899</v>
      </c>
      <c r="I78" s="83">
        <f t="shared" si="58"/>
        <v>129.47061226051179</v>
      </c>
      <c r="J78" s="83">
        <f t="shared" si="59"/>
        <v>136.86893296111245</v>
      </c>
      <c r="L78" s="39" t="s">
        <v>207</v>
      </c>
      <c r="M78" s="83">
        <f t="shared" si="60"/>
        <v>146.54560499999999</v>
      </c>
      <c r="N78" s="83">
        <f t="shared" si="61"/>
        <v>293.09120999999999</v>
      </c>
      <c r="O78" s="83">
        <f t="shared" si="62"/>
        <v>145.49486025638828</v>
      </c>
      <c r="P78" s="83">
        <f t="shared" si="63"/>
        <v>290.98972051277656</v>
      </c>
      <c r="Q78" s="83">
        <f t="shared" si="64"/>
        <v>144.55740673231244</v>
      </c>
      <c r="R78" s="83">
        <f t="shared" si="65"/>
        <v>289.11481346462489</v>
      </c>
      <c r="S78" s="83">
        <f t="shared" si="66"/>
        <v>147.96641401201347</v>
      </c>
      <c r="T78" s="83">
        <f t="shared" si="67"/>
        <v>295.93282802402695</v>
      </c>
    </row>
    <row r="79" spans="2:31">
      <c r="B79" s="39" t="s">
        <v>208</v>
      </c>
      <c r="C79" s="83">
        <f t="shared" si="52"/>
        <v>72.051589125000007</v>
      </c>
      <c r="D79" s="83">
        <f t="shared" si="53"/>
        <v>95.254643250000001</v>
      </c>
      <c r="E79" s="83">
        <f t="shared" si="54"/>
        <v>71.534972959390913</v>
      </c>
      <c r="F79" s="83">
        <f t="shared" si="55"/>
        <v>94.571659166652381</v>
      </c>
      <c r="G79" s="83">
        <f t="shared" si="56"/>
        <v>71.074058310053616</v>
      </c>
      <c r="H79" s="83">
        <f t="shared" si="57"/>
        <v>93.962314376003079</v>
      </c>
      <c r="I79" s="83">
        <f t="shared" si="58"/>
        <v>72.750153555906621</v>
      </c>
      <c r="J79" s="83">
        <f t="shared" si="59"/>
        <v>96.178169107808742</v>
      </c>
      <c r="L79" s="39" t="s">
        <v>208</v>
      </c>
      <c r="M79" s="83">
        <f t="shared" si="60"/>
        <v>81.821296125000003</v>
      </c>
      <c r="N79" s="83">
        <f t="shared" si="61"/>
        <v>191.73049987499999</v>
      </c>
      <c r="O79" s="83">
        <f t="shared" si="62"/>
        <v>81.234630309816794</v>
      </c>
      <c r="P79" s="83">
        <f t="shared" si="63"/>
        <v>190.35577550210797</v>
      </c>
      <c r="Q79" s="83">
        <f t="shared" si="64"/>
        <v>80.711218758874438</v>
      </c>
      <c r="R79" s="83">
        <f t="shared" si="65"/>
        <v>189.12927380810876</v>
      </c>
      <c r="S79" s="83">
        <f t="shared" si="66"/>
        <v>82.614581156707516</v>
      </c>
      <c r="T79" s="83">
        <f t="shared" si="67"/>
        <v>193.58939166571761</v>
      </c>
    </row>
    <row r="80" spans="2:31">
      <c r="B80" s="39" t="s">
        <v>198</v>
      </c>
      <c r="C80" s="107">
        <f t="shared" ref="C80:J80" si="68">SUMPRODUCT(C70:C79,$U$22:$U$31)</f>
        <v>184.83219992882593</v>
      </c>
      <c r="D80" s="107">
        <f t="shared" si="68"/>
        <v>122.88125074064479</v>
      </c>
      <c r="E80" s="107">
        <f t="shared" si="68"/>
        <v>183.50693696699639</v>
      </c>
      <c r="F80" s="107">
        <f t="shared" si="68"/>
        <v>122.00018147688783</v>
      </c>
      <c r="G80" s="107">
        <f t="shared" si="68"/>
        <v>182.32456375842446</v>
      </c>
      <c r="H80" s="107">
        <f t="shared" si="68"/>
        <v>121.21410903514068</v>
      </c>
      <c r="I80" s="107">
        <f t="shared" si="68"/>
        <v>186.62421037751287</v>
      </c>
      <c r="J80" s="107">
        <f t="shared" si="68"/>
        <v>124.0726258655405</v>
      </c>
      <c r="L80" s="39" t="s">
        <v>198</v>
      </c>
      <c r="M80" s="107">
        <f t="shared" ref="M80:T80" si="69">SUMPRODUCT(M70:M79,$AC$22:$AC$31)</f>
        <v>199.84678807567636</v>
      </c>
      <c r="N80" s="107">
        <f t="shared" si="69"/>
        <v>287.30345243274206</v>
      </c>
      <c r="O80" s="107">
        <f t="shared" si="69"/>
        <v>198.41386920991988</v>
      </c>
      <c r="P80" s="107">
        <f t="shared" si="69"/>
        <v>285.24346167105938</v>
      </c>
      <c r="Q80" s="107">
        <f t="shared" si="69"/>
        <v>197.13544754891689</v>
      </c>
      <c r="R80" s="107">
        <f t="shared" si="69"/>
        <v>283.40557895896961</v>
      </c>
      <c r="S80" s="107">
        <f t="shared" si="69"/>
        <v>201.78437001489496</v>
      </c>
      <c r="T80" s="107">
        <f t="shared" si="69"/>
        <v>290.08895619724609</v>
      </c>
    </row>
    <row r="81" spans="2:20">
      <c r="B81" s="20"/>
      <c r="C81" s="83"/>
      <c r="D81" s="83"/>
      <c r="E81" s="108"/>
      <c r="F81" s="140"/>
      <c r="G81" s="141"/>
      <c r="H81" s="141"/>
      <c r="I81" s="141"/>
      <c r="J81" s="141"/>
      <c r="L81" s="20"/>
      <c r="M81" s="83"/>
      <c r="N81" s="83"/>
      <c r="O81" s="108"/>
      <c r="P81" s="140"/>
      <c r="Q81" s="141"/>
      <c r="R81" s="141"/>
      <c r="S81" s="141"/>
      <c r="T81" s="141"/>
    </row>
    <row r="82" spans="2:20">
      <c r="B82" s="20"/>
      <c r="C82" s="83"/>
      <c r="D82" s="83"/>
      <c r="E82" s="108"/>
      <c r="F82" s="83"/>
      <c r="G82" s="141"/>
      <c r="H82" s="141"/>
      <c r="I82" s="141"/>
      <c r="J82" s="141"/>
      <c r="L82" s="20"/>
      <c r="M82" s="83"/>
      <c r="N82" s="83"/>
      <c r="O82" s="108"/>
      <c r="P82" s="83"/>
      <c r="Q82" s="141"/>
      <c r="R82" s="141"/>
      <c r="S82" s="141"/>
      <c r="T82" s="141"/>
    </row>
    <row r="83" spans="2:20">
      <c r="B83" s="20"/>
      <c r="C83" s="468" t="s">
        <v>222</v>
      </c>
      <c r="D83" s="468"/>
      <c r="E83" s="468"/>
      <c r="F83" s="468"/>
      <c r="G83" s="468"/>
      <c r="H83" s="468"/>
      <c r="I83" s="468"/>
      <c r="J83" s="468"/>
      <c r="L83" s="20"/>
      <c r="M83" s="468" t="s">
        <v>224</v>
      </c>
      <c r="N83" s="468"/>
      <c r="O83" s="468"/>
      <c r="P83" s="468"/>
      <c r="Q83" s="468"/>
      <c r="R83" s="468"/>
      <c r="S83" s="468"/>
      <c r="T83" s="468"/>
    </row>
    <row r="84" spans="2:20">
      <c r="B84" s="20"/>
      <c r="C84" s="469">
        <f>$C$27</f>
        <v>45658</v>
      </c>
      <c r="D84" s="470"/>
      <c r="E84" s="469">
        <f>$D$27</f>
        <v>45901</v>
      </c>
      <c r="F84" s="470"/>
      <c r="G84" s="471" t="str">
        <f>$E$21</f>
        <v>Authorized</v>
      </c>
      <c r="H84" s="471"/>
      <c r="I84" s="472" t="str">
        <f>$F$21</f>
        <v>w/Pending</v>
      </c>
      <c r="J84" s="471"/>
      <c r="L84" s="20"/>
      <c r="M84" s="469">
        <f>$C$27</f>
        <v>45658</v>
      </c>
      <c r="N84" s="470"/>
      <c r="O84" s="469">
        <f>$D$27</f>
        <v>45901</v>
      </c>
      <c r="P84" s="470"/>
      <c r="Q84" s="471" t="str">
        <f>$E$21</f>
        <v>Authorized</v>
      </c>
      <c r="R84" s="471"/>
      <c r="S84" s="472" t="str">
        <f>$F$21</f>
        <v>w/Pending</v>
      </c>
      <c r="T84" s="471"/>
    </row>
    <row r="85" spans="2:20">
      <c r="B85" s="20"/>
      <c r="C85" s="83" t="s">
        <v>147</v>
      </c>
      <c r="D85" s="83" t="s">
        <v>148</v>
      </c>
      <c r="E85" s="83" t="s">
        <v>147</v>
      </c>
      <c r="F85" s="83" t="s">
        <v>148</v>
      </c>
      <c r="G85" s="83" t="s">
        <v>147</v>
      </c>
      <c r="H85" s="83" t="s">
        <v>148</v>
      </c>
      <c r="I85" s="83" t="s">
        <v>147</v>
      </c>
      <c r="J85" s="83" t="s">
        <v>148</v>
      </c>
      <c r="L85" s="20"/>
      <c r="M85" s="83" t="s">
        <v>147</v>
      </c>
      <c r="N85" s="83" t="s">
        <v>148</v>
      </c>
      <c r="O85" s="83" t="s">
        <v>147</v>
      </c>
      <c r="P85" s="83" t="s">
        <v>148</v>
      </c>
      <c r="Q85" s="83" t="s">
        <v>147</v>
      </c>
      <c r="R85" s="83" t="s">
        <v>148</v>
      </c>
      <c r="S85" s="83" t="s">
        <v>147</v>
      </c>
      <c r="T85" s="83" t="s">
        <v>148</v>
      </c>
    </row>
    <row r="86" spans="2:20">
      <c r="B86" s="39" t="s">
        <v>199</v>
      </c>
      <c r="C86" s="83">
        <f t="shared" ref="C86:C95" si="70">C$28*I22</f>
        <v>100.83228468749999</v>
      </c>
      <c r="D86" s="83">
        <f t="shared" ref="D86:D95" si="71">C$28*J22</f>
        <v>82.159639374999998</v>
      </c>
      <c r="E86" s="83">
        <f t="shared" ref="E86:E95" si="72">D$28*I22</f>
        <v>100.47704923802262</v>
      </c>
      <c r="F86" s="83">
        <f t="shared" ref="F86:F95" si="73">D$28*J22</f>
        <v>81.870188268018424</v>
      </c>
      <c r="G86" s="83">
        <f t="shared" ref="G86:G95" si="74">E$28*I22</f>
        <v>99.829654795834472</v>
      </c>
      <c r="H86" s="83">
        <f t="shared" ref="H86:H95" si="75">E$28*J22</f>
        <v>81.342681685494753</v>
      </c>
      <c r="I86" s="83">
        <f t="shared" ref="I86:I95" si="76">F$28*I22</f>
        <v>102.18387536205725</v>
      </c>
      <c r="J86" s="83">
        <f t="shared" ref="J86:J95" si="77">F$28*J22</f>
        <v>83.260935480194803</v>
      </c>
      <c r="L86" s="39" t="s">
        <v>199</v>
      </c>
      <c r="M86" s="83">
        <f t="shared" ref="M86:M95" si="78">C$28*M22</f>
        <v>113.52968349999999</v>
      </c>
      <c r="N86" s="83">
        <f t="shared" ref="N86:N95" si="79">C$28*N22</f>
        <v>194.19551125000001</v>
      </c>
      <c r="O86" s="83">
        <f t="shared" ref="O86:O95" si="80">D$28*M22</f>
        <v>113.12971469762546</v>
      </c>
      <c r="P86" s="83">
        <f t="shared" ref="P86:P95" si="81">D$28*N22</f>
        <v>193.51135408804356</v>
      </c>
      <c r="Q86" s="83">
        <f t="shared" ref="Q86:Q95" si="82">E$28*M22</f>
        <v>112.40079651086546</v>
      </c>
      <c r="R86" s="83">
        <f t="shared" ref="R86:R95" si="83">E$28*N22</f>
        <v>192.26452034753305</v>
      </c>
      <c r="S86" s="83">
        <f t="shared" ref="S86:S95" si="84">F$28*M22</f>
        <v>115.05147448172372</v>
      </c>
      <c r="T86" s="83">
        <f t="shared" ref="T86:T95" si="85">F$28*N22</f>
        <v>196.79857477136952</v>
      </c>
    </row>
    <row r="87" spans="2:20">
      <c r="B87" s="39" t="s">
        <v>200</v>
      </c>
      <c r="C87" s="83">
        <f t="shared" si="70"/>
        <v>73.196769625000002</v>
      </c>
      <c r="D87" s="83">
        <f t="shared" si="71"/>
        <v>82.159639374999998</v>
      </c>
      <c r="E87" s="83">
        <f t="shared" si="72"/>
        <v>72.938895002416416</v>
      </c>
      <c r="F87" s="83">
        <f t="shared" si="73"/>
        <v>81.870188268018424</v>
      </c>
      <c r="G87" s="83">
        <f t="shared" si="74"/>
        <v>72.468934592531696</v>
      </c>
      <c r="H87" s="83">
        <f t="shared" si="75"/>
        <v>81.342681685494753</v>
      </c>
      <c r="I87" s="83">
        <f t="shared" si="76"/>
        <v>74.17792433690083</v>
      </c>
      <c r="J87" s="83">
        <f t="shared" si="77"/>
        <v>83.260935480194803</v>
      </c>
      <c r="L87" s="39" t="s">
        <v>200</v>
      </c>
      <c r="M87" s="83">
        <f t="shared" si="78"/>
        <v>63.486994062500003</v>
      </c>
      <c r="N87" s="83">
        <f t="shared" si="79"/>
        <v>194.19551125000001</v>
      </c>
      <c r="O87" s="83">
        <f t="shared" si="80"/>
        <v>63.263327298014239</v>
      </c>
      <c r="P87" s="83">
        <f t="shared" si="81"/>
        <v>193.51135408804356</v>
      </c>
      <c r="Q87" s="83">
        <f t="shared" si="82"/>
        <v>62.855708575155035</v>
      </c>
      <c r="R87" s="83">
        <f t="shared" si="83"/>
        <v>192.26452034753305</v>
      </c>
      <c r="S87" s="83">
        <f t="shared" si="84"/>
        <v>64.337995598332341</v>
      </c>
      <c r="T87" s="83">
        <f t="shared" si="85"/>
        <v>196.79857477136952</v>
      </c>
    </row>
    <row r="88" spans="2:20">
      <c r="B88" s="39" t="s">
        <v>201</v>
      </c>
      <c r="C88" s="83">
        <f t="shared" si="70"/>
        <v>132.20232881249999</v>
      </c>
      <c r="D88" s="83">
        <f t="shared" si="71"/>
        <v>77.678204500000007</v>
      </c>
      <c r="E88" s="83">
        <f t="shared" si="72"/>
        <v>131.73657566762964</v>
      </c>
      <c r="F88" s="83">
        <f t="shared" si="73"/>
        <v>77.404541635217427</v>
      </c>
      <c r="G88" s="83">
        <f t="shared" si="74"/>
        <v>130.88776962120519</v>
      </c>
      <c r="H88" s="83">
        <f t="shared" si="75"/>
        <v>76.905808139013217</v>
      </c>
      <c r="I88" s="83">
        <f t="shared" si="76"/>
        <v>133.97441436358616</v>
      </c>
      <c r="J88" s="83">
        <f t="shared" si="77"/>
        <v>78.719429908547809</v>
      </c>
      <c r="L88" s="39" t="s">
        <v>201</v>
      </c>
      <c r="M88" s="83">
        <f t="shared" si="78"/>
        <v>148.6342566875</v>
      </c>
      <c r="N88" s="83">
        <f t="shared" si="79"/>
        <v>199.42385193749999</v>
      </c>
      <c r="O88" s="83">
        <f t="shared" si="80"/>
        <v>148.11061332123333</v>
      </c>
      <c r="P88" s="83">
        <f t="shared" si="81"/>
        <v>198.72127515964473</v>
      </c>
      <c r="Q88" s="83">
        <f t="shared" si="82"/>
        <v>147.15630595830413</v>
      </c>
      <c r="R88" s="83">
        <f t="shared" si="83"/>
        <v>197.44087281842818</v>
      </c>
      <c r="S88" s="83">
        <f t="shared" si="84"/>
        <v>150.62660145962514</v>
      </c>
      <c r="T88" s="83">
        <f t="shared" si="85"/>
        <v>202.096997938291</v>
      </c>
    </row>
    <row r="89" spans="2:20">
      <c r="B89" s="39" t="s">
        <v>202</v>
      </c>
      <c r="C89" s="83">
        <f t="shared" si="70"/>
        <v>112.035871875</v>
      </c>
      <c r="D89" s="83">
        <f t="shared" si="71"/>
        <v>76.184392875</v>
      </c>
      <c r="E89" s="83">
        <f t="shared" si="72"/>
        <v>111.64116582002512</v>
      </c>
      <c r="F89" s="83">
        <f t="shared" si="73"/>
        <v>75.915992757617076</v>
      </c>
      <c r="G89" s="83">
        <f t="shared" si="74"/>
        <v>110.9218386620383</v>
      </c>
      <c r="H89" s="83">
        <f t="shared" si="75"/>
        <v>75.426850290186039</v>
      </c>
      <c r="I89" s="83">
        <f t="shared" si="76"/>
        <v>113.53763929117473</v>
      </c>
      <c r="J89" s="83">
        <f t="shared" si="77"/>
        <v>77.205594717998807</v>
      </c>
      <c r="L89" s="39" t="s">
        <v>202</v>
      </c>
      <c r="M89" s="83">
        <f t="shared" si="78"/>
        <v>132.949234625</v>
      </c>
      <c r="N89" s="83">
        <f t="shared" si="79"/>
        <v>177.01667756249998</v>
      </c>
      <c r="O89" s="83">
        <f t="shared" si="80"/>
        <v>132.48085010642981</v>
      </c>
      <c r="P89" s="83">
        <f t="shared" si="81"/>
        <v>176.39304199563969</v>
      </c>
      <c r="Q89" s="83">
        <f t="shared" si="82"/>
        <v>131.62724854561878</v>
      </c>
      <c r="R89" s="83">
        <f t="shared" si="83"/>
        <v>175.2565050860205</v>
      </c>
      <c r="S89" s="83">
        <f t="shared" si="84"/>
        <v>134.73133195886066</v>
      </c>
      <c r="T89" s="83">
        <f t="shared" si="85"/>
        <v>179.38947008005607</v>
      </c>
    </row>
    <row r="90" spans="2:20">
      <c r="B90" s="39" t="s">
        <v>203</v>
      </c>
      <c r="C90" s="83">
        <f t="shared" si="70"/>
        <v>48.548877812500002</v>
      </c>
      <c r="D90" s="83">
        <f t="shared" si="71"/>
        <v>56.017935937499999</v>
      </c>
      <c r="E90" s="83">
        <f t="shared" si="72"/>
        <v>48.37783852201089</v>
      </c>
      <c r="F90" s="83">
        <f t="shared" si="73"/>
        <v>55.820582910012561</v>
      </c>
      <c r="G90" s="83">
        <f t="shared" si="74"/>
        <v>48.066130086883263</v>
      </c>
      <c r="H90" s="83">
        <f t="shared" si="75"/>
        <v>55.460919331019149</v>
      </c>
      <c r="I90" s="83">
        <f t="shared" si="76"/>
        <v>49.199643692842379</v>
      </c>
      <c r="J90" s="83">
        <f t="shared" si="77"/>
        <v>56.768819645587364</v>
      </c>
      <c r="L90" s="39" t="s">
        <v>203</v>
      </c>
      <c r="M90" s="83">
        <f t="shared" si="78"/>
        <v>53.030312687499993</v>
      </c>
      <c r="N90" s="83">
        <f t="shared" si="79"/>
        <v>96.350849812500002</v>
      </c>
      <c r="O90" s="83">
        <f t="shared" si="80"/>
        <v>52.843485154811894</v>
      </c>
      <c r="P90" s="83">
        <f t="shared" si="81"/>
        <v>96.011402605221619</v>
      </c>
      <c r="Q90" s="83">
        <f t="shared" si="82"/>
        <v>52.503003633364791</v>
      </c>
      <c r="R90" s="83">
        <f t="shared" si="83"/>
        <v>95.392781249352936</v>
      </c>
      <c r="S90" s="83">
        <f t="shared" si="84"/>
        <v>53.741149264489366</v>
      </c>
      <c r="T90" s="83">
        <f t="shared" si="85"/>
        <v>97.642369790410271</v>
      </c>
    </row>
    <row r="91" spans="2:20">
      <c r="B91" s="39" t="s">
        <v>204</v>
      </c>
      <c r="C91" s="83">
        <f t="shared" si="70"/>
        <v>53.030312687499993</v>
      </c>
      <c r="D91" s="83">
        <f t="shared" si="71"/>
        <v>60.499370812499997</v>
      </c>
      <c r="E91" s="83">
        <f t="shared" si="72"/>
        <v>52.843485154811894</v>
      </c>
      <c r="F91" s="83">
        <f t="shared" si="73"/>
        <v>60.286229542813565</v>
      </c>
      <c r="G91" s="83">
        <f t="shared" si="74"/>
        <v>52.503003633364791</v>
      </c>
      <c r="H91" s="83">
        <f t="shared" si="75"/>
        <v>59.897792877500677</v>
      </c>
      <c r="I91" s="83">
        <f t="shared" si="76"/>
        <v>53.741149264489366</v>
      </c>
      <c r="J91" s="83">
        <f t="shared" si="77"/>
        <v>61.31032521723435</v>
      </c>
      <c r="L91" s="39" t="s">
        <v>204</v>
      </c>
      <c r="M91" s="83">
        <f t="shared" si="78"/>
        <v>77.678204500000007</v>
      </c>
      <c r="N91" s="83">
        <f t="shared" si="79"/>
        <v>142.6590101875</v>
      </c>
      <c r="O91" s="83">
        <f t="shared" si="80"/>
        <v>77.404541635217427</v>
      </c>
      <c r="P91" s="83">
        <f t="shared" si="81"/>
        <v>142.15641781083201</v>
      </c>
      <c r="Q91" s="83">
        <f t="shared" si="82"/>
        <v>76.905808139013217</v>
      </c>
      <c r="R91" s="83">
        <f t="shared" si="83"/>
        <v>141.24047456299544</v>
      </c>
      <c r="S91" s="83">
        <f t="shared" si="84"/>
        <v>78.719429908547809</v>
      </c>
      <c r="T91" s="83">
        <f t="shared" si="85"/>
        <v>144.57126069742915</v>
      </c>
    </row>
    <row r="92" spans="2:20">
      <c r="B92" s="39" t="s">
        <v>205</v>
      </c>
      <c r="C92" s="83">
        <f t="shared" si="70"/>
        <v>143.40591599999999</v>
      </c>
      <c r="D92" s="83">
        <f t="shared" si="71"/>
        <v>73.196769625000002</v>
      </c>
      <c r="E92" s="83">
        <f t="shared" si="72"/>
        <v>142.90069224963216</v>
      </c>
      <c r="F92" s="83">
        <f t="shared" si="73"/>
        <v>72.938895002416416</v>
      </c>
      <c r="G92" s="83">
        <f t="shared" si="74"/>
        <v>141.97995348740901</v>
      </c>
      <c r="H92" s="83">
        <f t="shared" si="75"/>
        <v>72.468934592531696</v>
      </c>
      <c r="I92" s="83">
        <f t="shared" si="76"/>
        <v>145.32817829270365</v>
      </c>
      <c r="J92" s="83">
        <f t="shared" si="77"/>
        <v>74.17792433690083</v>
      </c>
      <c r="L92" s="39" t="s">
        <v>205</v>
      </c>
      <c r="M92" s="83">
        <f t="shared" si="78"/>
        <v>167.30690199999998</v>
      </c>
      <c r="N92" s="83">
        <f t="shared" si="79"/>
        <v>141.91210437499998</v>
      </c>
      <c r="O92" s="83">
        <f t="shared" si="80"/>
        <v>166.71747429123752</v>
      </c>
      <c r="P92" s="83">
        <f t="shared" si="81"/>
        <v>141.41214337203184</v>
      </c>
      <c r="Q92" s="83">
        <f t="shared" si="82"/>
        <v>165.64327906864384</v>
      </c>
      <c r="R92" s="83">
        <f t="shared" si="83"/>
        <v>140.50099563858186</v>
      </c>
      <c r="S92" s="83">
        <f t="shared" si="84"/>
        <v>169.54954134148758</v>
      </c>
      <c r="T92" s="83">
        <f t="shared" si="85"/>
        <v>143.81434310215465</v>
      </c>
    </row>
    <row r="93" spans="2:20">
      <c r="B93" s="39" t="s">
        <v>206</v>
      </c>
      <c r="C93" s="83">
        <f t="shared" si="70"/>
        <v>73.196769625000002</v>
      </c>
      <c r="D93" s="83">
        <f t="shared" si="71"/>
        <v>72.449863812499999</v>
      </c>
      <c r="E93" s="83">
        <f t="shared" si="72"/>
        <v>72.938895002416416</v>
      </c>
      <c r="F93" s="83">
        <f t="shared" si="73"/>
        <v>72.19462056361624</v>
      </c>
      <c r="G93" s="83">
        <f t="shared" si="74"/>
        <v>72.468934592531696</v>
      </c>
      <c r="H93" s="83">
        <f t="shared" si="75"/>
        <v>71.729455668118092</v>
      </c>
      <c r="I93" s="83">
        <f t="shared" si="76"/>
        <v>74.17792433690083</v>
      </c>
      <c r="J93" s="83">
        <f t="shared" si="77"/>
        <v>73.421006741626314</v>
      </c>
      <c r="L93" s="39" t="s">
        <v>206</v>
      </c>
      <c r="M93" s="83">
        <f t="shared" si="78"/>
        <v>63.486994062500003</v>
      </c>
      <c r="N93" s="83">
        <f t="shared" si="79"/>
        <v>109.048248625</v>
      </c>
      <c r="O93" s="83">
        <f t="shared" si="80"/>
        <v>63.263327298014239</v>
      </c>
      <c r="P93" s="83">
        <f t="shared" si="81"/>
        <v>108.66406806482445</v>
      </c>
      <c r="Q93" s="83">
        <f t="shared" si="82"/>
        <v>62.855708575155035</v>
      </c>
      <c r="R93" s="83">
        <f t="shared" si="83"/>
        <v>107.96392296438394</v>
      </c>
      <c r="S93" s="83">
        <f t="shared" si="84"/>
        <v>64.337995598332341</v>
      </c>
      <c r="T93" s="83">
        <f t="shared" si="85"/>
        <v>110.50996891007672</v>
      </c>
    </row>
    <row r="94" spans="2:20">
      <c r="B94" s="39" t="s">
        <v>207</v>
      </c>
      <c r="C94" s="83">
        <f t="shared" si="70"/>
        <v>78.425110312499996</v>
      </c>
      <c r="D94" s="83">
        <f t="shared" si="71"/>
        <v>82.906545187500001</v>
      </c>
      <c r="E94" s="83">
        <f t="shared" si="72"/>
        <v>78.148816074017589</v>
      </c>
      <c r="F94" s="83">
        <f t="shared" si="73"/>
        <v>82.614462706818586</v>
      </c>
      <c r="G94" s="83">
        <f t="shared" si="74"/>
        <v>77.645287063426807</v>
      </c>
      <c r="H94" s="83">
        <f t="shared" si="75"/>
        <v>82.082160609908343</v>
      </c>
      <c r="I94" s="83">
        <f t="shared" si="76"/>
        <v>79.476347503822311</v>
      </c>
      <c r="J94" s="83">
        <f t="shared" si="77"/>
        <v>84.01785307546929</v>
      </c>
      <c r="L94" s="39" t="s">
        <v>207</v>
      </c>
      <c r="M94" s="83">
        <f t="shared" si="78"/>
        <v>89.628697500000001</v>
      </c>
      <c r="N94" s="83">
        <f t="shared" si="79"/>
        <v>179.257395</v>
      </c>
      <c r="O94" s="83">
        <f t="shared" si="80"/>
        <v>89.312932656020095</v>
      </c>
      <c r="P94" s="83">
        <f t="shared" si="81"/>
        <v>178.62586531204019</v>
      </c>
      <c r="Q94" s="83">
        <f t="shared" si="82"/>
        <v>88.737470929630632</v>
      </c>
      <c r="R94" s="83">
        <f t="shared" si="83"/>
        <v>177.47494185926126</v>
      </c>
      <c r="S94" s="83">
        <f t="shared" si="84"/>
        <v>90.830111432939773</v>
      </c>
      <c r="T94" s="83">
        <f t="shared" si="85"/>
        <v>181.66022286587955</v>
      </c>
    </row>
    <row r="95" spans="2:20">
      <c r="B95" s="39" t="s">
        <v>208</v>
      </c>
      <c r="C95" s="83">
        <f t="shared" si="70"/>
        <v>44.067442937500005</v>
      </c>
      <c r="D95" s="83">
        <f t="shared" si="71"/>
        <v>58.258653374999994</v>
      </c>
      <c r="E95" s="83">
        <f t="shared" si="72"/>
        <v>43.912191889209886</v>
      </c>
      <c r="F95" s="83">
        <f t="shared" si="73"/>
        <v>58.053406226413067</v>
      </c>
      <c r="G95" s="83">
        <f t="shared" si="74"/>
        <v>43.629256540401734</v>
      </c>
      <c r="H95" s="83">
        <f t="shared" si="75"/>
        <v>57.679356104259909</v>
      </c>
      <c r="I95" s="83">
        <f t="shared" si="76"/>
        <v>44.658138121195393</v>
      </c>
      <c r="J95" s="83">
        <f t="shared" si="77"/>
        <v>59.039572431410853</v>
      </c>
      <c r="L95" s="39" t="s">
        <v>208</v>
      </c>
      <c r="M95" s="83">
        <f t="shared" si="78"/>
        <v>50.042689437500002</v>
      </c>
      <c r="N95" s="83">
        <f t="shared" si="79"/>
        <v>117.26421256249999</v>
      </c>
      <c r="O95" s="83">
        <f t="shared" si="80"/>
        <v>49.866387399611227</v>
      </c>
      <c r="P95" s="83">
        <f t="shared" si="81"/>
        <v>116.8510868916263</v>
      </c>
      <c r="Q95" s="83">
        <f t="shared" si="82"/>
        <v>49.545087935710441</v>
      </c>
      <c r="R95" s="83">
        <f t="shared" si="83"/>
        <v>116.09819113293341</v>
      </c>
      <c r="S95" s="83">
        <f t="shared" si="84"/>
        <v>50.713478883391382</v>
      </c>
      <c r="T95" s="83">
        <f t="shared" si="85"/>
        <v>118.83606245809621</v>
      </c>
    </row>
    <row r="96" spans="2:20">
      <c r="B96" s="39" t="s">
        <v>198</v>
      </c>
      <c r="C96" s="107">
        <f>SUMPRODUCT(C86:C95,$V$22:$V$31)</f>
        <v>123.81379177706907</v>
      </c>
      <c r="D96" s="107">
        <f t="shared" ref="D96:J96" si="86">SUMPRODUCT(D86:D95,$V$22:$V$31)</f>
        <v>75.657258993596159</v>
      </c>
      <c r="E96" s="107">
        <f t="shared" si="86"/>
        <v>123.37759172358682</v>
      </c>
      <c r="F96" s="107">
        <f t="shared" si="86"/>
        <v>75.39071598618429</v>
      </c>
      <c r="G96" s="107">
        <f t="shared" si="86"/>
        <v>122.58264434228789</v>
      </c>
      <c r="H96" s="107">
        <f t="shared" si="86"/>
        <v>74.904957985803321</v>
      </c>
      <c r="I96" s="107">
        <f t="shared" si="86"/>
        <v>125.47343448839014</v>
      </c>
      <c r="J96" s="107">
        <f t="shared" si="86"/>
        <v>76.671394952482984</v>
      </c>
      <c r="L96" s="39" t="s">
        <v>198</v>
      </c>
      <c r="M96" s="107">
        <f>SUMPRODUCT(M86:M95,$AD$22:$AD$31)</f>
        <v>132.71980483814363</v>
      </c>
      <c r="N96" s="107">
        <f t="shared" ref="N96:T96" si="87">SUMPRODUCT(N86:N95,$AD$22:$AD$31)</f>
        <v>178.15157593921302</v>
      </c>
      <c r="O96" s="107">
        <f t="shared" si="87"/>
        <v>132.25222860824519</v>
      </c>
      <c r="P96" s="107">
        <f t="shared" si="87"/>
        <v>177.5239420881106</v>
      </c>
      <c r="Q96" s="107">
        <f t="shared" si="87"/>
        <v>131.40010010310618</v>
      </c>
      <c r="R96" s="107">
        <f t="shared" si="87"/>
        <v>176.38011855492826</v>
      </c>
      <c r="S96" s="107">
        <f t="shared" si="87"/>
        <v>134.49882681611666</v>
      </c>
      <c r="T96" s="107">
        <f t="shared" si="87"/>
        <v>180.5395810255142</v>
      </c>
    </row>
    <row r="99" spans="2:20">
      <c r="B99" s="393">
        <f>Summary!I$4</f>
        <v>500</v>
      </c>
      <c r="C99" s="468" t="s">
        <v>245</v>
      </c>
      <c r="D99" s="468"/>
      <c r="E99" s="468"/>
      <c r="F99" s="468"/>
      <c r="G99" s="468"/>
      <c r="H99" s="468"/>
      <c r="I99" s="468"/>
      <c r="J99" s="468"/>
      <c r="L99" s="393">
        <f>Summary!I$4</f>
        <v>500</v>
      </c>
      <c r="M99" s="468" t="s">
        <v>247</v>
      </c>
      <c r="N99" s="468"/>
      <c r="O99" s="468"/>
      <c r="P99" s="468"/>
      <c r="Q99" s="468"/>
      <c r="R99" s="468"/>
      <c r="S99" s="468"/>
      <c r="T99" s="468"/>
    </row>
    <row r="100" spans="2:20">
      <c r="B100" s="20"/>
      <c r="C100" s="469">
        <f>$C$27</f>
        <v>45658</v>
      </c>
      <c r="D100" s="470"/>
      <c r="E100" s="469">
        <f>$D$27</f>
        <v>45901</v>
      </c>
      <c r="F100" s="470"/>
      <c r="G100" s="471" t="str">
        <f>$E$21</f>
        <v>Authorized</v>
      </c>
      <c r="H100" s="471"/>
      <c r="I100" s="472" t="str">
        <f>$F$21</f>
        <v>w/Pending</v>
      </c>
      <c r="J100" s="471"/>
      <c r="L100" s="20"/>
      <c r="M100" s="469">
        <f>$C$27</f>
        <v>45658</v>
      </c>
      <c r="N100" s="470"/>
      <c r="O100" s="469">
        <f>$D$27</f>
        <v>45901</v>
      </c>
      <c r="P100" s="470"/>
      <c r="Q100" s="471" t="str">
        <f>$E$21</f>
        <v>Authorized</v>
      </c>
      <c r="R100" s="471"/>
      <c r="S100" s="472" t="str">
        <f>$F$21</f>
        <v>w/Pending</v>
      </c>
      <c r="T100" s="471"/>
    </row>
    <row r="101" spans="2:20">
      <c r="B101" s="20"/>
      <c r="C101" s="83" t="s">
        <v>147</v>
      </c>
      <c r="D101" s="83" t="s">
        <v>148</v>
      </c>
      <c r="E101" s="83" t="s">
        <v>147</v>
      </c>
      <c r="F101" s="83" t="s">
        <v>148</v>
      </c>
      <c r="G101" s="83" t="s">
        <v>147</v>
      </c>
      <c r="H101" s="83" t="s">
        <v>148</v>
      </c>
      <c r="I101" s="83" t="s">
        <v>147</v>
      </c>
      <c r="J101" s="83" t="s">
        <v>148</v>
      </c>
      <c r="L101" s="20"/>
      <c r="M101" s="83" t="s">
        <v>147</v>
      </c>
      <c r="N101" s="83" t="s">
        <v>148</v>
      </c>
      <c r="O101" s="83" t="s">
        <v>147</v>
      </c>
      <c r="P101" s="83" t="s">
        <v>148</v>
      </c>
      <c r="Q101" s="83" t="s">
        <v>147</v>
      </c>
      <c r="R101" s="83" t="s">
        <v>148</v>
      </c>
      <c r="S101" s="83" t="s">
        <v>147</v>
      </c>
      <c r="T101" s="83" t="s">
        <v>148</v>
      </c>
    </row>
    <row r="102" spans="2:20">
      <c r="B102" s="39" t="s">
        <v>199</v>
      </c>
      <c r="C102" s="83">
        <f t="shared" ref="C102:D111" si="88">$C$22*MIN(I22,$B$99)+IF($B$99-I22&gt;0,$C$23*($B$99-I22))</f>
        <v>209.63965156249998</v>
      </c>
      <c r="D102" s="83">
        <f t="shared" si="88"/>
        <v>217.35175312500002</v>
      </c>
      <c r="E102" s="83">
        <f t="shared" ref="E102:F111" si="89">$D$22*MIN(I22,$B$99)+IF($B$99-I22&gt;0,$D$23*($B$99-I22))</f>
        <v>208.15590601585379</v>
      </c>
      <c r="F102" s="83">
        <f t="shared" si="89"/>
        <v>215.82927102017152</v>
      </c>
      <c r="G102" s="83">
        <f t="shared" ref="G102:H111" si="90">$E$22*MIN(I22,$B$99)+IF($B$99-I22&gt;0,$E$23*($B$99-I22))</f>
        <v>206.814714393635</v>
      </c>
      <c r="H102" s="83">
        <f t="shared" si="90"/>
        <v>214.43863831768266</v>
      </c>
      <c r="I102" s="83">
        <f t="shared" ref="I102:J111" si="91">$F$22*MIN(I22,$B$99)+IF($B$99-I22&gt;0,$F$23*($B$99-I22))</f>
        <v>211.69189698049996</v>
      </c>
      <c r="J102" s="83">
        <f t="shared" si="91"/>
        <v>219.4956111535875</v>
      </c>
      <c r="L102" s="39" t="s">
        <v>199</v>
      </c>
      <c r="M102" s="83">
        <f>$C$22*MIN(S22,$B$99)+IF($B$99-S22&gt;0,$C$23*($B$99-S22))</f>
        <v>200.61</v>
      </c>
      <c r="N102" s="83">
        <f>$C$22*MIN(T22,$B$99)+IF($B$99-T22&gt;0,$C$23*($B$99-T22))</f>
        <v>200.61</v>
      </c>
      <c r="O102" s="83">
        <f t="shared" ref="O102:P111" si="92">$D$22*MIN(S22,$B$99)+IF($B$99-S22&gt;0,$D$23*($B$99-S22))</f>
        <v>199.17160883831386</v>
      </c>
      <c r="P102" s="83">
        <f t="shared" si="92"/>
        <v>199.17160883831386</v>
      </c>
      <c r="Q102" s="83">
        <f t="shared" ref="Q102:R111" si="93">$E$22*MIN(S22,$B$99)+IF($B$99-S22&gt;0,$E$23*($B$99-S22))</f>
        <v>197.88830490391845</v>
      </c>
      <c r="R102" s="83">
        <f t="shared" si="93"/>
        <v>197.88830490391845</v>
      </c>
      <c r="S102" s="83">
        <f t="shared" ref="S102:T111" si="94">$F$22*MIN(S22,$B$99)+IF($B$99-S22&gt;0,$F$23*($B$99-S22))</f>
        <v>202.55498153595272</v>
      </c>
      <c r="T102" s="83">
        <f t="shared" si="94"/>
        <v>202.55498153595272</v>
      </c>
    </row>
    <row r="103" spans="2:20">
      <c r="B103" s="39" t="s">
        <v>200</v>
      </c>
      <c r="C103" s="83">
        <f t="shared" si="88"/>
        <v>221.05356187500001</v>
      </c>
      <c r="D103" s="83">
        <f t="shared" si="88"/>
        <v>217.35175312500002</v>
      </c>
      <c r="E103" s="83">
        <f t="shared" si="89"/>
        <v>219.51248622224398</v>
      </c>
      <c r="F103" s="83">
        <f t="shared" si="89"/>
        <v>215.82927102017152</v>
      </c>
      <c r="G103" s="83">
        <f t="shared" si="90"/>
        <v>218.09812180122549</v>
      </c>
      <c r="H103" s="83">
        <f t="shared" si="90"/>
        <v>214.43863831768266</v>
      </c>
      <c r="I103" s="83">
        <f t="shared" si="91"/>
        <v>223.24139395666953</v>
      </c>
      <c r="J103" s="83">
        <f t="shared" si="91"/>
        <v>219.4956111535875</v>
      </c>
      <c r="L103" s="39" t="s">
        <v>200</v>
      </c>
      <c r="M103" s="83">
        <f t="shared" ref="M103:N111" si="95">$C$22*MIN(S23,$B$99)+IF($B$99-S23&gt;0,$C$23*($B$99-S23))</f>
        <v>215.53378750000002</v>
      </c>
      <c r="N103" s="83">
        <f t="shared" si="95"/>
        <v>208.81935000000001</v>
      </c>
      <c r="O103" s="83">
        <f t="shared" si="92"/>
        <v>214.02043672346582</v>
      </c>
      <c r="P103" s="83">
        <f t="shared" si="92"/>
        <v>207.33972468685243</v>
      </c>
      <c r="Q103" s="83">
        <f t="shared" si="93"/>
        <v>212.64145871505292</v>
      </c>
      <c r="R103" s="83">
        <f t="shared" si="93"/>
        <v>206.00379189000941</v>
      </c>
      <c r="S103" s="83">
        <f t="shared" si="94"/>
        <v>217.656049783833</v>
      </c>
      <c r="T103" s="83">
        <f t="shared" si="94"/>
        <v>210.86185099658636</v>
      </c>
    </row>
    <row r="104" spans="2:20">
      <c r="B104" s="39" t="s">
        <v>201</v>
      </c>
      <c r="C104" s="83">
        <f t="shared" si="88"/>
        <v>200.61</v>
      </c>
      <c r="D104" s="83">
        <f t="shared" si="88"/>
        <v>219.20265749999999</v>
      </c>
      <c r="E104" s="83">
        <f t="shared" si="89"/>
        <v>199.17160883831386</v>
      </c>
      <c r="F104" s="83">
        <f t="shared" si="89"/>
        <v>217.67087862120775</v>
      </c>
      <c r="G104" s="83">
        <f t="shared" si="90"/>
        <v>197.88830490391845</v>
      </c>
      <c r="H104" s="83">
        <f t="shared" si="90"/>
        <v>216.26838005945405</v>
      </c>
      <c r="I104" s="83">
        <f t="shared" si="91"/>
        <v>202.55498153595272</v>
      </c>
      <c r="J104" s="83">
        <f t="shared" si="91"/>
        <v>221.36850255512854</v>
      </c>
      <c r="L104" s="39" t="s">
        <v>201</v>
      </c>
      <c r="M104" s="83">
        <f t="shared" si="95"/>
        <v>200.61</v>
      </c>
      <c r="N104" s="83">
        <f t="shared" si="95"/>
        <v>205.81685625</v>
      </c>
      <c r="O104" s="83">
        <f t="shared" si="92"/>
        <v>199.17160883831386</v>
      </c>
      <c r="P104" s="83">
        <f t="shared" si="92"/>
        <v>204.35231194595178</v>
      </c>
      <c r="Q104" s="83">
        <f t="shared" si="93"/>
        <v>197.88830490391845</v>
      </c>
      <c r="R104" s="83">
        <f t="shared" si="93"/>
        <v>203.03562766824464</v>
      </c>
      <c r="S104" s="83">
        <f t="shared" si="94"/>
        <v>202.55498153595272</v>
      </c>
      <c r="T104" s="83">
        <f t="shared" si="94"/>
        <v>207.82369040681758</v>
      </c>
    </row>
    <row r="105" spans="2:20">
      <c r="B105" s="39" t="s">
        <v>202</v>
      </c>
      <c r="C105" s="83">
        <f t="shared" si="88"/>
        <v>205.01239062499999</v>
      </c>
      <c r="D105" s="83">
        <f t="shared" si="88"/>
        <v>219.81962562500001</v>
      </c>
      <c r="E105" s="83">
        <f t="shared" si="89"/>
        <v>203.55188701326318</v>
      </c>
      <c r="F105" s="83">
        <f t="shared" si="89"/>
        <v>218.28474782155314</v>
      </c>
      <c r="G105" s="83">
        <f t="shared" si="90"/>
        <v>202.24036003920642</v>
      </c>
      <c r="H105" s="83">
        <f t="shared" si="90"/>
        <v>216.87829397337788</v>
      </c>
      <c r="I105" s="83">
        <f t="shared" si="91"/>
        <v>207.00966847664745</v>
      </c>
      <c r="J105" s="83">
        <f t="shared" si="91"/>
        <v>221.99279968897554</v>
      </c>
      <c r="L105" s="39" t="s">
        <v>202</v>
      </c>
      <c r="M105" s="83">
        <f t="shared" si="95"/>
        <v>200.61</v>
      </c>
      <c r="N105" s="83">
        <f t="shared" si="95"/>
        <v>206.04489375</v>
      </c>
      <c r="O105" s="83">
        <f t="shared" si="92"/>
        <v>199.17160883831386</v>
      </c>
      <c r="P105" s="83">
        <f t="shared" si="92"/>
        <v>204.5792040528556</v>
      </c>
      <c r="Q105" s="83">
        <f t="shared" si="93"/>
        <v>197.88830490391845</v>
      </c>
      <c r="R105" s="83">
        <f t="shared" si="93"/>
        <v>203.26105786230275</v>
      </c>
      <c r="S105" s="83">
        <f t="shared" si="94"/>
        <v>202.55498153595272</v>
      </c>
      <c r="T105" s="83">
        <f t="shared" si="94"/>
        <v>208.05443678072405</v>
      </c>
    </row>
    <row r="106" spans="2:20">
      <c r="B106" s="39" t="s">
        <v>203</v>
      </c>
      <c r="C106" s="83">
        <f t="shared" si="88"/>
        <v>231.23353593749999</v>
      </c>
      <c r="D106" s="83">
        <f t="shared" si="88"/>
        <v>228.14869531249997</v>
      </c>
      <c r="E106" s="83">
        <f t="shared" si="89"/>
        <v>229.64132802794336</v>
      </c>
      <c r="F106" s="83">
        <f t="shared" si="89"/>
        <v>226.57198202621629</v>
      </c>
      <c r="G106" s="83">
        <f t="shared" si="90"/>
        <v>228.16170138096837</v>
      </c>
      <c r="H106" s="83">
        <f t="shared" si="90"/>
        <v>225.11213181134931</v>
      </c>
      <c r="I106" s="83">
        <f t="shared" si="91"/>
        <v>233.5422966651451</v>
      </c>
      <c r="J106" s="83">
        <f t="shared" si="91"/>
        <v>230.42081099591007</v>
      </c>
      <c r="L106" s="39" t="s">
        <v>203</v>
      </c>
      <c r="M106" s="83">
        <f t="shared" si="95"/>
        <v>224.30056250000001</v>
      </c>
      <c r="N106" s="83">
        <f t="shared" si="95"/>
        <v>220.56328124999999</v>
      </c>
      <c r="O106" s="83">
        <f t="shared" si="92"/>
        <v>222.7431777222138</v>
      </c>
      <c r="P106" s="83">
        <f t="shared" si="92"/>
        <v>219.02466819240072</v>
      </c>
      <c r="Q106" s="83">
        <f t="shared" si="93"/>
        <v>221.30799728661918</v>
      </c>
      <c r="R106" s="83">
        <f t="shared" si="93"/>
        <v>217.61344688400061</v>
      </c>
      <c r="S106" s="83">
        <f t="shared" si="94"/>
        <v>226.52696593623807</v>
      </c>
      <c r="T106" s="83">
        <f t="shared" si="94"/>
        <v>222.74528925277059</v>
      </c>
    </row>
    <row r="107" spans="2:20">
      <c r="B107" s="39" t="s">
        <v>204</v>
      </c>
      <c r="C107" s="83">
        <f t="shared" si="88"/>
        <v>229.38263156249999</v>
      </c>
      <c r="D107" s="83">
        <f t="shared" si="88"/>
        <v>226.2977909375</v>
      </c>
      <c r="E107" s="83">
        <f t="shared" si="89"/>
        <v>227.7997204269071</v>
      </c>
      <c r="F107" s="83">
        <f t="shared" si="89"/>
        <v>224.73037442518003</v>
      </c>
      <c r="G107" s="83">
        <f t="shared" si="90"/>
        <v>226.33195963919692</v>
      </c>
      <c r="H107" s="83">
        <f t="shared" si="90"/>
        <v>223.2823900695779</v>
      </c>
      <c r="I107" s="83">
        <f t="shared" si="91"/>
        <v>231.66940526360406</v>
      </c>
      <c r="J107" s="83">
        <f t="shared" si="91"/>
        <v>228.54791959436909</v>
      </c>
      <c r="L107" s="39" t="s">
        <v>204</v>
      </c>
      <c r="M107" s="83">
        <f t="shared" si="95"/>
        <v>221.69080000000002</v>
      </c>
      <c r="N107" s="83">
        <f t="shared" si="95"/>
        <v>215.91385</v>
      </c>
      <c r="O107" s="83">
        <f t="shared" si="92"/>
        <v>220.14652360986975</v>
      </c>
      <c r="P107" s="83">
        <f t="shared" si="92"/>
        <v>214.39859023497223</v>
      </c>
      <c r="Q107" s="83">
        <f t="shared" si="93"/>
        <v>218.72807395462115</v>
      </c>
      <c r="R107" s="83">
        <f t="shared" si="93"/>
        <v>213.01717570514973</v>
      </c>
      <c r="S107" s="83">
        <f t="shared" si="94"/>
        <v>223.88620187930823</v>
      </c>
      <c r="T107" s="83">
        <f t="shared" si="94"/>
        <v>218.04062707367714</v>
      </c>
    </row>
    <row r="108" spans="2:20">
      <c r="B108" s="39" t="s">
        <v>205</v>
      </c>
      <c r="C108" s="83">
        <f t="shared" si="88"/>
        <v>200.61</v>
      </c>
      <c r="D108" s="83">
        <f t="shared" si="88"/>
        <v>221.05356187500001</v>
      </c>
      <c r="E108" s="83">
        <f t="shared" si="89"/>
        <v>199.17160883831386</v>
      </c>
      <c r="F108" s="83">
        <f t="shared" si="89"/>
        <v>219.51248622224398</v>
      </c>
      <c r="G108" s="83">
        <f t="shared" si="90"/>
        <v>197.88830490391845</v>
      </c>
      <c r="H108" s="83">
        <f t="shared" si="90"/>
        <v>218.09812180122549</v>
      </c>
      <c r="I108" s="83">
        <f t="shared" si="91"/>
        <v>202.55498153595272</v>
      </c>
      <c r="J108" s="83">
        <f t="shared" si="91"/>
        <v>223.24139395666953</v>
      </c>
      <c r="L108" s="39" t="s">
        <v>205</v>
      </c>
      <c r="M108" s="83">
        <f t="shared" si="95"/>
        <v>200.61</v>
      </c>
      <c r="N108" s="83">
        <f t="shared" si="95"/>
        <v>208.50263124999998</v>
      </c>
      <c r="O108" s="83">
        <f t="shared" si="92"/>
        <v>199.17160883831386</v>
      </c>
      <c r="P108" s="83">
        <f t="shared" si="92"/>
        <v>207.02459676059709</v>
      </c>
      <c r="Q108" s="83">
        <f t="shared" si="93"/>
        <v>197.88830490391845</v>
      </c>
      <c r="R108" s="83">
        <f t="shared" si="93"/>
        <v>205.69069439826205</v>
      </c>
      <c r="S108" s="83">
        <f t="shared" si="94"/>
        <v>202.55498153595272</v>
      </c>
      <c r="T108" s="83">
        <f t="shared" si="94"/>
        <v>210.54136992171624</v>
      </c>
    </row>
    <row r="109" spans="2:20">
      <c r="B109" s="39" t="s">
        <v>206</v>
      </c>
      <c r="C109" s="83">
        <f t="shared" si="88"/>
        <v>221.05356187500001</v>
      </c>
      <c r="D109" s="83">
        <f t="shared" si="88"/>
        <v>221.3620459375</v>
      </c>
      <c r="E109" s="83">
        <f t="shared" si="89"/>
        <v>219.51248622224398</v>
      </c>
      <c r="F109" s="83">
        <f t="shared" si="89"/>
        <v>219.8194208224167</v>
      </c>
      <c r="G109" s="83">
        <f t="shared" si="90"/>
        <v>218.09812180122549</v>
      </c>
      <c r="H109" s="83">
        <f t="shared" si="90"/>
        <v>218.40307875818741</v>
      </c>
      <c r="I109" s="83">
        <f t="shared" si="91"/>
        <v>223.24139395666953</v>
      </c>
      <c r="J109" s="83">
        <f t="shared" si="91"/>
        <v>223.55354252359302</v>
      </c>
      <c r="L109" s="39" t="s">
        <v>206</v>
      </c>
      <c r="M109" s="83">
        <f t="shared" si="95"/>
        <v>206.86836249999999</v>
      </c>
      <c r="N109" s="83">
        <f t="shared" si="95"/>
        <v>212.60730625000002</v>
      </c>
      <c r="O109" s="83">
        <f t="shared" si="92"/>
        <v>205.39853666111952</v>
      </c>
      <c r="P109" s="83">
        <f t="shared" si="92"/>
        <v>211.10865468486639</v>
      </c>
      <c r="Q109" s="83">
        <f t="shared" si="93"/>
        <v>204.07511134084584</v>
      </c>
      <c r="R109" s="83">
        <f t="shared" si="93"/>
        <v>209.74843789130756</v>
      </c>
      <c r="S109" s="83">
        <f t="shared" si="94"/>
        <v>208.88768757538639</v>
      </c>
      <c r="T109" s="83">
        <f t="shared" si="94"/>
        <v>214.69480465203304</v>
      </c>
    </row>
    <row r="110" spans="2:20">
      <c r="B110" s="39" t="s">
        <v>207</v>
      </c>
      <c r="C110" s="83">
        <f t="shared" si="88"/>
        <v>218.8941734375</v>
      </c>
      <c r="D110" s="83">
        <f t="shared" si="88"/>
        <v>217.04326906249997</v>
      </c>
      <c r="E110" s="83">
        <f t="shared" si="89"/>
        <v>217.36394402103502</v>
      </c>
      <c r="F110" s="83">
        <f t="shared" si="89"/>
        <v>215.52233641999879</v>
      </c>
      <c r="G110" s="83">
        <f t="shared" si="90"/>
        <v>215.96342310249216</v>
      </c>
      <c r="H110" s="83">
        <f t="shared" si="90"/>
        <v>214.13368136072071</v>
      </c>
      <c r="I110" s="83">
        <f t="shared" si="91"/>
        <v>221.05635398820505</v>
      </c>
      <c r="J110" s="83">
        <f t="shared" si="91"/>
        <v>219.18346258666401</v>
      </c>
      <c r="L110" s="39" t="s">
        <v>207</v>
      </c>
      <c r="M110" s="83">
        <f t="shared" si="95"/>
        <v>200.61</v>
      </c>
      <c r="N110" s="83">
        <f t="shared" si="95"/>
        <v>200.61</v>
      </c>
      <c r="O110" s="83">
        <f t="shared" si="92"/>
        <v>199.17160883831386</v>
      </c>
      <c r="P110" s="83">
        <f t="shared" si="92"/>
        <v>199.17160883831386</v>
      </c>
      <c r="Q110" s="83">
        <f t="shared" si="93"/>
        <v>197.88830490391845</v>
      </c>
      <c r="R110" s="83">
        <f t="shared" si="93"/>
        <v>197.88830490391845</v>
      </c>
      <c r="S110" s="83">
        <f t="shared" si="94"/>
        <v>202.55498153595272</v>
      </c>
      <c r="T110" s="83">
        <f t="shared" si="94"/>
        <v>202.55498153595272</v>
      </c>
    </row>
    <row r="111" spans="2:20">
      <c r="B111" s="39" t="s">
        <v>208</v>
      </c>
      <c r="C111" s="83">
        <f t="shared" si="88"/>
        <v>233.08444031249996</v>
      </c>
      <c r="D111" s="83">
        <f t="shared" si="88"/>
        <v>227.22324312499995</v>
      </c>
      <c r="E111" s="83">
        <f t="shared" si="89"/>
        <v>231.48293562897959</v>
      </c>
      <c r="F111" s="83">
        <f t="shared" si="89"/>
        <v>225.65117822569815</v>
      </c>
      <c r="G111" s="83">
        <f t="shared" si="90"/>
        <v>229.99144312273978</v>
      </c>
      <c r="H111" s="83">
        <f t="shared" si="90"/>
        <v>224.19726094046359</v>
      </c>
      <c r="I111" s="83">
        <f t="shared" si="91"/>
        <v>235.41518806668608</v>
      </c>
      <c r="J111" s="83">
        <f t="shared" si="91"/>
        <v>229.48436529513955</v>
      </c>
      <c r="L111" s="39" t="s">
        <v>208</v>
      </c>
      <c r="M111" s="83">
        <f t="shared" si="95"/>
        <v>228.6586125</v>
      </c>
      <c r="N111" s="83">
        <f t="shared" si="95"/>
        <v>227.01167499999997</v>
      </c>
      <c r="O111" s="83">
        <f t="shared" si="92"/>
        <v>227.07933798748738</v>
      </c>
      <c r="P111" s="83">
        <f t="shared" si="92"/>
        <v>225.44067277095957</v>
      </c>
      <c r="Q111" s="83">
        <f t="shared" si="93"/>
        <v>225.61621877306254</v>
      </c>
      <c r="R111" s="83">
        <f t="shared" si="93"/>
        <v>223.98811181597637</v>
      </c>
      <c r="S111" s="83">
        <f t="shared" si="94"/>
        <v>230.93678552645096</v>
      </c>
      <c r="T111" s="83">
        <f t="shared" si="94"/>
        <v>229.27028393712629</v>
      </c>
    </row>
    <row r="112" spans="2:20">
      <c r="B112" s="39" t="s">
        <v>198</v>
      </c>
      <c r="C112" s="107">
        <f t="shared" ref="C112:J112" si="96">SUMPRODUCT(C102:C111,$U$22:$U$31)</f>
        <v>206.81196978351772</v>
      </c>
      <c r="D112" s="107">
        <f t="shared" si="96"/>
        <v>220.24463620316951</v>
      </c>
      <c r="E112" s="107">
        <f t="shared" si="96"/>
        <v>205.3424271955418</v>
      </c>
      <c r="F112" s="107">
        <f t="shared" si="96"/>
        <v>218.70762364477213</v>
      </c>
      <c r="G112" s="107">
        <f t="shared" si="96"/>
        <v>204.01936340017789</v>
      </c>
      <c r="H112" s="107">
        <f t="shared" si="96"/>
        <v>217.29844512006855</v>
      </c>
      <c r="I112" s="107">
        <f t="shared" si="96"/>
        <v>208.83062496575846</v>
      </c>
      <c r="J112" s="107">
        <f t="shared" si="96"/>
        <v>222.42285899845103</v>
      </c>
      <c r="L112" s="39" t="s">
        <v>198</v>
      </c>
      <c r="M112" s="107">
        <f t="shared" ref="M112:T112" si="97">SUMPRODUCT(M102:M111,$AC$22:$AC$31)</f>
        <v>202.33050344345901</v>
      </c>
      <c r="N112" s="107">
        <f t="shared" si="97"/>
        <v>205.75823301994285</v>
      </c>
      <c r="O112" s="107">
        <f t="shared" si="97"/>
        <v>200.88347048923421</v>
      </c>
      <c r="P112" s="107">
        <f t="shared" si="97"/>
        <v>204.29398317028475</v>
      </c>
      <c r="Q112" s="107">
        <f t="shared" si="97"/>
        <v>199.58913667560762</v>
      </c>
      <c r="R112" s="107">
        <f t="shared" si="97"/>
        <v>202.97767471696207</v>
      </c>
      <c r="S112" s="107">
        <f t="shared" si="97"/>
        <v>204.29592296388364</v>
      </c>
      <c r="T112" s="107">
        <f t="shared" si="97"/>
        <v>207.76437078718317</v>
      </c>
    </row>
    <row r="114" spans="2:20">
      <c r="B114" s="393">
        <f>Summary!I$4</f>
        <v>500</v>
      </c>
      <c r="C114" s="468" t="s">
        <v>246</v>
      </c>
      <c r="D114" s="468"/>
      <c r="E114" s="468"/>
      <c r="F114" s="468"/>
      <c r="G114" s="468"/>
      <c r="H114" s="468"/>
      <c r="I114" s="468"/>
      <c r="J114" s="468"/>
      <c r="L114" s="393">
        <f>Summary!I$4</f>
        <v>500</v>
      </c>
      <c r="M114" s="468" t="s">
        <v>248</v>
      </c>
      <c r="N114" s="468"/>
      <c r="O114" s="468"/>
      <c r="P114" s="468"/>
      <c r="Q114" s="468"/>
      <c r="R114" s="468"/>
      <c r="S114" s="468"/>
      <c r="T114" s="468"/>
    </row>
    <row r="115" spans="2:20">
      <c r="B115" s="20"/>
      <c r="C115" s="469">
        <f>$C$27</f>
        <v>45658</v>
      </c>
      <c r="D115" s="470"/>
      <c r="E115" s="469">
        <f>$D$27</f>
        <v>45901</v>
      </c>
      <c r="F115" s="470"/>
      <c r="G115" s="471" t="str">
        <f>$E$21</f>
        <v>Authorized</v>
      </c>
      <c r="H115" s="471"/>
      <c r="I115" s="472" t="str">
        <f>$F$21</f>
        <v>w/Pending</v>
      </c>
      <c r="J115" s="471"/>
      <c r="L115" s="20"/>
      <c r="M115" s="469">
        <f>$C$27</f>
        <v>45658</v>
      </c>
      <c r="N115" s="470"/>
      <c r="O115" s="469">
        <f>$D$27</f>
        <v>45901</v>
      </c>
      <c r="P115" s="470"/>
      <c r="Q115" s="471" t="str">
        <f>$E$21</f>
        <v>Authorized</v>
      </c>
      <c r="R115" s="471"/>
      <c r="S115" s="472" t="str">
        <f>$F$21</f>
        <v>w/Pending</v>
      </c>
      <c r="T115" s="471"/>
    </row>
    <row r="116" spans="2:20">
      <c r="B116" s="20"/>
      <c r="C116" s="83" t="s">
        <v>147</v>
      </c>
      <c r="D116" s="83" t="s">
        <v>148</v>
      </c>
      <c r="E116" s="83" t="s">
        <v>147</v>
      </c>
      <c r="F116" s="83" t="s">
        <v>148</v>
      </c>
      <c r="G116" s="83" t="s">
        <v>147</v>
      </c>
      <c r="H116" s="83" t="s">
        <v>148</v>
      </c>
      <c r="I116" s="83" t="s">
        <v>147</v>
      </c>
      <c r="J116" s="83" t="s">
        <v>148</v>
      </c>
      <c r="L116" s="20"/>
      <c r="M116" s="83" t="s">
        <v>147</v>
      </c>
      <c r="N116" s="83" t="s">
        <v>148</v>
      </c>
      <c r="O116" s="83" t="s">
        <v>147</v>
      </c>
      <c r="P116" s="83" t="s">
        <v>148</v>
      </c>
      <c r="Q116" s="83" t="s">
        <v>147</v>
      </c>
      <c r="R116" s="83" t="s">
        <v>148</v>
      </c>
      <c r="S116" s="83" t="s">
        <v>147</v>
      </c>
      <c r="T116" s="83" t="s">
        <v>148</v>
      </c>
    </row>
    <row r="117" spans="2:20">
      <c r="B117" s="39" t="s">
        <v>199</v>
      </c>
      <c r="C117" s="83">
        <f t="shared" ref="C117:D126" si="98">$C$28*MIN(I22,$B$114)+IF($B$114-I22&gt;0,$C$29*($B$114-I22))</f>
        <v>128.56449624999999</v>
      </c>
      <c r="D117" s="83">
        <f t="shared" si="98"/>
        <v>133.5775525</v>
      </c>
      <c r="E117" s="83">
        <f t="shared" ref="E117:F126" si="99">$D$28*MIN(I22,$B$114)+IF($B$114-I22&gt;0,$D$29*($B$114-I22))</f>
        <v>128.10253465208154</v>
      </c>
      <c r="F117" s="83">
        <f t="shared" si="99"/>
        <v>133.09022190488815</v>
      </c>
      <c r="G117" s="83">
        <f t="shared" ref="G117:H126" si="100">$E$28*MIN(I22,$B$114)+IF($B$114-I22&gt;0,$E$29*($B$114-I22))</f>
        <v>127.27714348471646</v>
      </c>
      <c r="H117" s="83">
        <f t="shared" si="100"/>
        <v>132.23269403534749</v>
      </c>
      <c r="I117" s="83">
        <f t="shared" ref="I117:J126" si="101">$F$28*MIN(I22,$B$114)+IF($B$114-I22&gt;0,$F$29*($B$114-I22))</f>
        <v>130.27864107994114</v>
      </c>
      <c r="J117" s="83">
        <f t="shared" si="101"/>
        <v>135.35105529244814</v>
      </c>
      <c r="L117" s="39" t="s">
        <v>199</v>
      </c>
      <c r="M117" s="83">
        <f t="shared" ref="M117:N126" si="102">$C$28*MIN(S22,$B$114)+IF($B$114-S22&gt;0,$C$29*($B$114-S22))</f>
        <v>122.69499999999999</v>
      </c>
      <c r="N117" s="83">
        <f t="shared" si="102"/>
        <v>122.69499999999999</v>
      </c>
      <c r="O117" s="83">
        <f t="shared" ref="O117:P126" si="103">$D$28*MIN(S22,$B$114)+IF($B$114-S22&gt;0,$D$29*($B$114-S22))</f>
        <v>122.2627414866805</v>
      </c>
      <c r="P117" s="83">
        <f t="shared" si="103"/>
        <v>122.2627414866805</v>
      </c>
      <c r="Q117" s="83">
        <f t="shared" ref="Q117:R126" si="104">$E$28*MIN(S22,$B$114)+IF($B$114-S22&gt;0,$E$29*($B$114-S22))</f>
        <v>121.4749773164006</v>
      </c>
      <c r="R117" s="83">
        <f t="shared" si="104"/>
        <v>121.4749773164006</v>
      </c>
      <c r="S117" s="83">
        <f t="shared" ref="S117:T126" si="105">$F$28*MIN(S22,$B$114)+IF($B$114-S22&gt;0,$F$29*($B$114-S22))</f>
        <v>124.33964604098533</v>
      </c>
      <c r="T117" s="83">
        <f t="shared" si="105"/>
        <v>124.33964604098533</v>
      </c>
    </row>
    <row r="118" spans="2:20">
      <c r="B118" s="39" t="s">
        <v>200</v>
      </c>
      <c r="C118" s="83">
        <f t="shared" si="98"/>
        <v>135.98381949999998</v>
      </c>
      <c r="D118" s="83">
        <f t="shared" si="98"/>
        <v>133.5775525</v>
      </c>
      <c r="E118" s="83">
        <f t="shared" si="99"/>
        <v>135.48431178623531</v>
      </c>
      <c r="F118" s="83">
        <f t="shared" si="99"/>
        <v>133.09022190488815</v>
      </c>
      <c r="G118" s="83">
        <f t="shared" si="100"/>
        <v>134.61135829965042</v>
      </c>
      <c r="H118" s="83">
        <f t="shared" si="100"/>
        <v>132.23269403534749</v>
      </c>
      <c r="I118" s="83">
        <f t="shared" si="101"/>
        <v>137.78581411445148</v>
      </c>
      <c r="J118" s="83">
        <f t="shared" si="101"/>
        <v>135.35105529244814</v>
      </c>
      <c r="L118" s="39" t="s">
        <v>200</v>
      </c>
      <c r="M118" s="83">
        <f t="shared" si="102"/>
        <v>132.39582999999999</v>
      </c>
      <c r="N118" s="83">
        <f t="shared" si="102"/>
        <v>128.03128000000001</v>
      </c>
      <c r="O118" s="83">
        <f t="shared" si="103"/>
        <v>131.91447961202942</v>
      </c>
      <c r="P118" s="83">
        <f t="shared" si="103"/>
        <v>127.57201678823067</v>
      </c>
      <c r="Q118" s="83">
        <f t="shared" si="104"/>
        <v>131.06452729363815</v>
      </c>
      <c r="R118" s="83">
        <f t="shared" si="104"/>
        <v>126.7500438573598</v>
      </c>
      <c r="S118" s="83">
        <f t="shared" si="105"/>
        <v>134.15534040210767</v>
      </c>
      <c r="T118" s="83">
        <f t="shared" si="105"/>
        <v>129.7391111903973</v>
      </c>
    </row>
    <row r="119" spans="2:20">
      <c r="B119" s="39" t="s">
        <v>201</v>
      </c>
      <c r="C119" s="83">
        <f t="shared" si="98"/>
        <v>122.69499999999999</v>
      </c>
      <c r="D119" s="83">
        <f t="shared" si="98"/>
        <v>134.780686</v>
      </c>
      <c r="E119" s="83">
        <f t="shared" si="99"/>
        <v>122.2627414866805</v>
      </c>
      <c r="F119" s="83">
        <f t="shared" si="99"/>
        <v>134.28726684556173</v>
      </c>
      <c r="G119" s="83">
        <f t="shared" si="100"/>
        <v>121.4749773164006</v>
      </c>
      <c r="H119" s="83">
        <f t="shared" si="100"/>
        <v>133.42202616749893</v>
      </c>
      <c r="I119" s="83">
        <f t="shared" si="101"/>
        <v>124.33964604098533</v>
      </c>
      <c r="J119" s="83">
        <f t="shared" si="101"/>
        <v>136.56843470344981</v>
      </c>
      <c r="L119" s="39" t="s">
        <v>201</v>
      </c>
      <c r="M119" s="83">
        <f t="shared" si="102"/>
        <v>122.69499999999999</v>
      </c>
      <c r="N119" s="83">
        <f t="shared" si="102"/>
        <v>126.07958499999999</v>
      </c>
      <c r="O119" s="83">
        <f t="shared" si="103"/>
        <v>122.2627414866805</v>
      </c>
      <c r="P119" s="83">
        <f t="shared" si="103"/>
        <v>125.63019850664519</v>
      </c>
      <c r="Q119" s="83">
        <f t="shared" si="104"/>
        <v>121.4749773164006</v>
      </c>
      <c r="R119" s="83">
        <f t="shared" si="104"/>
        <v>124.82073711321269</v>
      </c>
      <c r="S119" s="83">
        <f t="shared" si="105"/>
        <v>124.33964604098533</v>
      </c>
      <c r="T119" s="83">
        <f t="shared" si="105"/>
        <v>127.76430680704753</v>
      </c>
    </row>
    <row r="120" spans="2:20">
      <c r="B120" s="39" t="s">
        <v>202</v>
      </c>
      <c r="C120" s="83">
        <f t="shared" si="98"/>
        <v>125.5566625</v>
      </c>
      <c r="D120" s="83">
        <f t="shared" si="98"/>
        <v>135.18173050000001</v>
      </c>
      <c r="E120" s="83">
        <f t="shared" si="99"/>
        <v>125.1099223003976</v>
      </c>
      <c r="F120" s="83">
        <f t="shared" si="99"/>
        <v>134.68628182578624</v>
      </c>
      <c r="G120" s="83">
        <f t="shared" si="100"/>
        <v>124.30381315433783</v>
      </c>
      <c r="H120" s="83">
        <f t="shared" si="100"/>
        <v>133.81847021154942</v>
      </c>
      <c r="I120" s="83">
        <f t="shared" si="101"/>
        <v>127.23519255243696</v>
      </c>
      <c r="J120" s="83">
        <f t="shared" si="101"/>
        <v>136.97422784045037</v>
      </c>
      <c r="L120" s="39" t="s">
        <v>202</v>
      </c>
      <c r="M120" s="83">
        <f t="shared" si="102"/>
        <v>122.69499999999999</v>
      </c>
      <c r="N120" s="83">
        <f t="shared" si="102"/>
        <v>126.22781499999999</v>
      </c>
      <c r="O120" s="83">
        <f t="shared" si="103"/>
        <v>122.2627414866805</v>
      </c>
      <c r="P120" s="83">
        <f t="shared" si="103"/>
        <v>125.7776783761327</v>
      </c>
      <c r="Q120" s="83">
        <f t="shared" si="104"/>
        <v>121.4749773164006</v>
      </c>
      <c r="R120" s="83">
        <f t="shared" si="104"/>
        <v>124.96726673935044</v>
      </c>
      <c r="S120" s="83">
        <f t="shared" si="105"/>
        <v>124.33964604098533</v>
      </c>
      <c r="T120" s="83">
        <f t="shared" si="105"/>
        <v>127.91429195008675</v>
      </c>
    </row>
    <row r="121" spans="2:20">
      <c r="B121" s="39" t="s">
        <v>203</v>
      </c>
      <c r="C121" s="83">
        <f t="shared" si="98"/>
        <v>142.60105375000001</v>
      </c>
      <c r="D121" s="83">
        <f t="shared" si="98"/>
        <v>140.59583125</v>
      </c>
      <c r="E121" s="83">
        <f t="shared" si="99"/>
        <v>142.06805895994</v>
      </c>
      <c r="F121" s="83">
        <f t="shared" si="99"/>
        <v>140.07298405881735</v>
      </c>
      <c r="G121" s="83">
        <f t="shared" si="100"/>
        <v>141.15268502648337</v>
      </c>
      <c r="H121" s="83">
        <f t="shared" si="100"/>
        <v>139.17046480623097</v>
      </c>
      <c r="I121" s="83">
        <f t="shared" si="101"/>
        <v>144.48140087496071</v>
      </c>
      <c r="J121" s="83">
        <f t="shared" si="101"/>
        <v>142.45243518995792</v>
      </c>
      <c r="L121" s="39" t="s">
        <v>203</v>
      </c>
      <c r="M121" s="83">
        <f t="shared" si="102"/>
        <v>138.09444999999999</v>
      </c>
      <c r="N121" s="83">
        <f t="shared" si="102"/>
        <v>135.66512499999999</v>
      </c>
      <c r="O121" s="83">
        <f t="shared" si="103"/>
        <v>137.58426126121572</v>
      </c>
      <c r="P121" s="83">
        <f t="shared" si="103"/>
        <v>135.16723006683716</v>
      </c>
      <c r="Q121" s="83">
        <f t="shared" si="104"/>
        <v>136.69777736515636</v>
      </c>
      <c r="R121" s="83">
        <f t="shared" si="104"/>
        <v>134.29631960345424</v>
      </c>
      <c r="S121" s="83">
        <f t="shared" si="105"/>
        <v>139.92143590117104</v>
      </c>
      <c r="T121" s="83">
        <f t="shared" si="105"/>
        <v>137.46334605691715</v>
      </c>
    </row>
    <row r="122" spans="2:20">
      <c r="B122" s="39" t="s">
        <v>204</v>
      </c>
      <c r="C122" s="83">
        <f t="shared" si="98"/>
        <v>141.39792025</v>
      </c>
      <c r="D122" s="83">
        <f t="shared" si="98"/>
        <v>139.39269775</v>
      </c>
      <c r="E122" s="83">
        <f t="shared" si="99"/>
        <v>140.87101401926643</v>
      </c>
      <c r="F122" s="83">
        <f t="shared" si="99"/>
        <v>138.87593911814378</v>
      </c>
      <c r="G122" s="83">
        <f t="shared" si="100"/>
        <v>139.96335289433193</v>
      </c>
      <c r="H122" s="83">
        <f t="shared" si="100"/>
        <v>137.9811326740795</v>
      </c>
      <c r="I122" s="83">
        <f t="shared" si="101"/>
        <v>143.26402146395901</v>
      </c>
      <c r="J122" s="83">
        <f t="shared" si="101"/>
        <v>141.23505577895622</v>
      </c>
      <c r="L122" s="39" t="s">
        <v>204</v>
      </c>
      <c r="M122" s="83">
        <f t="shared" si="102"/>
        <v>136.39803999999998</v>
      </c>
      <c r="N122" s="83">
        <f t="shared" si="102"/>
        <v>132.64287999999999</v>
      </c>
      <c r="O122" s="83">
        <f t="shared" si="103"/>
        <v>135.89643608819205</v>
      </c>
      <c r="P122" s="83">
        <f t="shared" si="103"/>
        <v>132.16027939450859</v>
      </c>
      <c r="Q122" s="83">
        <f t="shared" si="104"/>
        <v>135.02082719935757</v>
      </c>
      <c r="R122" s="83">
        <f t="shared" si="104"/>
        <v>131.30874333720109</v>
      </c>
      <c r="S122" s="83">
        <f t="shared" si="105"/>
        <v>138.20493926416663</v>
      </c>
      <c r="T122" s="83">
        <f t="shared" si="105"/>
        <v>134.40531564050639</v>
      </c>
    </row>
    <row r="123" spans="2:20">
      <c r="B123" s="39" t="s">
        <v>205</v>
      </c>
      <c r="C123" s="83">
        <f t="shared" si="98"/>
        <v>122.69499999999999</v>
      </c>
      <c r="D123" s="83">
        <f t="shared" si="98"/>
        <v>135.98381949999998</v>
      </c>
      <c r="E123" s="83">
        <f t="shared" si="99"/>
        <v>122.2627414866805</v>
      </c>
      <c r="F123" s="83">
        <f t="shared" si="99"/>
        <v>135.48431178623531</v>
      </c>
      <c r="G123" s="83">
        <f t="shared" si="100"/>
        <v>121.4749773164006</v>
      </c>
      <c r="H123" s="83">
        <f t="shared" si="100"/>
        <v>134.61135829965042</v>
      </c>
      <c r="I123" s="83">
        <f t="shared" si="101"/>
        <v>124.33964604098533</v>
      </c>
      <c r="J123" s="83">
        <f t="shared" si="101"/>
        <v>137.78581411445148</v>
      </c>
      <c r="L123" s="39" t="s">
        <v>205</v>
      </c>
      <c r="M123" s="83">
        <f t="shared" si="102"/>
        <v>122.69499999999999</v>
      </c>
      <c r="N123" s="83">
        <f t="shared" si="102"/>
        <v>127.82540499999999</v>
      </c>
      <c r="O123" s="83">
        <f t="shared" si="103"/>
        <v>122.2627414866805</v>
      </c>
      <c r="P123" s="83">
        <f t="shared" si="103"/>
        <v>127.36718363616468</v>
      </c>
      <c r="Q123" s="83">
        <f t="shared" si="104"/>
        <v>121.4749773164006</v>
      </c>
      <c r="R123" s="83">
        <f t="shared" si="104"/>
        <v>126.54653048772404</v>
      </c>
      <c r="S123" s="83">
        <f t="shared" si="105"/>
        <v>124.33964604098533</v>
      </c>
      <c r="T123" s="83">
        <f t="shared" si="105"/>
        <v>129.5307984917317</v>
      </c>
    </row>
    <row r="124" spans="2:20">
      <c r="B124" s="39" t="s">
        <v>206</v>
      </c>
      <c r="C124" s="83">
        <f>$C$28*MIN(I29,$B$114)+IF($B$114-I29&gt;0,$C$29*($B$114-I29))</f>
        <v>135.98381949999998</v>
      </c>
      <c r="D124" s="83">
        <f>$C$28*MIN(J29,$B$114)+IF($B$114-J29&gt;0,$C$29*($B$114-J29))</f>
        <v>136.18434174999999</v>
      </c>
      <c r="E124" s="83">
        <f t="shared" si="99"/>
        <v>135.48431178623531</v>
      </c>
      <c r="F124" s="83">
        <f t="shared" si="99"/>
        <v>135.68381927634755</v>
      </c>
      <c r="G124" s="83">
        <f t="shared" si="100"/>
        <v>134.61135829965042</v>
      </c>
      <c r="H124" s="83">
        <f t="shared" si="100"/>
        <v>134.80958032167564</v>
      </c>
      <c r="I124" s="83">
        <f t="shared" si="101"/>
        <v>137.78581411445148</v>
      </c>
      <c r="J124" s="83">
        <f t="shared" si="101"/>
        <v>137.98871068295176</v>
      </c>
      <c r="L124" s="39" t="s">
        <v>206</v>
      </c>
      <c r="M124" s="83">
        <f t="shared" si="102"/>
        <v>126.76309000000001</v>
      </c>
      <c r="N124" s="83">
        <f t="shared" si="102"/>
        <v>130.49354499999998</v>
      </c>
      <c r="O124" s="83">
        <f t="shared" si="103"/>
        <v>126.31024457150423</v>
      </c>
      <c r="P124" s="83">
        <f t="shared" si="103"/>
        <v>130.02182128693977</v>
      </c>
      <c r="Q124" s="83">
        <f t="shared" si="104"/>
        <v>125.49640150040345</v>
      </c>
      <c r="R124" s="83">
        <f t="shared" si="104"/>
        <v>129.18406375820365</v>
      </c>
      <c r="S124" s="83">
        <f t="shared" si="105"/>
        <v>128.45590496661728</v>
      </c>
      <c r="T124" s="83">
        <f t="shared" si="105"/>
        <v>132.23053106643766</v>
      </c>
    </row>
    <row r="125" spans="2:20">
      <c r="B125" s="39" t="s">
        <v>207</v>
      </c>
      <c r="C125" s="83">
        <f t="shared" si="98"/>
        <v>134.58016375</v>
      </c>
      <c r="D125" s="83">
        <f t="shared" si="98"/>
        <v>133.37703025000002</v>
      </c>
      <c r="E125" s="83">
        <f t="shared" si="99"/>
        <v>134.08775935544946</v>
      </c>
      <c r="F125" s="83">
        <f t="shared" si="99"/>
        <v>132.89071441477586</v>
      </c>
      <c r="G125" s="83">
        <f t="shared" si="100"/>
        <v>133.22380414547371</v>
      </c>
      <c r="H125" s="83">
        <f t="shared" si="100"/>
        <v>132.03447201332227</v>
      </c>
      <c r="I125" s="83">
        <f t="shared" si="101"/>
        <v>136.36553813494953</v>
      </c>
      <c r="J125" s="83">
        <f t="shared" si="101"/>
        <v>135.14815872394786</v>
      </c>
      <c r="L125" s="39" t="s">
        <v>207</v>
      </c>
      <c r="M125" s="83">
        <f t="shared" si="102"/>
        <v>122.69499999999999</v>
      </c>
      <c r="N125" s="83">
        <f t="shared" si="102"/>
        <v>122.69499999999999</v>
      </c>
      <c r="O125" s="83">
        <f t="shared" si="103"/>
        <v>122.2627414866805</v>
      </c>
      <c r="P125" s="83">
        <f t="shared" si="103"/>
        <v>122.2627414866805</v>
      </c>
      <c r="Q125" s="83">
        <f t="shared" si="104"/>
        <v>121.4749773164006</v>
      </c>
      <c r="R125" s="83">
        <f t="shared" si="104"/>
        <v>121.4749773164006</v>
      </c>
      <c r="S125" s="83">
        <f t="shared" si="105"/>
        <v>124.33964604098533</v>
      </c>
      <c r="T125" s="83">
        <f t="shared" si="105"/>
        <v>124.33964604098533</v>
      </c>
    </row>
    <row r="126" spans="2:20">
      <c r="B126" s="39" t="s">
        <v>208</v>
      </c>
      <c r="C126" s="83">
        <f t="shared" si="98"/>
        <v>143.80418724999998</v>
      </c>
      <c r="D126" s="83">
        <f t="shared" si="98"/>
        <v>139.99426449999999</v>
      </c>
      <c r="E126" s="83">
        <f t="shared" si="99"/>
        <v>143.26510390061358</v>
      </c>
      <c r="F126" s="83">
        <f t="shared" si="99"/>
        <v>139.47446158848058</v>
      </c>
      <c r="G126" s="83">
        <f t="shared" si="100"/>
        <v>142.34201715863483</v>
      </c>
      <c r="H126" s="83">
        <f t="shared" si="100"/>
        <v>138.57579874015522</v>
      </c>
      <c r="I126" s="83">
        <f t="shared" si="101"/>
        <v>145.69878028596239</v>
      </c>
      <c r="J126" s="83">
        <f t="shared" si="101"/>
        <v>141.84374548445706</v>
      </c>
      <c r="L126" s="39" t="s">
        <v>208</v>
      </c>
      <c r="M126" s="83">
        <f t="shared" si="102"/>
        <v>140.92729</v>
      </c>
      <c r="N126" s="83">
        <f t="shared" si="102"/>
        <v>139.85674</v>
      </c>
      <c r="O126" s="83">
        <f t="shared" si="103"/>
        <v>140.40276543364359</v>
      </c>
      <c r="P126" s="83">
        <f t="shared" si="103"/>
        <v>139.33763304290051</v>
      </c>
      <c r="Q126" s="83">
        <f t="shared" si="104"/>
        <v>139.49812133134455</v>
      </c>
      <c r="R126" s="83">
        <f t="shared" si="104"/>
        <v>138.43985180923855</v>
      </c>
      <c r="S126" s="83">
        <f t="shared" si="105"/>
        <v>142.7878186348095</v>
      </c>
      <c r="T126" s="83">
        <f t="shared" si="105"/>
        <v>141.70459260174846</v>
      </c>
    </row>
    <row r="127" spans="2:20">
      <c r="B127" s="39" t="s">
        <v>198</v>
      </c>
      <c r="C127" s="107">
        <f>SUMPRODUCT(C117:C126,$V$22:$V$31)</f>
        <v>124.64490638204735</v>
      </c>
      <c r="D127" s="107">
        <f t="shared" ref="D127:J127" si="106">SUMPRODUCT(D117:D126,$V$22:$V$31)</f>
        <v>135.32325044827368</v>
      </c>
      <c r="E127" s="107">
        <f t="shared" si="106"/>
        <v>124.20278020176646</v>
      </c>
      <c r="F127" s="107">
        <f t="shared" si="106"/>
        <v>134.82708560033447</v>
      </c>
      <c r="G127" s="107">
        <f t="shared" si="106"/>
        <v>123.40251596016383</v>
      </c>
      <c r="H127" s="107">
        <f t="shared" si="106"/>
        <v>133.95836675821059</v>
      </c>
      <c r="I127" s="107">
        <f t="shared" si="106"/>
        <v>126.31264062794115</v>
      </c>
      <c r="J127" s="107">
        <f t="shared" si="106"/>
        <v>137.11742348023137</v>
      </c>
      <c r="L127" s="39" t="s">
        <v>198</v>
      </c>
      <c r="M127" s="107">
        <f>SUMPRODUCT(M117:M126,$AD$22:$AD$31)</f>
        <v>123.29656635008648</v>
      </c>
      <c r="N127" s="107">
        <f t="shared" ref="N127:T127" si="107">SUMPRODUCT(N117:N126,$AD$22:$AD$31)</f>
        <v>126.06299694015985</v>
      </c>
      <c r="O127" s="107">
        <f t="shared" si="107"/>
        <v>122.86126355912756</v>
      </c>
      <c r="P127" s="107">
        <f t="shared" si="107"/>
        <v>125.61369439209162</v>
      </c>
      <c r="Q127" s="107">
        <f t="shared" si="107"/>
        <v>122.06964298715027</v>
      </c>
      <c r="R127" s="107">
        <f t="shared" si="107"/>
        <v>124.80433933808803</v>
      </c>
      <c r="S127" s="107">
        <f t="shared" si="107"/>
        <v>124.94833534183738</v>
      </c>
      <c r="T127" s="107">
        <f t="shared" si="107"/>
        <v>127.74752233340612</v>
      </c>
    </row>
  </sheetData>
  <mergeCells count="73">
    <mergeCell ref="AD54:AG54"/>
    <mergeCell ref="C67:J67"/>
    <mergeCell ref="C68:D68"/>
    <mergeCell ref="E68:F68"/>
    <mergeCell ref="G68:H68"/>
    <mergeCell ref="I68:J68"/>
    <mergeCell ref="M67:T67"/>
    <mergeCell ref="M68:N68"/>
    <mergeCell ref="O68:P68"/>
    <mergeCell ref="Q68:R68"/>
    <mergeCell ref="S68:T68"/>
    <mergeCell ref="C51:J51"/>
    <mergeCell ref="C52:D52"/>
    <mergeCell ref="E52:F52"/>
    <mergeCell ref="G52:H52"/>
    <mergeCell ref="I52:J52"/>
    <mergeCell ref="C35:J35"/>
    <mergeCell ref="C36:D36"/>
    <mergeCell ref="E36:F36"/>
    <mergeCell ref="G36:H36"/>
    <mergeCell ref="I36:J36"/>
    <mergeCell ref="B2:D2"/>
    <mergeCell ref="E3:K3"/>
    <mergeCell ref="P3:V3"/>
    <mergeCell ref="U20:V20"/>
    <mergeCell ref="Q21:R21"/>
    <mergeCell ref="S21:T21"/>
    <mergeCell ref="C83:J83"/>
    <mergeCell ref="C84:D84"/>
    <mergeCell ref="E84:F84"/>
    <mergeCell ref="G84:H84"/>
    <mergeCell ref="I84:J84"/>
    <mergeCell ref="M83:T83"/>
    <mergeCell ref="M84:N84"/>
    <mergeCell ref="O84:P84"/>
    <mergeCell ref="Q84:R84"/>
    <mergeCell ref="S84:T84"/>
    <mergeCell ref="C99:J99"/>
    <mergeCell ref="C100:D100"/>
    <mergeCell ref="E100:F100"/>
    <mergeCell ref="G100:H100"/>
    <mergeCell ref="I100:J100"/>
    <mergeCell ref="C114:J114"/>
    <mergeCell ref="C115:D115"/>
    <mergeCell ref="E115:F115"/>
    <mergeCell ref="G115:H115"/>
    <mergeCell ref="I115:J115"/>
    <mergeCell ref="M99:T99"/>
    <mergeCell ref="M100:N100"/>
    <mergeCell ref="O100:P100"/>
    <mergeCell ref="Q100:R100"/>
    <mergeCell ref="S100:T100"/>
    <mergeCell ref="M114:T114"/>
    <mergeCell ref="M115:N115"/>
    <mergeCell ref="O115:P115"/>
    <mergeCell ref="Q115:R115"/>
    <mergeCell ref="S115:T115"/>
    <mergeCell ref="AC20:AD20"/>
    <mergeCell ref="Y21:Z21"/>
    <mergeCell ref="AA21:AB21"/>
    <mergeCell ref="M51:T51"/>
    <mergeCell ref="M52:N52"/>
    <mergeCell ref="O52:P52"/>
    <mergeCell ref="Q52:R52"/>
    <mergeCell ref="S52:T52"/>
    <mergeCell ref="M35:T35"/>
    <mergeCell ref="M36:N36"/>
    <mergeCell ref="O36:P36"/>
    <mergeCell ref="Q36:R36"/>
    <mergeCell ref="S36:T36"/>
    <mergeCell ref="AD37:AG37"/>
    <mergeCell ref="AD43:AG43"/>
    <mergeCell ref="AD48:AG48"/>
  </mergeCells>
  <phoneticPr fontId="34" type="noConversion"/>
  <pageMargins left="0.7" right="0.7" top="0.75" bottom="0.75" header="0.3" footer="0.3"/>
  <pageSetup orientation="portrait" r:id="rId1"/>
  <headerFooter>
    <oddFooter xml:space="preserve">&amp;C
</oddFooter>
  </headerFooter>
</worksheet>
</file>

<file path=docMetadata/LabelInfo.xml><?xml version="1.0" encoding="utf-8"?>
<clbl:labelList xmlns:clbl="http://schemas.microsoft.com/office/2020/mipLabelMetadata">
  <clbl:label id="{64fb56ae-b253-43b2-ae76-5b0fef4d3037}" enabled="1" method="Privileged" siteId="{44ae661a-ece6-41aa-bc96-7c2c85a0894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Tab Descriptions</vt:lpstr>
      <vt:lpstr>Selected Data</vt:lpstr>
      <vt:lpstr>Notes</vt:lpstr>
      <vt:lpstr>Instructions</vt:lpstr>
      <vt:lpstr>Summary</vt:lpstr>
      <vt:lpstr>Authorized Rev Req</vt:lpstr>
      <vt:lpstr>Incremental Rev Req</vt:lpstr>
      <vt:lpstr>SAR and RAR</vt:lpstr>
      <vt:lpstr>Res Bill Impact</vt:lpstr>
      <vt:lpstr>SAR and RAR (B-1)</vt:lpstr>
      <vt:lpstr>Bill Impact (B-1)</vt:lpstr>
      <vt:lpstr>Hypothetical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Sieren-Smith, Bridget</dc:creator>
  <cp:lastModifiedBy>Buckley, Catherine</cp:lastModifiedBy>
  <cp:lastPrinted>2025-09-01T15:10:40Z</cp:lastPrinted>
  <dcterms:created xsi:type="dcterms:W3CDTF">2019-06-24T18:17:17Z</dcterms:created>
  <dcterms:modified xsi:type="dcterms:W3CDTF">2025-09-01T15:10:58Z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4fb56ae-b253-43b2-ae76-5b0fef4d3037_Enabled">
    <vt:lpwstr>true</vt:lpwstr>
  </property>
  <property fmtid="{D5CDD505-2E9C-101B-9397-08002B2CF9AE}" pid="3" name="MSIP_Label_64fb56ae-b253-43b2-ae76-5b0fef4d3037_SetDate">
    <vt:lpwstr>2023-12-15T18:55:30Z</vt:lpwstr>
  </property>
  <property fmtid="{D5CDD505-2E9C-101B-9397-08002B2CF9AE}" pid="4" name="MSIP_Label_64fb56ae-b253-43b2-ae76-5b0fef4d3037_Method">
    <vt:lpwstr>Privileged</vt:lpwstr>
  </property>
  <property fmtid="{D5CDD505-2E9C-101B-9397-08002B2CF9AE}" pid="5" name="MSIP_Label_64fb56ae-b253-43b2-ae76-5b0fef4d3037_Name">
    <vt:lpwstr>Internal (With Markings)</vt:lpwstr>
  </property>
  <property fmtid="{D5CDD505-2E9C-101B-9397-08002B2CF9AE}" pid="6" name="MSIP_Label_64fb56ae-b253-43b2-ae76-5b0fef4d3037_SiteId">
    <vt:lpwstr>44ae661a-ece6-41aa-bc96-7c2c85a08941</vt:lpwstr>
  </property>
  <property fmtid="{D5CDD505-2E9C-101B-9397-08002B2CF9AE}" pid="7" name="MSIP_Label_64fb56ae-b253-43b2-ae76-5b0fef4d3037_ActionId">
    <vt:lpwstr>49e51fb5-51ff-4e68-9846-d4a5ad32aec5</vt:lpwstr>
  </property>
  <property fmtid="{D5CDD505-2E9C-101B-9397-08002B2CF9AE}" pid="8" name="MSIP_Label_64fb56ae-b253-43b2-ae76-5b0fef4d3037_ContentBits">
    <vt:lpwstr>3</vt:lpwstr>
  </property>
</Properties>
</file>