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Z:\Proceedings\Other\ED Bill Tracker Tool\2025\Q3 2025\"/>
    </mc:Choice>
  </mc:AlternateContent>
  <xr:revisionPtr revIDLastSave="0" documentId="13_ncr:1_{09F44940-AAFB-4DC0-8351-0E23FD5B389C}" xr6:coauthVersionLast="47" xr6:coauthVersionMax="47" xr10:uidLastSave="{00000000-0000-0000-0000-000000000000}"/>
  <bookViews>
    <workbookView xWindow="-120" yWindow="-120" windowWidth="38640" windowHeight="21240" xr2:uid="{28391E87-D3C4-41F4-80DE-D936E192C9DC}"/>
  </bookViews>
  <sheets>
    <sheet name="Notable Assumptions" sheetId="23" r:id="rId1"/>
    <sheet name="Summary" sheetId="10" r:id="rId2"/>
    <sheet name="Selected Data" sheetId="17" r:id="rId3"/>
    <sheet name="Authorized Rev Req" sheetId="2" r:id="rId4"/>
    <sheet name="Incremental Rev Req" sheetId="11" r:id="rId5"/>
    <sheet name="SAR and RAR" sheetId="3" r:id="rId6"/>
    <sheet name="SAR and RAR (TOU-A)" sheetId="19" r:id="rId7"/>
    <sheet name="Res Bill Impact" sheetId="4" r:id="rId8"/>
    <sheet name="Bill Impact (TOU-A)" sheetId="20" r:id="rId9"/>
    <sheet name="Hypothetical Summary" sheetId="12" r:id="rId10"/>
    <sheet name="Hypothetical SAR and RAR" sheetId="13" r:id="rId11"/>
    <sheet name="Hypothetical Res Bill Impact" sheetId="14" r:id="rId12"/>
    <sheet name="Hypoth. SAR and RAR (TOU-A)" sheetId="21" r:id="rId13"/>
    <sheet name="Hypoth. Bill Impact (TOU-A)" sheetId="22" r:id="rId14"/>
    <sheet name="% of CARE Sales" sheetId="15" r:id="rId15"/>
    <sheet name="Sales Allocations &amp; CCC" sheetId="18" r:id="rId16"/>
  </sheets>
  <definedNames>
    <definedName name="___huh2" hidden="1">{#N/A,#N/A,FALSE,"Dist Rev at PR ";#N/A,#N/A,FALSE,"Spec";#N/A,#N/A,FALSE,"Res";#N/A,#N/A,FALSE,"Small L&amp;P";#N/A,#N/A,FALSE,"Medium L&amp;P";#N/A,#N/A,FALSE,"E-19";#N/A,#N/A,FALSE,"E-20";#N/A,#N/A,FALSE,"Strtlts &amp; Standby";#N/A,#N/A,FALSE,"A-RTP";#N/A,#N/A,FALSE,"2003mixeduse"}</definedName>
    <definedName name="_2017_Labor_Escalation_Rate">#REF!</definedName>
    <definedName name="_4ColName">SUBSTITUTE(SUBSTITUTE(SUBSTITUTE(SUBSTITUTE(SUBSTITUTE(TRIM(T(#REF!)&amp;"."&amp;T(#REF!)&amp;"."&amp;T(#REF!)&amp;"."&amp;T(#REF!)&amp;"."),"+","and"),"%","pct"),"-",""),"..","."),"&amp;","and")</definedName>
    <definedName name="_xlnm._FilterDatabase" localSheetId="3" hidden="1">'Authorized Rev Req'!$A$7:$T$167</definedName>
    <definedName name="_xlnm._FilterDatabase" localSheetId="4" hidden="1">'Incremental Rev Req'!$A$8:$K$115</definedName>
    <definedName name="_xlnm._FilterDatabase" localSheetId="5" hidden="1">'SAR and RAR'!$A$1:$AE$83</definedName>
    <definedName name="_xlnm._FilterDatabase" localSheetId="6" hidden="1">'SAR and RAR (TOU-A)'!$A$1:$AE$83</definedName>
    <definedName name="_FPV1">#REF!</definedName>
    <definedName name="_FPV3">#REF!</definedName>
    <definedName name="_huh2" hidden="1">{#N/A,#N/A,FALSE,"Dist Rev at PR ";#N/A,#N/A,FALSE,"Spec";#N/A,#N/A,FALSE,"Res";#N/A,#N/A,FALSE,"Small L&amp;P";#N/A,#N/A,FALSE,"Medium L&amp;P";#N/A,#N/A,FALSE,"E-19";#N/A,#N/A,FALSE,"E-20";#N/A,#N/A,FALSE,"Strtlts &amp; Standby";#N/A,#N/A,FALSE,"A-RTP";#N/A,#N/A,FALSE,"2003mixeduse"}</definedName>
    <definedName name="_SPV1">#REF!</definedName>
    <definedName name="_SPV3">#REF!</definedName>
    <definedName name="Actuals">#REF!</definedName>
    <definedName name="Aflag">#REF!</definedName>
    <definedName name="Aflag2">#REF!</definedName>
    <definedName name="again" hidden="1">{#N/A,#N/A,FALSE,"ND Rev at Pres Rates";#N/A,#N/A,FALSE,"Res - Unadj sales";#N/A,#N/A,FALSE,"Small L&amp;P";#N/A,#N/A,FALSE,"Medium L&amp;P";#N/A,#N/A,FALSE,"E-19";#N/A,#N/A,FALSE,"E-20";#N/A,#N/A,FALSE,"Strtlts &amp; Standby";#N/A,#N/A,FALSE,"AG";#N/A,#N/A,FALSE,"A-RTP";#N/A,#N/A,FALSE,"Spec"}</definedName>
    <definedName name="AIR">#REF!</definedName>
    <definedName name="Balancing_Authority">#REF!</definedName>
    <definedName name="BondsIssued">#REF!</definedName>
    <definedName name="Boolean">#REF!</definedName>
    <definedName name="bt_d">#REF!</definedName>
    <definedName name="Bundled_Unbundled">#REF!</definedName>
    <definedName name="CBond">#REF!</definedName>
    <definedName name="CECRA">#REF!</definedName>
    <definedName name="Construction_Status">#REF!</definedName>
    <definedName name="copy" hidden="1">{#N/A,#N/A,FALSE,"Dist Rev at PR ";#N/A,#N/A,FALSE,"Spec";#N/A,#N/A,FALSE,"Res";#N/A,#N/A,FALSE,"Small L&amp;P";#N/A,#N/A,FALSE,"Medium L&amp;P";#N/A,#N/A,FALSE,"E-19";#N/A,#N/A,FALSE,"E-20";#N/A,#N/A,FALSE,"Strtlts &amp; Standby";#N/A,#N/A,FALSE,"A-RTP";#N/A,#N/A,FALSE,"2003mixeduse"}</definedName>
    <definedName name="copyprint" hidden="1">{#N/A,#N/A,FALSE,"Workpaper Tables 4-1 &amp; 4-2";#N/A,#N/A,FALSE,"Revenue Allocation Results";#N/A,#N/A,FALSE,"FERC Rev @ PR";#N/A,#N/A,FALSE,"Distribution Revenue Allocation";#N/A,#N/A,FALSE,"Nonallocated Revenues ";#N/A,#N/A,FALSE,"2000mixuse";#N/A,#N/A,FALSE,"MC Revenues- 00 sales, 96 MC's"}</definedName>
    <definedName name="copyrap" hidden="1">{#N/A,#N/A,FALSE,"Assumptions";#N/A,#N/A,FALSE,"RRQ inputs and toggles";#N/A,#N/A,FALSE,"Revenue Allocation Results";#N/A,#N/A,FALSE,"Nuclear Decommissioning Rates";#N/A,#N/A,FALSE,"FERC Rev @ PR";#N/A,#N/A,FALSE,"Distribution Revenue Allocation";#N/A,#N/A,FALSE,"Public Purpose Program Allocate";#N/A,#N/A,FALSE,"Nuclear Decommissioning";#N/A,#N/A,FALSE,"Transmission AG and A-10";#N/A,#N/A,FALSE,"PCTs for billing with TRBAA";#N/A,#N/A,FALSE,"Nonallocated Revenues";#N/A,#N/A,FALSE,"MC Revenues-02 sales, 96 MC's";#N/A,#N/A,FALSE,"ESR";#N/A,#N/A,FALSE,"FTA";#N/A,#N/A,FALSE,"1996 marginal costs -ECAC Adopt"}</definedName>
    <definedName name="copyrevalloc" hidden="1">{#N/A,#N/A,FALSE,"RRQ inputs ";#N/A,#N/A,FALSE,"FERC Rev @ PR";#N/A,#N/A,FALSE,"Distribution Revenue Allocation";#N/A,#N/A,FALSE,"Nonallocated Revenues";#N/A,#N/A,FALSE,"MC Revenues-03 sales, 96 MC's";#N/A,#N/A,FALSE,"FTA"}</definedName>
    <definedName name="copyschudel" hidden="1">{#N/A,#N/A,FALSE,"ND Rev at Pres Rates";#N/A,#N/A,FALSE,"Res - Unadj";#N/A,#N/A,FALSE,"Small L&amp;P";#N/A,#N/A,FALSE,"Medium L&amp;P";#N/A,#N/A,FALSE,"E-19";#N/A,#N/A,FALSE,"E-20";#N/A,#N/A,FALSE,"A-RTP";#N/A,#N/A,FALSE,"Strtlts &amp; Standby";#N/A,#N/A,FALSE,"AG";#N/A,#N/A,FALSE,"2001mixeduse"}</definedName>
    <definedName name="CORE_U">#REF!</definedName>
    <definedName name="Country">#REF!</definedName>
    <definedName name="CPUC_Approval_Status">#REF!</definedName>
    <definedName name="CREZ">#REF!</definedName>
    <definedName name="CTAC">#REF!</definedName>
    <definedName name="CTRBA">#REF!</definedName>
    <definedName name="DACRS">SUM(#REF!)</definedName>
    <definedName name="_xlnm.Database">#REF!</definedName>
    <definedName name="Dchoice">#REF!</definedName>
    <definedName name="Delay_Termination_Reason">#REF!</definedName>
    <definedName name="DeliverabilityStatusOptions">#REF!</definedName>
    <definedName name="Distflag">#REF!</definedName>
    <definedName name="Dmdmult">#REF!</definedName>
    <definedName name="EPC_Contract_Status">#REF!</definedName>
    <definedName name="F_E">#REF!</definedName>
    <definedName name="Facility_Status">#REF!</definedName>
    <definedName name="FAIR">#REF!</definedName>
    <definedName name="FBUILD">#REF!</definedName>
    <definedName name="FCOMM">#REF!</definedName>
    <definedName name="FCOMP">#REF!</definedName>
    <definedName name="Financing_Status">#REF!</definedName>
    <definedName name="Flat">#REF!</definedName>
    <definedName name="FM">#REF!</definedName>
    <definedName name="FOPROD">#REF!</definedName>
    <definedName name="FSONG2">#REF!</definedName>
    <definedName name="FSTEAM">#REF!</definedName>
    <definedName name="FT_D">#REF!</definedName>
    <definedName name="gsur">#REF!</definedName>
    <definedName name="head1">#REF!</definedName>
    <definedName name="head10">#REF!</definedName>
    <definedName name="head11">#REF!</definedName>
    <definedName name="head2">#REF!</definedName>
    <definedName name="head3">#REF!</definedName>
    <definedName name="head4">#REF!</definedName>
    <definedName name="head5">#REF!</definedName>
    <definedName name="head6">#REF!</definedName>
    <definedName name="head7">#REF!</definedName>
    <definedName name="head8">#REF!</definedName>
    <definedName name="head9">#REF!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"10/13/1999"</definedName>
    <definedName name="HTML_LineAfter" hidden="1">FALSE</definedName>
    <definedName name="HTML_LineBefore" hidden="1">FALSE</definedName>
    <definedName name="HTML_Name" hidden="1">"Sharim Chaudhury"</definedName>
    <definedName name="HTML_OBDlg2" hidden="1">TRUE</definedName>
    <definedName name="HTML_OBDlg4" hidden="1">TRUE</definedName>
    <definedName name="HTML_OS" hidden="1">0</definedName>
    <definedName name="HTML_PathFile" hidden="1">"W:\19991013\default.htm"</definedName>
    <definedName name="HTML_Title" hidden="1">"Daily MTM  Report"</definedName>
    <definedName name="huh" hidden="1">{#N/A,#N/A,FALSE,"Dist Rev at PR ";#N/A,#N/A,FALSE,"Spec";#N/A,#N/A,FALSE,"Res";#N/A,#N/A,FALSE,"Small L&amp;P";#N/A,#N/A,FALSE,"Medium L&amp;P";#N/A,#N/A,FALSE,"E-19";#N/A,#N/A,FALSE,"E-20";#N/A,#N/A,FALSE,"Strtlts &amp; Standby";#N/A,#N/A,FALSE,"A-RTP";#N/A,#N/A,FALSE,"2003mixeduse"}</definedName>
    <definedName name="huhnd" hidden="1">{#N/A,#N/A,FALSE,"ND Rev at Pres Rates";#N/A,#N/A,FALSE,"Res - Unadj sales";#N/A,#N/A,FALSE,"Small L&amp;P";#N/A,#N/A,FALSE,"Medium L&amp;P";#N/A,#N/A,FALSE,"E-19";#N/A,#N/A,FALSE,"E-20";#N/A,#N/A,FALSE,"Strtlts &amp; Standby";#N/A,#N/A,FALSE,"AG";#N/A,#N/A,FALSE,"A-RTP";#N/A,#N/A,FALSE,"Spec"}</definedName>
    <definedName name="huhnd2" hidden="1">{#N/A,#N/A,FALSE,"ND Rev at Pres Rates";#N/A,#N/A,FALSE,"Res - Unadj sales";#N/A,#N/A,FALSE,"Small L&amp;P";#N/A,#N/A,FALSE,"Medium L&amp;P";#N/A,#N/A,FALSE,"E-19";#N/A,#N/A,FALSE,"E-20";#N/A,#N/A,FALSE,"Strtlts &amp; Standby";#N/A,#N/A,FALSE,"AG";#N/A,#N/A,FALSE,"A-RTP";#N/A,#N/A,FALSE,"Spec"}</definedName>
    <definedName name="huhprint" hidden="1">{#N/A,#N/A,FALSE,"Workpaper Tables 4-1 &amp; 4-2";#N/A,#N/A,FALSE,"Revenue Allocation Results";#N/A,#N/A,FALSE,"FERC Rev @ PR";#N/A,#N/A,FALSE,"Distribution Revenue Allocation";#N/A,#N/A,FALSE,"Nonallocated Revenues ";#N/A,#N/A,FALSE,"2000mixuse";#N/A,#N/A,FALSE,"MC Revenues- 00 sales, 96 MC's"}</definedName>
    <definedName name="huhrap" hidden="1">{#N/A,#N/A,FALSE,"Assumptions";#N/A,#N/A,FALSE,"RRQ inputs and toggles";#N/A,#N/A,FALSE,"Revenue Allocation Results";#N/A,#N/A,FALSE,"Nuclear Decommissioning Rates";#N/A,#N/A,FALSE,"FERC Rev @ PR";#N/A,#N/A,FALSE,"Distribution Revenue Allocation";#N/A,#N/A,FALSE,"Public Purpose Program Allocate";#N/A,#N/A,FALSE,"Nuclear Decommissioning";#N/A,#N/A,FALSE,"Transmission AG and A-10";#N/A,#N/A,FALSE,"PCTs for billing with TRBAA";#N/A,#N/A,FALSE,"Nonallocated Revenues";#N/A,#N/A,FALSE,"MC Revenues-02 sales, 96 MC's";#N/A,#N/A,FALSE,"ESR";#N/A,#N/A,FALSE,"FTA";#N/A,#N/A,FALSE,"1996 marginal costs -ECAC Adopt"}</definedName>
    <definedName name="huhrevalloc" hidden="1">{#N/A,#N/A,FALSE,"RRQ inputs ";#N/A,#N/A,FALSE,"FERC Rev @ PR";#N/A,#N/A,FALSE,"Distribution Revenue Allocation";#N/A,#N/A,FALSE,"Nonallocated Revenues";#N/A,#N/A,FALSE,"MC Revenues-03 sales, 96 MC's";#N/A,#N/A,FALSE,"FTA"}</definedName>
    <definedName name="huhschudel" hidden="1">{#N/A,#N/A,FALSE,"ND Rev at Pres Rates";#N/A,#N/A,FALSE,"Res - Unadj";#N/A,#N/A,FALSE,"Small L&amp;P";#N/A,#N/A,FALSE,"Medium L&amp;P";#N/A,#N/A,FALSE,"E-19";#N/A,#N/A,FALSE,"E-20";#N/A,#N/A,FALSE,"A-RTP";#N/A,#N/A,FALSE,"Strtlts &amp; Standby";#N/A,#N/A,FALSE,"AG";#N/A,#N/A,FALSE,"2001mixeduse"}</definedName>
    <definedName name="IterationType">#REF!</definedName>
    <definedName name="LineLoss">#REF!</definedName>
    <definedName name="LocalAreaOptions">#REF!</definedName>
    <definedName name="LOLD">1</definedName>
    <definedName name="LOLD_Table">7</definedName>
    <definedName name="Mflag">#REF!</definedName>
    <definedName name="NCORE_U">#REF!</definedName>
    <definedName name="ND">#REF!</definedName>
    <definedName name="Out_Start_Date">#REF!</definedName>
    <definedName name="Out_Term_Date">#REF!</definedName>
    <definedName name="Overall_Project_Status">#REF!</definedName>
    <definedName name="Party_that_Terminated_Contract">#REF!</definedName>
    <definedName name="Path26DesignationOptions">#REF!</definedName>
    <definedName name="PBond">#REF!</definedName>
    <definedName name="PCC_Classification">#REF!</definedName>
    <definedName name="PECRA">#REF!</definedName>
    <definedName name="Print_All_Tariff">#REF!</definedName>
    <definedName name="Program_Origination">#REF!</definedName>
    <definedName name="RAM_Auction_Round">#REF!</definedName>
    <definedName name="record1">#REF!</definedName>
    <definedName name="Record2">#REF!</definedName>
    <definedName name="Reporting_LSE">#REF!</definedName>
    <definedName name="Resource_Designation">#REF!</definedName>
    <definedName name="SAIR">#REF!</definedName>
    <definedName name="SAPBEXhrIndnt" hidden="1">"Wide"</definedName>
    <definedName name="SAPsysID" hidden="1">"708C5W7SBKP804JT78WJ0JNKI"</definedName>
    <definedName name="SAPwbID" hidden="1">"ARS"</definedName>
    <definedName name="SBUILD">#REF!</definedName>
    <definedName name="SchedulingID">#REF!</definedName>
    <definedName name="SCOMM">#REF!</definedName>
    <definedName name="SCOMP">#REF!</definedName>
    <definedName name="sds">#REF!</definedName>
    <definedName name="Season">#REF!</definedName>
    <definedName name="Sflag">#REF!</definedName>
    <definedName name="SM">#REF!</definedName>
    <definedName name="SOPROD">#REF!</definedName>
    <definedName name="SSONG2">#REF!</definedName>
    <definedName name="SSTEAM">#REF!</definedName>
    <definedName name="ST_D">#REF!</definedName>
    <definedName name="Status_of_Facility_Study___Phase_II_Study">#REF!</definedName>
    <definedName name="Status_of_Feasibility_Study">#REF!</definedName>
    <definedName name="Status_of_Interconnection_Agreement">#REF!</definedName>
    <definedName name="Status_of_System_Impact_Study___Phase_I_Study">#REF!</definedName>
    <definedName name="STEAM">#REF!</definedName>
    <definedName name="TAC">#REF!</definedName>
    <definedName name="TACCalcOptions">#REF!</definedName>
    <definedName name="Technology_SubType">#REF!</definedName>
    <definedName name="Technology_Type">#REF!</definedName>
    <definedName name="TRBA">#REF!</definedName>
    <definedName name="wrn.AG." hidden="1">{#N/A,#N/A,FALSE,"AG-1";#N/A,#N/A,FALSE,"AG-R";#N/A,#N/A,FALSE,"AG-V";#N/A,#N/A,FALSE,"AG-4";#N/A,#N/A,FALSE,"AG-5";#N/A,#N/A,FALSE,"AG-6";#N/A,#N/A,FALSE,"AG-7"}</definedName>
    <definedName name="wrn.AGa." hidden="1">{#N/A,#N/A,FALSE,"UN-AGRA";#N/A,#N/A,FALSE,"UN-AG1A";#N/A,#N/A,FALSE,"UN-AGVA";#N/A,#N/A,FALSE,"UN-AG4A ";#N/A,#N/A,FALSE,"UN-AG5A";#N/A,#N/A,FALSE,"UN-AG6A";#N/A,#N/A,FALSE,"Dist Calcs";#N/A,#N/A,FALSE,"7A-Avg.";#N/A,#N/A,FALSE,"7A Tier1-avg";#N/A,#N/A,FALSE,"7A Tier2-avg";#N/A,#N/A,FALSE,"Ag-7A Dist Calc"}</definedName>
    <definedName name="wrn.Agb." hidden="1">{#N/A,#N/A,FALSE,"UN-AG1B";#N/A,#N/A,FALSE,"UN-AGRB  ";#N/A,#N/A,FALSE,"UN-AGVB ";#N/A,#N/A,FALSE,"UN-AG4B";#N/A,#N/A,FALSE,"UN-AG4C";#N/A,#N/A,FALSE,"UN-AG5B";#N/A,#N/A,FALSE,"UN-AG5C ";#N/A,#N/A,FALSE,"UN-AG6B";#N/A,#N/A,FALSE,"Dist Cals";#N/A,#N/A,FALSE,"7B-Avg.";#N/A,#N/A,FALSE,"7B Tier1-avg";#N/A,#N/A,FALSE,"7B Tier2-avg";#N/A,#N/A,FALSE,"Ag-7B Dist Calc";#N/A,#N/A,FALSE,"AG RL Calc"}</definedName>
    <definedName name="wrn.comind." hidden="1">{#N/A,#N/A,FALSE,"A-1, A-6, A-10, A-15";#N/A,#N/A,FALSE,"E-19 Firm";#N/A,#N/A,FALSE,"E-19 Nonfirm";#N/A,#N/A,FALSE,"E-20 Firm ";#N/A,#N/A,FALSE,"E-20 Nonfirm ";#N/A,#N/A,FALSE,"E-25";#N/A,#N/A,FALSE,"E-36, E-37";#N/A,#N/A,FALSE,"LS-1,-2,-3, TC-1, OL-1";#N/A,#N/A,FALSE,"Standby"}</definedName>
    <definedName name="wrn.Distr." hidden="1">{#N/A,#N/A,FALSE,"Dist Rev at PR ";#N/A,#N/A,FALSE,"Spec";#N/A,#N/A,FALSE,"Res";#N/A,#N/A,FALSE,"Small L&amp;P";#N/A,#N/A,FALSE,"Medium L&amp;P";#N/A,#N/A,FALSE,"E-19";#N/A,#N/A,FALSE,"E-20";#N/A,#N/A,FALSE,"Strtlts &amp; Standby";#N/A,#N/A,FALSE,"A-RTP";#N/A,#N/A,FALSE,"2003mixeduse"}</definedName>
    <definedName name="wrn.G_CSP_REPORT." hidden="1">{#N/A,#N/A,FALSE,"Summary";#N/A,#N/A,FALSE,"Tariff G-CSP &amp; G-SUR";#N/A,#N/A,FALSE,"Amortization Calculations";#N/A,#N/A,FALSE,"Contracted Volumes";#N/A,#N/A,FALSE,"Reservation"}</definedName>
    <definedName name="wrn.ND." hidden="1">{#N/A,#N/A,FALSE,"ND Rev at Pres Rates";#N/A,#N/A,FALSE,"Res - Unadj sales";#N/A,#N/A,FALSE,"Small L&amp;P";#N/A,#N/A,FALSE,"Medium L&amp;P";#N/A,#N/A,FALSE,"E-19";#N/A,#N/A,FALSE,"E-20";#N/A,#N/A,FALSE,"Strtlts &amp; Standby";#N/A,#N/A,FALSE,"AG";#N/A,#N/A,FALSE,"A-RTP";#N/A,#N/A,FALSE,"Spec"}</definedName>
    <definedName name="wrn.Print._.Out." hidden="1">{#N/A,#N/A,FALSE,"Workpaper Tables 4-1 &amp; 4-2";#N/A,#N/A,FALSE,"Revenue Allocation Results";#N/A,#N/A,FALSE,"FERC Rev @ PR";#N/A,#N/A,FALSE,"Distribution Revenue Allocation";#N/A,#N/A,FALSE,"Nonallocated Revenues ";#N/A,#N/A,FALSE,"2000mixuse";#N/A,#N/A,FALSE,"MC Revenues- 00 sales, 96 MC's"}</definedName>
    <definedName name="wrn.RAP." hidden="1">{#N/A,#N/A,FALSE,"Assumptions";#N/A,#N/A,FALSE,"RRQ inputs and toggles";#N/A,#N/A,FALSE,"Revenue Allocation Results";#N/A,#N/A,FALSE,"Nuclear Decommissioning Rates";#N/A,#N/A,FALSE,"FERC Rev @ PR";#N/A,#N/A,FALSE,"Distribution Revenue Allocation";#N/A,#N/A,FALSE,"Public Purpose Program Allocate";#N/A,#N/A,FALSE,"Nuclear Decommissioning";#N/A,#N/A,FALSE,"Transmission AG and A-10";#N/A,#N/A,FALSE,"PCTs for billing with TRBAA";#N/A,#N/A,FALSE,"Nonallocated Revenues";#N/A,#N/A,FALSE,"MC Revenues-02 sales, 96 MC's";#N/A,#N/A,FALSE,"ESR";#N/A,#N/A,FALSE,"FTA";#N/A,#N/A,FALSE,"1996 marginal costs -ECAC Adopt"}</definedName>
    <definedName name="wrn.Res." hidden="1">{#N/A,#N/A,FALSE,"E-1, EM, ES";#N/A,#N/A,FALSE,"ESR, ET";#N/A,#N/A,FALSE,"E-7, E-A7";#N/A,#N/A,FALSE,"E-8";#N/A,#N/A,FALSE,"E-9 A, B, C, D";#N/A,#N/A,FALSE,"EL-1, EML";#N/A,#N/A,FALSE,"ESL, ESRL";#N/A,#N/A,FALSE,"ETL, EL-7";#N/A,#N/A,FALSE,"EL-A7, EL-8"}</definedName>
    <definedName name="wrn.Rev._.Alloc." hidden="1">{#N/A,#N/A,FALSE,"RRQ inputs ";#N/A,#N/A,FALSE,"FERC Rev @ PR";#N/A,#N/A,FALSE,"Distribution Revenue Allocation";#N/A,#N/A,FALSE,"Nonallocated Revenues";#N/A,#N/A,FALSE,"MC Revenues-03 sales, 96 MC's";#N/A,#N/A,FALSE,"FTA"}</definedName>
    <definedName name="wrn.schedules." hidden="1">{#N/A,#N/A,FALSE,"Res - Unadj";#N/A,#N/A,FALSE,"Small L&amp;P";#N/A,#N/A,FALSE,"Medium L&amp;P";#N/A,#N/A,FALSE,"E-19";#N/A,#N/A,FALSE,"E-20";#N/A,#N/A,FALSE,"A-RTP";#N/A,#N/A,FALSE,"Strtlts &amp; Standby";#N/A,#N/A,FALSE,"AG";#N/A,#N/A,FALSE,"2001mixeduse"}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11" i="17" l="1"/>
  <c r="Q13" i="17"/>
  <c r="Q22" i="17" s="1"/>
  <c r="Q27" i="17"/>
  <c r="D21" i="17" l="1"/>
  <c r="C21" i="17"/>
  <c r="D20" i="17"/>
  <c r="C20" i="17"/>
  <c r="D19" i="17"/>
  <c r="C19" i="17"/>
  <c r="D18" i="17"/>
  <c r="C18" i="17"/>
  <c r="L94" i="11" l="1"/>
  <c r="L93" i="11"/>
  <c r="L117" i="11"/>
  <c r="H94" i="11" l="1"/>
  <c r="I94" i="11" s="1"/>
  <c r="J94" i="11" s="1"/>
  <c r="Q12" i="17"/>
  <c r="Q21" i="17" s="1"/>
  <c r="L112" i="11"/>
  <c r="L114" i="11"/>
  <c r="L115" i="11"/>
  <c r="L92" i="11"/>
  <c r="L116" i="11"/>
  <c r="Q9" i="17" l="1"/>
  <c r="Q18" i="17" s="1"/>
  <c r="D116" i="11"/>
  <c r="D117" i="11"/>
  <c r="H93" i="11"/>
  <c r="I93" i="11" s="1"/>
  <c r="J93" i="11" s="1"/>
  <c r="Q20" i="17"/>
  <c r="D115" i="11"/>
  <c r="D92" i="11"/>
  <c r="D93" i="11"/>
  <c r="D94" i="11"/>
  <c r="AF23" i="19" l="1"/>
  <c r="AE23" i="19"/>
  <c r="AD23" i="19"/>
  <c r="AC23" i="19"/>
  <c r="S23" i="19"/>
  <c r="R23" i="19"/>
  <c r="H23" i="19"/>
  <c r="G23" i="19"/>
  <c r="P6" i="19"/>
  <c r="AF23" i="3"/>
  <c r="AE23" i="3"/>
  <c r="S23" i="3"/>
  <c r="R23" i="3"/>
  <c r="H23" i="3"/>
  <c r="G23" i="3"/>
  <c r="AE17" i="3"/>
  <c r="P6" i="3"/>
  <c r="L111" i="11"/>
  <c r="L110" i="11"/>
  <c r="L109" i="11"/>
  <c r="L108" i="11"/>
  <c r="L107" i="11"/>
  <c r="L106" i="11"/>
  <c r="L105" i="11"/>
  <c r="L104" i="11"/>
  <c r="L103" i="11"/>
  <c r="L102" i="11"/>
  <c r="L101" i="11"/>
  <c r="L100" i="11"/>
  <c r="L99" i="11"/>
  <c r="L98" i="11"/>
  <c r="L97" i="11"/>
  <c r="L96" i="11"/>
  <c r="I111" i="11"/>
  <c r="J111" i="11" s="1"/>
  <c r="I101" i="11"/>
  <c r="J101" i="11" s="1"/>
  <c r="F77" i="11" l="1"/>
  <c r="F76" i="11"/>
  <c r="F74" i="11"/>
  <c r="F73" i="11"/>
  <c r="F72" i="11"/>
  <c r="F71" i="11"/>
  <c r="F70" i="11"/>
  <c r="F69" i="11"/>
  <c r="F68" i="11"/>
  <c r="F75" i="11"/>
  <c r="F24" i="11"/>
  <c r="F23" i="11"/>
  <c r="F50" i="11"/>
  <c r="D106" i="11"/>
  <c r="F16" i="11"/>
  <c r="F22" i="11"/>
  <c r="D108" i="11"/>
  <c r="F19" i="11"/>
  <c r="D100" i="11"/>
  <c r="F12" i="11"/>
  <c r="D98" i="11" s="1"/>
  <c r="F81" i="11"/>
  <c r="F80" i="11"/>
  <c r="F18" i="11"/>
  <c r="D97" i="11" s="1"/>
  <c r="D101" i="11"/>
  <c r="F13" i="11" l="1"/>
  <c r="D103" i="11" s="1"/>
  <c r="F79" i="11"/>
  <c r="F14" i="11"/>
  <c r="D105" i="11" s="1"/>
  <c r="F82" i="11"/>
  <c r="D111" i="11"/>
  <c r="F10" i="11"/>
  <c r="F15" i="11"/>
  <c r="F20" i="11"/>
  <c r="D110" i="11" s="1"/>
  <c r="F11" i="11"/>
  <c r="D96" i="11" s="1"/>
  <c r="H97" i="11"/>
  <c r="I97" i="11" s="1"/>
  <c r="J97" i="11" s="1"/>
  <c r="H100" i="11"/>
  <c r="I100" i="11" s="1"/>
  <c r="J100" i="11" s="1"/>
  <c r="H106" i="11"/>
  <c r="I106" i="11" s="1"/>
  <c r="J106" i="11" s="1"/>
  <c r="H108" i="11"/>
  <c r="I108" i="11" s="1"/>
  <c r="J108" i="11" s="1"/>
  <c r="F21" i="11"/>
  <c r="D109" i="11"/>
  <c r="D107" i="11"/>
  <c r="D99" i="11"/>
  <c r="H98" i="11"/>
  <c r="I98" i="11" s="1"/>
  <c r="J98" i="11" s="1"/>
  <c r="F27" i="11"/>
  <c r="D102" i="11" s="1"/>
  <c r="R164" i="2"/>
  <c r="H96" i="11" l="1"/>
  <c r="I96" i="11" s="1"/>
  <c r="J96" i="11" s="1"/>
  <c r="H110" i="11"/>
  <c r="I110" i="11" s="1"/>
  <c r="J110" i="11" s="1"/>
  <c r="H107" i="11"/>
  <c r="I107" i="11" s="1"/>
  <c r="J107" i="11" s="1"/>
  <c r="H105" i="11"/>
  <c r="I105" i="11" s="1"/>
  <c r="J105" i="11" s="1"/>
  <c r="H103" i="11"/>
  <c r="I103" i="11" s="1"/>
  <c r="J103" i="11" s="1"/>
  <c r="H99" i="11"/>
  <c r="I99" i="11" s="1"/>
  <c r="J99" i="11" s="1"/>
  <c r="H102" i="11"/>
  <c r="I102" i="11" s="1"/>
  <c r="J102" i="11" s="1"/>
  <c r="H109" i="11"/>
  <c r="I109" i="11" s="1"/>
  <c r="J109" i="11" s="1"/>
  <c r="E30" i="10"/>
  <c r="D20" i="12" l="1"/>
  <c r="C8" i="13"/>
  <c r="C7" i="13"/>
  <c r="H47" i="11"/>
  <c r="I47" i="11" s="1"/>
  <c r="J47" i="11" s="1"/>
  <c r="E82" i="11"/>
  <c r="E81" i="11"/>
  <c r="E80" i="11"/>
  <c r="E79" i="11"/>
  <c r="E77" i="11"/>
  <c r="E76" i="11"/>
  <c r="E75" i="11"/>
  <c r="E74" i="11"/>
  <c r="E73" i="11"/>
  <c r="E72" i="11"/>
  <c r="E71" i="11"/>
  <c r="E70" i="11"/>
  <c r="E69" i="11"/>
  <c r="E68" i="11"/>
  <c r="E53" i="11"/>
  <c r="E52" i="11"/>
  <c r="E27" i="11"/>
  <c r="E28" i="11"/>
  <c r="E54" i="11"/>
  <c r="E51" i="11"/>
  <c r="E50" i="11"/>
  <c r="E48" i="11"/>
  <c r="E47" i="11"/>
  <c r="E46" i="11"/>
  <c r="E45" i="11"/>
  <c r="E44" i="11"/>
  <c r="E43" i="11"/>
  <c r="E42" i="11"/>
  <c r="E41" i="11"/>
  <c r="E40" i="11"/>
  <c r="E39" i="11"/>
  <c r="E38" i="11"/>
  <c r="E37" i="11"/>
  <c r="E36" i="11"/>
  <c r="E35" i="11"/>
  <c r="E34" i="11"/>
  <c r="E33" i="11"/>
  <c r="E32" i="11"/>
  <c r="E31" i="11"/>
  <c r="E29" i="11"/>
  <c r="E24" i="11"/>
  <c r="E23" i="11"/>
  <c r="E22" i="11"/>
  <c r="E21" i="11"/>
  <c r="E20" i="11"/>
  <c r="E19" i="11"/>
  <c r="E18" i="11"/>
  <c r="E17" i="11"/>
  <c r="E16" i="11"/>
  <c r="E15" i="11"/>
  <c r="E14" i="11"/>
  <c r="E13" i="11"/>
  <c r="E12" i="11"/>
  <c r="E11" i="11"/>
  <c r="E10" i="11"/>
  <c r="T17" i="11" l="1"/>
  <c r="T98" i="11" s="1"/>
  <c r="S17" i="11"/>
  <c r="S98" i="11" s="1"/>
  <c r="R17" i="11"/>
  <c r="R98" i="11" s="1"/>
  <c r="Q17" i="11"/>
  <c r="Q98" i="11" s="1"/>
  <c r="G33" i="11" l="1"/>
  <c r="C47" i="11" l="1"/>
  <c r="C46" i="11"/>
  <c r="C22" i="11"/>
  <c r="AC28" i="13" l="1"/>
  <c r="AA28" i="13"/>
  <c r="Z28" i="13"/>
  <c r="Z27" i="21"/>
  <c r="X27" i="21"/>
  <c r="W27" i="21"/>
  <c r="AB28" i="13"/>
  <c r="Y27" i="21" l="1"/>
  <c r="G4" i="4" l="1"/>
  <c r="I3" i="10" l="1"/>
  <c r="H3" i="12" s="1"/>
  <c r="C48" i="11" l="1"/>
  <c r="C24" i="11"/>
  <c r="C76" i="11" l="1"/>
  <c r="C77" i="11"/>
  <c r="I6" i="19" l="1"/>
  <c r="I6" i="3"/>
  <c r="P17" i="11"/>
  <c r="J67" i="11"/>
  <c r="J66" i="11"/>
  <c r="J57" i="11"/>
  <c r="J56" i="11"/>
  <c r="J55" i="11"/>
  <c r="J54" i="11"/>
  <c r="J51" i="11"/>
  <c r="J28" i="11"/>
  <c r="J26" i="11"/>
  <c r="J25" i="11"/>
  <c r="J23" i="11"/>
  <c r="J95" i="11"/>
  <c r="C12" i="19" l="1"/>
  <c r="P11" i="19" s="1"/>
  <c r="P10" i="19" s="1"/>
  <c r="C12" i="3"/>
  <c r="P11" i="3" s="1"/>
  <c r="P10" i="3" s="1"/>
  <c r="D20" i="19"/>
  <c r="D20" i="3"/>
  <c r="C20" i="19"/>
  <c r="V6" i="19"/>
  <c r="C20" i="3"/>
  <c r="V6" i="3"/>
  <c r="P98" i="11"/>
  <c r="P24" i="11"/>
  <c r="P107" i="11"/>
  <c r="I6" i="10"/>
  <c r="I20" i="22" l="1"/>
  <c r="H6" i="12"/>
  <c r="C4" i="13" l="1"/>
  <c r="C71" i="12"/>
  <c r="L71" i="12" s="1"/>
  <c r="B70" i="12"/>
  <c r="K70" i="12" s="1"/>
  <c r="C75" i="10"/>
  <c r="M75" i="10" s="1"/>
  <c r="B74" i="10"/>
  <c r="L74" i="10" s="1"/>
  <c r="B76" i="12" l="1"/>
  <c r="K76" i="12" s="1"/>
  <c r="C77" i="12"/>
  <c r="L77" i="12" s="1"/>
  <c r="B82" i="12"/>
  <c r="K82" i="12" s="1"/>
  <c r="C83" i="12"/>
  <c r="L83" i="12" s="1"/>
  <c r="B80" i="10"/>
  <c r="L80" i="10" s="1"/>
  <c r="C81" i="10"/>
  <c r="M81" i="10" s="1"/>
  <c r="B86" i="10"/>
  <c r="L86" i="10" s="1"/>
  <c r="C87" i="10"/>
  <c r="M87" i="10" s="1"/>
  <c r="B90" i="14" l="1"/>
  <c r="K90" i="14"/>
  <c r="K80" i="14"/>
  <c r="B80" i="14"/>
  <c r="M90" i="4"/>
  <c r="N90" i="4" s="1"/>
  <c r="M80" i="4"/>
  <c r="N80" i="4" s="1"/>
  <c r="B90" i="4"/>
  <c r="C90" i="4" s="1"/>
  <c r="B80" i="4"/>
  <c r="C80" i="4" s="1"/>
  <c r="F4" i="20" l="1"/>
  <c r="I29" i="11" l="1"/>
  <c r="L113" i="11"/>
  <c r="L91" i="11"/>
  <c r="J29" i="11" l="1"/>
  <c r="B6" i="11"/>
  <c r="C20" i="21" l="1"/>
  <c r="F85" i="11"/>
  <c r="C21" i="13"/>
  <c r="G113" i="11" l="1"/>
  <c r="C18" i="11"/>
  <c r="C5" i="21"/>
  <c r="H11" i="21" s="1"/>
  <c r="H113" i="11" l="1"/>
  <c r="I113" i="11" s="1"/>
  <c r="H6" i="13"/>
  <c r="H6" i="21"/>
  <c r="H10" i="21" s="1"/>
  <c r="J113" i="11" l="1"/>
  <c r="D113" i="11"/>
  <c r="C5" i="13"/>
  <c r="H11" i="13" s="1"/>
  <c r="H10" i="13" s="1"/>
  <c r="C21" i="11"/>
  <c r="C82" i="11"/>
  <c r="C81" i="11"/>
  <c r="C80" i="11"/>
  <c r="C79" i="11"/>
  <c r="C45" i="11"/>
  <c r="C44" i="11"/>
  <c r="C37" i="11"/>
  <c r="C36" i="11"/>
  <c r="C35" i="11"/>
  <c r="C28" i="11"/>
  <c r="C34" i="11"/>
  <c r="C33" i="11"/>
  <c r="C29" i="11"/>
  <c r="C32" i="11"/>
  <c r="C31" i="11"/>
  <c r="C27" i="11"/>
  <c r="C74" i="11"/>
  <c r="C73" i="11"/>
  <c r="C72" i="11"/>
  <c r="C71" i="11"/>
  <c r="C70" i="11"/>
  <c r="C69" i="11"/>
  <c r="C68" i="11"/>
  <c r="C75" i="11"/>
  <c r="C43" i="11"/>
  <c r="C41" i="11"/>
  <c r="C40" i="11"/>
  <c r="C39" i="11"/>
  <c r="C38" i="11"/>
  <c r="C51" i="11"/>
  <c r="C20" i="11"/>
  <c r="C50" i="11"/>
  <c r="C42" i="11"/>
  <c r="C17" i="11"/>
  <c r="C15" i="11"/>
  <c r="C14" i="11"/>
  <c r="C13" i="11"/>
  <c r="C16" i="11"/>
  <c r="C19" i="11"/>
  <c r="C12" i="11"/>
  <c r="C11" i="11"/>
  <c r="C10" i="11"/>
  <c r="F88" i="12" l="1"/>
  <c r="G104" i="10"/>
  <c r="F104" i="10"/>
  <c r="G98" i="10"/>
  <c r="F98" i="10"/>
  <c r="G92" i="10"/>
  <c r="F92" i="10"/>
  <c r="F4" i="22"/>
  <c r="E4" i="22"/>
  <c r="C17" i="21"/>
  <c r="P11" i="21" s="1"/>
  <c r="C16" i="21"/>
  <c r="R11" i="21" s="1"/>
  <c r="C15" i="21"/>
  <c r="S11" i="21" s="1"/>
  <c r="C14" i="21"/>
  <c r="Q11" i="21" s="1"/>
  <c r="C13" i="21"/>
  <c r="T11" i="21" s="1"/>
  <c r="C12" i="21"/>
  <c r="O11" i="21" s="1"/>
  <c r="C11" i="21"/>
  <c r="N11" i="21" s="1"/>
  <c r="C10" i="21"/>
  <c r="M11" i="21" s="1"/>
  <c r="C9" i="21"/>
  <c r="L11" i="21" s="1"/>
  <c r="K11" i="21"/>
  <c r="C7" i="21"/>
  <c r="J11" i="21" s="1"/>
  <c r="C6" i="21"/>
  <c r="I11" i="21" s="1"/>
  <c r="C4" i="21"/>
  <c r="G34" i="22"/>
  <c r="C18" i="21" l="1"/>
  <c r="U21" i="21"/>
  <c r="G11" i="21"/>
  <c r="W21" i="21" l="1"/>
  <c r="U11" i="21"/>
  <c r="O25" i="22" l="1"/>
  <c r="N25" i="22"/>
  <c r="O24" i="22"/>
  <c r="N24" i="22"/>
  <c r="O23" i="22"/>
  <c r="N23" i="22"/>
  <c r="M25" i="22"/>
  <c r="L25" i="22"/>
  <c r="K25" i="22"/>
  <c r="J25" i="22"/>
  <c r="M24" i="22"/>
  <c r="L24" i="22"/>
  <c r="K24" i="22"/>
  <c r="J24" i="22"/>
  <c r="M23" i="22"/>
  <c r="L23" i="22"/>
  <c r="K23" i="22"/>
  <c r="J23" i="22"/>
  <c r="G4" i="20" l="1"/>
  <c r="O6" i="21" l="1"/>
  <c r="O10" i="21" s="1"/>
  <c r="I34" i="20"/>
  <c r="G34" i="20"/>
  <c r="C21" i="4" l="1"/>
  <c r="C21" i="22" l="1"/>
  <c r="C21" i="20"/>
  <c r="R4" i="4"/>
  <c r="Q4" i="4"/>
  <c r="G4" i="22"/>
  <c r="M33" i="20" l="1"/>
  <c r="C34" i="20"/>
  <c r="C34" i="22"/>
  <c r="M33" i="22"/>
  <c r="D22" i="4" l="1"/>
  <c r="F28" i="21" l="1"/>
  <c r="P28" i="21" s="1"/>
  <c r="F28" i="13" l="1"/>
  <c r="P28" i="14" l="1"/>
  <c r="P19" i="14"/>
  <c r="P4" i="14"/>
  <c r="E4" i="14"/>
  <c r="H30" i="10" l="1"/>
  <c r="H37" i="10" l="1"/>
  <c r="H92" i="10"/>
  <c r="H104" i="10"/>
  <c r="H98" i="10"/>
  <c r="H49" i="10"/>
  <c r="R30" i="10"/>
  <c r="G41" i="4" l="1"/>
  <c r="O7" i="10" l="1"/>
  <c r="M7" i="10"/>
  <c r="V34" i="14" l="1"/>
  <c r="V33" i="14"/>
  <c r="V32" i="14"/>
  <c r="V31" i="14"/>
  <c r="U34" i="14"/>
  <c r="U33" i="14"/>
  <c r="U32" i="14"/>
  <c r="U31" i="14"/>
  <c r="V25" i="14"/>
  <c r="V24" i="14"/>
  <c r="V23" i="14"/>
  <c r="V22" i="14"/>
  <c r="U25" i="14"/>
  <c r="U24" i="14"/>
  <c r="U23" i="14"/>
  <c r="U22" i="14"/>
  <c r="AA18" i="13" l="1"/>
  <c r="L164" i="2" l="1"/>
  <c r="J164" i="2" l="1"/>
  <c r="J61" i="2"/>
  <c r="H5" i="12" l="1"/>
  <c r="H4" i="12"/>
  <c r="H2" i="12"/>
  <c r="O39" i="12" l="1"/>
  <c r="O45" i="12" s="1"/>
  <c r="O51" i="12" s="1"/>
  <c r="O57" i="12" s="1"/>
  <c r="O63" i="12" s="1"/>
  <c r="O69" i="12" s="1"/>
  <c r="O75" i="12" s="1"/>
  <c r="O81" i="12" s="1"/>
  <c r="O33" i="12"/>
  <c r="R85" i="10" l="1"/>
  <c r="Q85" i="10"/>
  <c r="P85" i="10"/>
  <c r="R79" i="10"/>
  <c r="Q79" i="10"/>
  <c r="P79" i="10"/>
  <c r="R73" i="10"/>
  <c r="Q73" i="10"/>
  <c r="P73" i="10"/>
  <c r="R67" i="10"/>
  <c r="Q67" i="10"/>
  <c r="P67" i="10"/>
  <c r="R61" i="10"/>
  <c r="Q61" i="10"/>
  <c r="P61" i="10"/>
  <c r="R55" i="10"/>
  <c r="Q55" i="10"/>
  <c r="P55" i="10"/>
  <c r="R49" i="10"/>
  <c r="Q49" i="10"/>
  <c r="P49" i="10"/>
  <c r="N49" i="10"/>
  <c r="N55" i="10" s="1"/>
  <c r="N61" i="10" s="1"/>
  <c r="N67" i="10" s="1"/>
  <c r="N73" i="10" s="1"/>
  <c r="N79" i="10" s="1"/>
  <c r="N85" i="10" s="1"/>
  <c r="R43" i="10"/>
  <c r="Q43" i="10"/>
  <c r="P43" i="10"/>
  <c r="N43" i="10"/>
  <c r="R37" i="10"/>
  <c r="Q37" i="10"/>
  <c r="P37" i="10"/>
  <c r="N37" i="10"/>
  <c r="T34" i="14" l="1"/>
  <c r="S34" i="14"/>
  <c r="R34" i="14"/>
  <c r="Q34" i="14"/>
  <c r="T33" i="14"/>
  <c r="S33" i="14"/>
  <c r="R33" i="14"/>
  <c r="Q33" i="14"/>
  <c r="T32" i="14"/>
  <c r="S32" i="14"/>
  <c r="R32" i="14"/>
  <c r="Q32" i="14"/>
  <c r="T31" i="14"/>
  <c r="S31" i="14"/>
  <c r="R31" i="14"/>
  <c r="Q31" i="14"/>
  <c r="L25" i="14" l="1"/>
  <c r="L24" i="14"/>
  <c r="M24" i="14"/>
  <c r="M25" i="14"/>
  <c r="L22" i="14"/>
  <c r="M22" i="14"/>
  <c r="L23" i="14"/>
  <c r="M23" i="14"/>
  <c r="P7" i="10" l="1"/>
  <c r="I155" i="2" l="1"/>
  <c r="I61" i="2" l="1"/>
  <c r="I164" i="2"/>
  <c r="I166" i="2" l="1"/>
  <c r="G41" i="14"/>
  <c r="P41" i="14" s="1"/>
  <c r="P51" i="14" s="1"/>
  <c r="P61" i="14" s="1"/>
  <c r="P71" i="14" s="1"/>
  <c r="G51" i="14"/>
  <c r="P81" i="14" l="1"/>
  <c r="P91" i="14" s="1"/>
  <c r="N7" i="10"/>
  <c r="G26" i="12" l="1"/>
  <c r="G88" i="12" s="1"/>
  <c r="P26" i="12" l="1"/>
  <c r="P33" i="12"/>
  <c r="P51" i="12"/>
  <c r="P57" i="12"/>
  <c r="P81" i="12"/>
  <c r="P75" i="12"/>
  <c r="P69" i="12"/>
  <c r="P63" i="12"/>
  <c r="G33" i="12"/>
  <c r="G75" i="12"/>
  <c r="G63" i="12"/>
  <c r="G81" i="12"/>
  <c r="G69" i="12"/>
  <c r="G51" i="12"/>
  <c r="G57" i="12"/>
  <c r="G39" i="12"/>
  <c r="G45" i="12"/>
  <c r="G100" i="12" l="1"/>
  <c r="G94" i="12"/>
  <c r="P39" i="12"/>
  <c r="P45" i="12"/>
  <c r="F55" i="10"/>
  <c r="H85" i="10"/>
  <c r="G85" i="10"/>
  <c r="F85" i="10"/>
  <c r="H79" i="10"/>
  <c r="G79" i="10"/>
  <c r="F79" i="10"/>
  <c r="H73" i="10"/>
  <c r="G73" i="10"/>
  <c r="F73" i="10"/>
  <c r="H67" i="10"/>
  <c r="G67" i="10"/>
  <c r="F67" i="10"/>
  <c r="H61" i="10"/>
  <c r="G61" i="10"/>
  <c r="F61" i="10"/>
  <c r="H55" i="10"/>
  <c r="G55" i="10"/>
  <c r="G61" i="14" l="1"/>
  <c r="G71" i="14" s="1"/>
  <c r="G81" i="14" l="1"/>
  <c r="G91" i="14" s="1"/>
  <c r="N43" i="4"/>
  <c r="N45" i="4"/>
  <c r="N46" i="4"/>
  <c r="N44" i="4"/>
  <c r="N83" i="4"/>
  <c r="N84" i="4"/>
  <c r="N86" i="4"/>
  <c r="N85" i="4"/>
  <c r="N87" i="4" l="1"/>
  <c r="N47" i="4"/>
  <c r="O46" i="4"/>
  <c r="O45" i="4"/>
  <c r="O43" i="4"/>
  <c r="O44" i="4"/>
  <c r="O86" i="4"/>
  <c r="O85" i="4"/>
  <c r="O84" i="4"/>
  <c r="O83" i="4"/>
  <c r="O47" i="4" l="1"/>
  <c r="O87" i="4"/>
  <c r="Q23" i="14" l="1"/>
  <c r="R23" i="14"/>
  <c r="S23" i="14"/>
  <c r="T23" i="14"/>
  <c r="Q24" i="14"/>
  <c r="R24" i="14"/>
  <c r="S24" i="14"/>
  <c r="T24" i="14"/>
  <c r="Q25" i="14"/>
  <c r="R25" i="14"/>
  <c r="S25" i="14"/>
  <c r="T25" i="14"/>
  <c r="R22" i="14"/>
  <c r="S22" i="14"/>
  <c r="T22" i="14"/>
  <c r="Q22" i="14"/>
  <c r="P7" i="12" l="1"/>
  <c r="O7" i="12"/>
  <c r="M34" i="14" l="1"/>
  <c r="L34" i="14"/>
  <c r="M33" i="14"/>
  <c r="L33" i="14"/>
  <c r="M32" i="14"/>
  <c r="L32" i="14"/>
  <c r="M31" i="14"/>
  <c r="L31" i="14"/>
  <c r="I33" i="14"/>
  <c r="I32" i="14"/>
  <c r="I34" i="14"/>
  <c r="J31" i="14"/>
  <c r="C63" i="4" l="1"/>
  <c r="I31" i="14"/>
  <c r="J34" i="14"/>
  <c r="J32" i="14"/>
  <c r="J33" i="14"/>
  <c r="O64" i="4"/>
  <c r="O65" i="4"/>
  <c r="N63" i="4"/>
  <c r="N64" i="4"/>
  <c r="N66" i="4"/>
  <c r="O63" i="4"/>
  <c r="N65" i="4"/>
  <c r="O66" i="4"/>
  <c r="C66" i="4"/>
  <c r="D64" i="4"/>
  <c r="D65" i="4"/>
  <c r="C65" i="4"/>
  <c r="D66" i="4"/>
  <c r="D63" i="4"/>
  <c r="C64" i="4"/>
  <c r="O67" i="4" l="1"/>
  <c r="N67" i="4"/>
  <c r="C67" i="4"/>
  <c r="D67" i="4"/>
  <c r="D62" i="10" l="1"/>
  <c r="N62" i="10"/>
  <c r="N68" i="10"/>
  <c r="C43" i="4" l="1"/>
  <c r="C45" i="4"/>
  <c r="D44" i="4"/>
  <c r="D45" i="4"/>
  <c r="D46" i="4"/>
  <c r="D83" i="4"/>
  <c r="D43" i="4"/>
  <c r="C83" i="4"/>
  <c r="C44" i="4"/>
  <c r="C84" i="4"/>
  <c r="I22" i="14"/>
  <c r="J24" i="14"/>
  <c r="D85" i="4"/>
  <c r="I24" i="14"/>
  <c r="C85" i="4"/>
  <c r="I25" i="14"/>
  <c r="C86" i="4"/>
  <c r="C46" i="4"/>
  <c r="J22" i="14"/>
  <c r="I23" i="14"/>
  <c r="J23" i="14"/>
  <c r="D84" i="4"/>
  <c r="J25" i="14"/>
  <c r="D86" i="4"/>
  <c r="N50" i="10" l="1"/>
  <c r="N44" i="10"/>
  <c r="C47" i="4"/>
  <c r="C87" i="4"/>
  <c r="D44" i="10" l="1"/>
  <c r="N80" i="10"/>
  <c r="N86" i="10"/>
  <c r="G61" i="2" l="1"/>
  <c r="G155" i="2"/>
  <c r="G164" i="2"/>
  <c r="G166" i="2" l="1"/>
  <c r="C16" i="13" l="1"/>
  <c r="R11" i="13" s="1"/>
  <c r="C21" i="14" l="1"/>
  <c r="R4" i="14"/>
  <c r="Q4" i="14"/>
  <c r="G4" i="14"/>
  <c r="F4" i="14"/>
  <c r="D26" i="12"/>
  <c r="D88" i="12" l="1"/>
  <c r="D94" i="12" s="1"/>
  <c r="D100" i="12"/>
  <c r="D45" i="12"/>
  <c r="D51" i="12" s="1"/>
  <c r="D57" i="12" s="1"/>
  <c r="D63" i="12" s="1"/>
  <c r="D69" i="12" s="1"/>
  <c r="D75" i="12" s="1"/>
  <c r="D81" i="12" s="1"/>
  <c r="M45" i="12"/>
  <c r="M51" i="12" s="1"/>
  <c r="M57" i="12" s="1"/>
  <c r="M63" i="12" s="1"/>
  <c r="M69" i="12" s="1"/>
  <c r="M75" i="12" s="1"/>
  <c r="M81" i="12" s="1"/>
  <c r="M33" i="12"/>
  <c r="M39" i="12" s="1"/>
  <c r="P28" i="13"/>
  <c r="C17" i="13"/>
  <c r="P11" i="13" s="1"/>
  <c r="C15" i="13"/>
  <c r="S11" i="13" s="1"/>
  <c r="C14" i="13"/>
  <c r="Q11" i="13" s="1"/>
  <c r="C13" i="13"/>
  <c r="T11" i="13" s="1"/>
  <c r="C12" i="13"/>
  <c r="C11" i="13"/>
  <c r="N11" i="13" s="1"/>
  <c r="C10" i="13"/>
  <c r="M11" i="13" s="1"/>
  <c r="C9" i="13"/>
  <c r="L11" i="13" s="1"/>
  <c r="K11" i="13"/>
  <c r="J11" i="13"/>
  <c r="C6" i="13"/>
  <c r="I11" i="13" s="1"/>
  <c r="D33" i="12"/>
  <c r="D39" i="12" s="1"/>
  <c r="M26" i="12"/>
  <c r="G11" i="13" l="1"/>
  <c r="W21" i="13" s="1"/>
  <c r="N7" i="12"/>
  <c r="M7" i="12"/>
  <c r="O11" i="13"/>
  <c r="C18" i="13"/>
  <c r="U11" i="13" l="1"/>
  <c r="U21" i="13"/>
  <c r="V21" i="13" s="1"/>
  <c r="X21" i="13" s="1"/>
  <c r="H43" i="10" l="1"/>
  <c r="F11" i="14" l="1"/>
  <c r="F9" i="14"/>
  <c r="D26" i="4" l="1"/>
  <c r="D26" i="14" s="1"/>
  <c r="F10" i="14"/>
  <c r="F12" i="14"/>
  <c r="D23" i="4"/>
  <c r="D23" i="14" l="1"/>
  <c r="C30" i="4"/>
  <c r="C51" i="4" l="1"/>
  <c r="C61" i="4" s="1"/>
  <c r="C71" i="4" s="1"/>
  <c r="C81" i="4" s="1"/>
  <c r="C91" i="4" s="1"/>
  <c r="C41" i="4"/>
  <c r="N41" i="4" s="1"/>
  <c r="N51" i="4" s="1"/>
  <c r="N61" i="4" s="1"/>
  <c r="N71" i="4" s="1"/>
  <c r="N81" i="4" l="1"/>
  <c r="N91" i="4" s="1"/>
  <c r="N30" i="10"/>
  <c r="D49" i="10"/>
  <c r="D55" i="10" s="1"/>
  <c r="D61" i="10" s="1"/>
  <c r="D67" i="10" s="1"/>
  <c r="D73" i="10" s="1"/>
  <c r="D79" i="10" s="1"/>
  <c r="D85" i="10" s="1"/>
  <c r="D92" i="10" s="1"/>
  <c r="D43" i="10"/>
  <c r="D37" i="10"/>
  <c r="B7" i="2" l="1"/>
  <c r="I30" i="10" l="1"/>
  <c r="S43" i="10" s="1"/>
  <c r="D21" i="4"/>
  <c r="D21" i="20" s="1"/>
  <c r="I43" i="10"/>
  <c r="S30" i="10"/>
  <c r="O49" i="10"/>
  <c r="O55" i="10" s="1"/>
  <c r="O61" i="10" s="1"/>
  <c r="O67" i="10" s="1"/>
  <c r="O73" i="10" s="1"/>
  <c r="O79" i="10" s="1"/>
  <c r="O85" i="10" s="1"/>
  <c r="O43" i="10"/>
  <c r="O37" i="10"/>
  <c r="O30" i="10"/>
  <c r="E26" i="12"/>
  <c r="E43" i="10"/>
  <c r="E49" i="10"/>
  <c r="E55" i="10" s="1"/>
  <c r="E61" i="10" s="1"/>
  <c r="E67" i="10" s="1"/>
  <c r="E73" i="10" s="1"/>
  <c r="E79" i="10" s="1"/>
  <c r="E85" i="10" s="1"/>
  <c r="E92" i="10" s="1"/>
  <c r="E37" i="10"/>
  <c r="I37" i="10" l="1"/>
  <c r="I49" i="10"/>
  <c r="I67" i="10"/>
  <c r="I73" i="10"/>
  <c r="I79" i="10"/>
  <c r="I61" i="10"/>
  <c r="I85" i="10"/>
  <c r="H26" i="12"/>
  <c r="H94" i="12" s="1"/>
  <c r="I55" i="10"/>
  <c r="S49" i="10"/>
  <c r="S55" i="10"/>
  <c r="S79" i="10"/>
  <c r="S67" i="10"/>
  <c r="S37" i="10"/>
  <c r="E100" i="12"/>
  <c r="E88" i="12"/>
  <c r="N33" i="20"/>
  <c r="E34" i="20"/>
  <c r="S85" i="10"/>
  <c r="I92" i="10"/>
  <c r="I98" i="10"/>
  <c r="I104" i="10"/>
  <c r="S73" i="10"/>
  <c r="S61" i="10"/>
  <c r="D21" i="14"/>
  <c r="D21" i="22"/>
  <c r="E39" i="12"/>
  <c r="N33" i="12"/>
  <c r="N45" i="12"/>
  <c r="N51" i="12" s="1"/>
  <c r="N57" i="12" s="1"/>
  <c r="N63" i="12" s="1"/>
  <c r="N69" i="12" s="1"/>
  <c r="N75" i="12" s="1"/>
  <c r="N81" i="12" s="1"/>
  <c r="E45" i="12"/>
  <c r="E51" i="12" s="1"/>
  <c r="E57" i="12" s="1"/>
  <c r="E63" i="12" s="1"/>
  <c r="E69" i="12" s="1"/>
  <c r="E75" i="12" s="1"/>
  <c r="E81" i="12" s="1"/>
  <c r="E94" i="12" s="1"/>
  <c r="E33" i="12"/>
  <c r="N26" i="12"/>
  <c r="N39" i="12" s="1"/>
  <c r="Q39" i="12" l="1"/>
  <c r="H100" i="12"/>
  <c r="Q33" i="12"/>
  <c r="Q45" i="12"/>
  <c r="H45" i="12"/>
  <c r="H33" i="12"/>
  <c r="Q26" i="12"/>
  <c r="H39" i="12"/>
  <c r="H88" i="12"/>
  <c r="E34" i="22"/>
  <c r="N33" i="22"/>
  <c r="E155" i="2" l="1"/>
  <c r="E164" i="2" l="1"/>
  <c r="D30" i="4"/>
  <c r="E51" i="4" s="1"/>
  <c r="E61" i="4" s="1"/>
  <c r="E71" i="4" s="1"/>
  <c r="E81" i="4" l="1"/>
  <c r="E91" i="4" s="1"/>
  <c r="E41" i="4"/>
  <c r="P41" i="4" s="1"/>
  <c r="P51" i="4" s="1"/>
  <c r="P61" i="4" s="1"/>
  <c r="P71" i="4" s="1"/>
  <c r="P81" i="4" l="1"/>
  <c r="P91" i="4" s="1"/>
  <c r="E61" i="2" l="1"/>
  <c r="E166" i="2" s="1"/>
  <c r="D80" i="10" l="1"/>
  <c r="D164" i="2" l="1"/>
  <c r="D61" i="2" l="1"/>
  <c r="D155" i="2" l="1"/>
  <c r="D166" i="2" s="1"/>
  <c r="I51" i="4" l="1"/>
  <c r="I61" i="4" s="1"/>
  <c r="I71" i="4" s="1"/>
  <c r="G51" i="4"/>
  <c r="G61" i="4" s="1"/>
  <c r="G71" i="4" s="1"/>
  <c r="I41" i="4"/>
  <c r="T41" i="4" s="1"/>
  <c r="T51" i="4" s="1"/>
  <c r="T61" i="4" s="1"/>
  <c r="T71" i="4" s="1"/>
  <c r="R41" i="4"/>
  <c r="R51" i="4" s="1"/>
  <c r="R61" i="4" s="1"/>
  <c r="R71" i="4" s="1"/>
  <c r="G28" i="21"/>
  <c r="Q28" i="21" s="1"/>
  <c r="R81" i="4" l="1"/>
  <c r="R91" i="4" s="1"/>
  <c r="T81" i="4"/>
  <c r="T91" i="4" s="1"/>
  <c r="G81" i="4"/>
  <c r="G91" i="4" s="1"/>
  <c r="I81" i="4"/>
  <c r="I91" i="4" s="1"/>
  <c r="G28" i="13"/>
  <c r="Q28" i="13" s="1"/>
  <c r="G49" i="10" l="1"/>
  <c r="F49" i="10"/>
  <c r="G43" i="10"/>
  <c r="F43" i="10"/>
  <c r="G37" i="10"/>
  <c r="F37" i="10"/>
  <c r="Q30" i="10"/>
  <c r="P30" i="10"/>
  <c r="G30" i="10"/>
  <c r="F30" i="10"/>
  <c r="F39" i="12" l="1"/>
  <c r="F45" i="12" s="1"/>
  <c r="F51" i="12" s="1"/>
  <c r="F57" i="12" s="1"/>
  <c r="F63" i="12" s="1"/>
  <c r="F69" i="12" s="1"/>
  <c r="F75" i="12" s="1"/>
  <c r="F81" i="12" s="1"/>
  <c r="F94" i="12" s="1"/>
  <c r="F100" i="12" s="1"/>
  <c r="F33" i="12"/>
  <c r="D9" i="11"/>
  <c r="C164" i="2" l="1"/>
  <c r="C155" i="2" l="1"/>
  <c r="C61" i="2" l="1"/>
  <c r="C166" i="2" s="1"/>
  <c r="C22" i="14" l="1"/>
  <c r="C25" i="14"/>
  <c r="C26" i="14"/>
  <c r="M65" i="14" l="1"/>
  <c r="M64" i="14"/>
  <c r="M66" i="14"/>
  <c r="M86" i="14"/>
  <c r="M84" i="14"/>
  <c r="M63" i="14"/>
  <c r="M83" i="14"/>
  <c r="M85" i="14"/>
  <c r="M44" i="14"/>
  <c r="M45" i="14"/>
  <c r="M46" i="14"/>
  <c r="M43" i="14"/>
  <c r="L64" i="14"/>
  <c r="L63" i="14"/>
  <c r="L66" i="14"/>
  <c r="L65" i="14"/>
  <c r="L85" i="14"/>
  <c r="L45" i="14"/>
  <c r="D43" i="14"/>
  <c r="C63" i="14"/>
  <c r="D83" i="14"/>
  <c r="D63" i="14"/>
  <c r="D84" i="14"/>
  <c r="D64" i="14"/>
  <c r="D85" i="14"/>
  <c r="D65" i="14"/>
  <c r="D86" i="14"/>
  <c r="D66" i="14"/>
  <c r="D45" i="14"/>
  <c r="D44" i="14"/>
  <c r="D46" i="14"/>
  <c r="C64" i="14"/>
  <c r="C85" i="14"/>
  <c r="C65" i="14"/>
  <c r="C66" i="14"/>
  <c r="C45" i="14"/>
  <c r="C23" i="14"/>
  <c r="C83" i="14" s="1"/>
  <c r="M47" i="14" l="1"/>
  <c r="M87" i="14"/>
  <c r="M82" i="12"/>
  <c r="M67" i="14"/>
  <c r="M64" i="12"/>
  <c r="L67" i="14"/>
  <c r="M58" i="12"/>
  <c r="L84" i="14"/>
  <c r="C86" i="14"/>
  <c r="C84" i="14"/>
  <c r="M46" i="12"/>
  <c r="L46" i="14"/>
  <c r="L86" i="14"/>
  <c r="L44" i="14"/>
  <c r="L43" i="14"/>
  <c r="L83" i="14"/>
  <c r="C43" i="14"/>
  <c r="C44" i="14"/>
  <c r="C46" i="14"/>
  <c r="D47" i="4"/>
  <c r="L47" i="14" l="1"/>
  <c r="M76" i="12"/>
  <c r="L87" i="14"/>
  <c r="D50" i="10"/>
  <c r="M40" i="12"/>
  <c r="D30" i="14" l="1"/>
  <c r="C30" i="14"/>
  <c r="C41" i="14" s="1"/>
  <c r="L41" i="14" s="1"/>
  <c r="L51" i="14" s="1"/>
  <c r="L71" i="14" l="1"/>
  <c r="L81" i="14" s="1"/>
  <c r="L91" i="14" s="1"/>
  <c r="L61" i="14"/>
  <c r="E51" i="14"/>
  <c r="E61" i="14"/>
  <c r="E71" i="14" s="1"/>
  <c r="C47" i="14"/>
  <c r="D47" i="14"/>
  <c r="C51" i="14"/>
  <c r="E41" i="14"/>
  <c r="N41" i="14" s="1"/>
  <c r="N51" i="14" s="1"/>
  <c r="N61" i="14" s="1"/>
  <c r="N71" i="14" s="1"/>
  <c r="D46" i="12" l="1"/>
  <c r="D40" i="12"/>
  <c r="E81" i="14"/>
  <c r="E91" i="14" s="1"/>
  <c r="N81" i="14"/>
  <c r="N91" i="14" s="1"/>
  <c r="C71" i="14"/>
  <c r="C81" i="14" s="1"/>
  <c r="C91" i="14" s="1"/>
  <c r="C61" i="14"/>
  <c r="F164" i="2" l="1"/>
  <c r="H164" i="2" l="1"/>
  <c r="D68" i="10" l="1"/>
  <c r="D87" i="4" l="1"/>
  <c r="D86" i="10" l="1"/>
  <c r="D98" i="10"/>
  <c r="D104" i="10" s="1"/>
  <c r="H155" i="2" l="1"/>
  <c r="H61" i="2" l="1"/>
  <c r="H166" i="2" s="1"/>
  <c r="C67" i="14" l="1"/>
  <c r="D58" i="12" l="1"/>
  <c r="D67" i="14"/>
  <c r="D64" i="12" l="1"/>
  <c r="C87" i="14"/>
  <c r="D76" i="12" l="1"/>
  <c r="D87" i="14"/>
  <c r="D82" i="12" l="1"/>
  <c r="F7" i="14"/>
  <c r="E63" i="4"/>
  <c r="P86" i="4" l="1"/>
  <c r="P85" i="4"/>
  <c r="P84" i="4"/>
  <c r="P83" i="4"/>
  <c r="P44" i="4"/>
  <c r="P43" i="4"/>
  <c r="P46" i="4"/>
  <c r="P45" i="4"/>
  <c r="P66" i="4"/>
  <c r="P65" i="4"/>
  <c r="P63" i="4"/>
  <c r="P64" i="4"/>
  <c r="E83" i="4"/>
  <c r="E46" i="4"/>
  <c r="E85" i="4"/>
  <c r="E84" i="4"/>
  <c r="D22" i="14"/>
  <c r="E64" i="4"/>
  <c r="E86" i="4"/>
  <c r="E44" i="4"/>
  <c r="E65" i="4"/>
  <c r="E66" i="4"/>
  <c r="E45" i="4"/>
  <c r="E43" i="4"/>
  <c r="P67" i="4" l="1"/>
  <c r="P47" i="4"/>
  <c r="P87" i="4"/>
  <c r="O62" i="10"/>
  <c r="O44" i="10"/>
  <c r="N83" i="14"/>
  <c r="N86" i="14"/>
  <c r="N84" i="14"/>
  <c r="N85" i="14"/>
  <c r="N66" i="14"/>
  <c r="N65" i="14"/>
  <c r="N64" i="14"/>
  <c r="N63" i="14"/>
  <c r="O45" i="14"/>
  <c r="N45" i="14"/>
  <c r="N46" i="14"/>
  <c r="N44" i="14"/>
  <c r="O46" i="14"/>
  <c r="O43" i="14"/>
  <c r="N43" i="14"/>
  <c r="O44" i="14"/>
  <c r="O80" i="10"/>
  <c r="E87" i="4"/>
  <c r="E47" i="4"/>
  <c r="E44" i="14"/>
  <c r="E64" i="14"/>
  <c r="E45" i="14"/>
  <c r="E83" i="14"/>
  <c r="E65" i="14"/>
  <c r="E66" i="14"/>
  <c r="E63" i="14"/>
  <c r="E84" i="14"/>
  <c r="E46" i="14"/>
  <c r="E86" i="14"/>
  <c r="E85" i="14"/>
  <c r="E43" i="14"/>
  <c r="E67" i="4"/>
  <c r="N47" i="14" l="1"/>
  <c r="O47" i="14"/>
  <c r="E44" i="10"/>
  <c r="E80" i="10"/>
  <c r="N87" i="14"/>
  <c r="N76" i="12"/>
  <c r="E62" i="10"/>
  <c r="N67" i="14"/>
  <c r="N58" i="12"/>
  <c r="N46" i="12"/>
  <c r="N40" i="12"/>
  <c r="E47" i="14"/>
  <c r="E40" i="12" s="1"/>
  <c r="E67" i="14"/>
  <c r="E58" i="12" s="1"/>
  <c r="E87" i="14"/>
  <c r="E76" i="12" s="1"/>
  <c r="F8" i="14" l="1"/>
  <c r="D25" i="4"/>
  <c r="F64" i="4" s="1"/>
  <c r="Q86" i="4" l="1"/>
  <c r="Q85" i="4"/>
  <c r="Q84" i="4"/>
  <c r="Q83" i="4"/>
  <c r="Q46" i="4"/>
  <c r="Q45" i="4"/>
  <c r="Q43" i="4"/>
  <c r="Q44" i="4"/>
  <c r="Q64" i="4"/>
  <c r="Q65" i="4"/>
  <c r="Q66" i="4"/>
  <c r="Q63" i="4"/>
  <c r="F65" i="4"/>
  <c r="F83" i="4"/>
  <c r="D25" i="14"/>
  <c r="F43" i="4"/>
  <c r="F45" i="4"/>
  <c r="F63" i="4"/>
  <c r="F44" i="4"/>
  <c r="F46" i="4"/>
  <c r="F86" i="4"/>
  <c r="F84" i="4"/>
  <c r="F66" i="4"/>
  <c r="F85" i="4"/>
  <c r="Q67" i="4" l="1"/>
  <c r="Q47" i="4"/>
  <c r="Q87" i="4"/>
  <c r="O86" i="10"/>
  <c r="O68" i="10"/>
  <c r="O50" i="10"/>
  <c r="O84" i="14"/>
  <c r="O85" i="14"/>
  <c r="O86" i="14"/>
  <c r="O83" i="14"/>
  <c r="O66" i="14"/>
  <c r="O65" i="14"/>
  <c r="O64" i="14"/>
  <c r="O63" i="14"/>
  <c r="F87" i="4"/>
  <c r="F47" i="4"/>
  <c r="F45" i="14"/>
  <c r="F83" i="14"/>
  <c r="F65" i="14"/>
  <c r="F43" i="14"/>
  <c r="F86" i="14"/>
  <c r="F63" i="14"/>
  <c r="F85" i="14"/>
  <c r="F84" i="14"/>
  <c r="F64" i="14"/>
  <c r="F44" i="14"/>
  <c r="F46" i="14"/>
  <c r="F66" i="14"/>
  <c r="F67" i="4"/>
  <c r="O87" i="14" l="1"/>
  <c r="N82" i="12"/>
  <c r="E86" i="10"/>
  <c r="E50" i="10"/>
  <c r="O67" i="14"/>
  <c r="N64" i="12"/>
  <c r="E68" i="10"/>
  <c r="E98" i="10"/>
  <c r="E104" i="10" s="1"/>
  <c r="F87" i="14"/>
  <c r="E82" i="12" s="1"/>
  <c r="F47" i="14"/>
  <c r="E46" i="12" s="1"/>
  <c r="F67" i="14"/>
  <c r="E64" i="12" s="1"/>
  <c r="N8" i="10" l="1"/>
  <c r="M8" i="10"/>
  <c r="P8" i="10"/>
  <c r="O8" i="10" l="1"/>
  <c r="O8" i="12" l="1"/>
  <c r="M8" i="12"/>
  <c r="N8" i="12"/>
  <c r="P8" i="12" l="1"/>
  <c r="F155" i="2" l="1"/>
  <c r="F61" i="2" l="1"/>
  <c r="F166" i="2" s="1"/>
  <c r="O6" i="13" l="1"/>
  <c r="O10" i="13" s="1"/>
  <c r="D12" i="19" l="1"/>
  <c r="P14" i="19" s="1"/>
  <c r="P13" i="19" s="1"/>
  <c r="D12" i="3"/>
  <c r="P14" i="3" s="1"/>
  <c r="P13" i="3" s="1"/>
  <c r="L61" i="2"/>
  <c r="L155" i="2" l="1"/>
  <c r="L166" i="2" s="1"/>
  <c r="O164" i="2" l="1"/>
  <c r="O155" i="2" l="1"/>
  <c r="O61" i="2" l="1"/>
  <c r="O166" i="2" l="1"/>
  <c r="N56" i="10" l="1"/>
  <c r="N38" i="10"/>
  <c r="N74" i="10"/>
  <c r="O38" i="10"/>
  <c r="O56" i="10"/>
  <c r="O74" i="10"/>
  <c r="D74" i="10"/>
  <c r="E56" i="10"/>
  <c r="E74" i="10"/>
  <c r="E38" i="10"/>
  <c r="D56" i="10"/>
  <c r="D38" i="10"/>
  <c r="M52" i="12" l="1"/>
  <c r="M34" i="12"/>
  <c r="M70" i="12"/>
  <c r="N34" i="12"/>
  <c r="N52" i="12"/>
  <c r="N70" i="12"/>
  <c r="E70" i="12"/>
  <c r="D52" i="12"/>
  <c r="E52" i="12"/>
  <c r="E34" i="12"/>
  <c r="D34" i="12"/>
  <c r="D70" i="12"/>
  <c r="E13" i="22" l="1"/>
  <c r="E11" i="22"/>
  <c r="E9" i="22"/>
  <c r="P12" i="14"/>
  <c r="P10" i="14"/>
  <c r="P8" i="14"/>
  <c r="P11" i="14"/>
  <c r="P9" i="14"/>
  <c r="P7" i="14"/>
  <c r="G8" i="4" l="1"/>
  <c r="E8" i="14"/>
  <c r="G8" i="14" s="1"/>
  <c r="G7" i="4"/>
  <c r="E7" i="14"/>
  <c r="G7" i="14" s="1"/>
  <c r="E9" i="14"/>
  <c r="G9" i="14" s="1"/>
  <c r="G9" i="4"/>
  <c r="E11" i="14"/>
  <c r="G11" i="14" s="1"/>
  <c r="G11" i="4"/>
  <c r="E10" i="14"/>
  <c r="G10" i="14" s="1"/>
  <c r="G10" i="4"/>
  <c r="G12" i="4"/>
  <c r="E12" i="14"/>
  <c r="G12" i="14" s="1"/>
  <c r="E7" i="22"/>
  <c r="P164" i="2" l="1"/>
  <c r="P155" i="2" l="1"/>
  <c r="P61" i="2" l="1"/>
  <c r="P166" i="2" s="1"/>
  <c r="K164" i="2" l="1"/>
  <c r="J155" i="2" l="1"/>
  <c r="J166" i="2" s="1"/>
  <c r="K61" i="2" l="1"/>
  <c r="K155" i="2" l="1"/>
  <c r="K166" i="2" s="1"/>
  <c r="M164" i="2" l="1"/>
  <c r="M155" i="2" l="1"/>
  <c r="M61" i="2" l="1"/>
  <c r="M166" i="2" s="1"/>
  <c r="N164" i="2" l="1"/>
  <c r="N155" i="2" l="1"/>
  <c r="N61" i="2" l="1"/>
  <c r="N166" i="2" s="1"/>
  <c r="G21" i="11" l="1"/>
  <c r="D21" i="11"/>
  <c r="H21" i="11" l="1"/>
  <c r="I21" i="11" s="1"/>
  <c r="J21" i="11" s="1"/>
  <c r="F59" i="11"/>
  <c r="G59" i="11" l="1"/>
  <c r="H59" i="11" s="1"/>
  <c r="D59" i="11"/>
  <c r="G19" i="11"/>
  <c r="Q18" i="11" s="1"/>
  <c r="Q99" i="11" s="1"/>
  <c r="D19" i="11"/>
  <c r="P18" i="11"/>
  <c r="H19" i="11" l="1"/>
  <c r="R18" i="11" s="1"/>
  <c r="R99" i="11" s="1"/>
  <c r="P99" i="11"/>
  <c r="I59" i="11"/>
  <c r="J59" i="11" s="1"/>
  <c r="I19" i="11" l="1"/>
  <c r="S18" i="11" s="1"/>
  <c r="S99" i="11" s="1"/>
  <c r="J19" i="11" l="1"/>
  <c r="T18" i="11" s="1"/>
  <c r="T99" i="11" s="1"/>
  <c r="C13" i="19" l="1"/>
  <c r="U11" i="19" s="1"/>
  <c r="C13" i="3"/>
  <c r="U11" i="3" s="1"/>
  <c r="D13" i="19" l="1"/>
  <c r="U14" i="19" s="1"/>
  <c r="D13" i="3"/>
  <c r="U14" i="3" s="1"/>
  <c r="Q10" i="17"/>
  <c r="Q19" i="17" s="1"/>
  <c r="D91" i="11"/>
  <c r="P20" i="11" l="1"/>
  <c r="G82" i="11"/>
  <c r="Q20" i="11" s="1"/>
  <c r="Q101" i="11" s="1"/>
  <c r="D82" i="11"/>
  <c r="H82" i="11" l="1"/>
  <c r="R20" i="11" s="1"/>
  <c r="R101" i="11" s="1"/>
  <c r="P101" i="11"/>
  <c r="I82" i="11" l="1"/>
  <c r="S20" i="11" s="1"/>
  <c r="S101" i="11" s="1"/>
  <c r="J82" i="11" l="1"/>
  <c r="T20" i="11" s="1"/>
  <c r="T101" i="11" s="1"/>
  <c r="C15" i="19" l="1"/>
  <c r="T11" i="19" s="1"/>
  <c r="C15" i="3"/>
  <c r="T11" i="3" s="1"/>
  <c r="D15" i="19" l="1"/>
  <c r="T14" i="19" s="1"/>
  <c r="D15" i="3"/>
  <c r="T14" i="3" s="1"/>
  <c r="G77" i="11" l="1"/>
  <c r="H77" i="11" s="1"/>
  <c r="I77" i="11" s="1"/>
  <c r="J77" i="11" s="1"/>
  <c r="D77" i="11"/>
  <c r="G76" i="11"/>
  <c r="H76" i="11" s="1"/>
  <c r="I76" i="11" s="1"/>
  <c r="J76" i="11" s="1"/>
  <c r="D76" i="11"/>
  <c r="G79" i="11" l="1"/>
  <c r="D79" i="11"/>
  <c r="H79" i="11" l="1"/>
  <c r="I79" i="11" l="1"/>
  <c r="J79" i="11" l="1"/>
  <c r="F65" i="11" l="1"/>
  <c r="G70" i="11" l="1"/>
  <c r="D70" i="11"/>
  <c r="G69" i="11"/>
  <c r="D69" i="11"/>
  <c r="G73" i="11"/>
  <c r="D73" i="11"/>
  <c r="G72" i="11"/>
  <c r="D72" i="11"/>
  <c r="G71" i="11"/>
  <c r="D71" i="11"/>
  <c r="G75" i="11"/>
  <c r="D75" i="11"/>
  <c r="G74" i="11"/>
  <c r="D74" i="11"/>
  <c r="G68" i="11"/>
  <c r="D68" i="11"/>
  <c r="P21" i="11"/>
  <c r="G65" i="11"/>
  <c r="Q21" i="11" s="1"/>
  <c r="Q102" i="11" s="1"/>
  <c r="D65" i="11"/>
  <c r="H68" i="11" l="1"/>
  <c r="I68" i="11" s="1"/>
  <c r="J68" i="11" s="1"/>
  <c r="H74" i="11"/>
  <c r="I74" i="11" s="1"/>
  <c r="J74" i="11" s="1"/>
  <c r="H75" i="11"/>
  <c r="I75" i="11" s="1"/>
  <c r="J75" i="11" s="1"/>
  <c r="H71" i="11"/>
  <c r="I71" i="11" s="1"/>
  <c r="J71" i="11" s="1"/>
  <c r="H72" i="11"/>
  <c r="I72" i="11" s="1"/>
  <c r="J72" i="11" s="1"/>
  <c r="H73" i="11"/>
  <c r="I73" i="11" s="1"/>
  <c r="J73" i="11" s="1"/>
  <c r="H65" i="11"/>
  <c r="R21" i="11" s="1"/>
  <c r="R102" i="11" s="1"/>
  <c r="H69" i="11"/>
  <c r="I69" i="11" s="1"/>
  <c r="J69" i="11" s="1"/>
  <c r="P102" i="11"/>
  <c r="H70" i="11"/>
  <c r="I70" i="11" s="1"/>
  <c r="J70" i="11" s="1"/>
  <c r="I65" i="11" l="1"/>
  <c r="S21" i="11" s="1"/>
  <c r="S102" i="11" s="1"/>
  <c r="J65" i="11" l="1"/>
  <c r="T21" i="11" s="1"/>
  <c r="T102" i="11" s="1"/>
  <c r="C16" i="19" l="1"/>
  <c r="Q11" i="19" s="1"/>
  <c r="C16" i="3"/>
  <c r="Q11" i="3" s="1"/>
  <c r="D16" i="19" l="1"/>
  <c r="Q14" i="19" s="1"/>
  <c r="D16" i="3"/>
  <c r="Q14" i="3" s="1"/>
  <c r="D28" i="11" l="1"/>
  <c r="H33" i="11" l="1"/>
  <c r="I33" i="11" s="1"/>
  <c r="J33" i="11" s="1"/>
  <c r="G22" i="11" l="1"/>
  <c r="D22" i="11"/>
  <c r="D52" i="11" l="1"/>
  <c r="F58" i="11"/>
  <c r="D50" i="11"/>
  <c r="F64" i="11"/>
  <c r="D24" i="11"/>
  <c r="F61" i="11"/>
  <c r="D10" i="11"/>
  <c r="D23" i="11"/>
  <c r="G58" i="11" l="1"/>
  <c r="H58" i="11" s="1"/>
  <c r="I10" i="11"/>
  <c r="D53" i="11"/>
  <c r="G61" i="11"/>
  <c r="D61" i="11"/>
  <c r="D64" i="11"/>
  <c r="G64" i="11"/>
  <c r="F63" i="11"/>
  <c r="P15" i="11" s="1"/>
  <c r="D58" i="11"/>
  <c r="G15" i="11"/>
  <c r="D15" i="11"/>
  <c r="I58" i="11"/>
  <c r="J58" i="11" s="1"/>
  <c r="D11" i="11"/>
  <c r="J10" i="11" l="1"/>
  <c r="P96" i="11"/>
  <c r="G16" i="11"/>
  <c r="D16" i="11"/>
  <c r="H15" i="11"/>
  <c r="G63" i="11"/>
  <c r="D63" i="11"/>
  <c r="H64" i="11"/>
  <c r="I64" i="11" s="1"/>
  <c r="J64" i="11" s="1"/>
  <c r="H61" i="11"/>
  <c r="I61" i="11" s="1"/>
  <c r="J61" i="11" s="1"/>
  <c r="I11" i="11"/>
  <c r="J11" i="11" l="1"/>
  <c r="Q15" i="11"/>
  <c r="Q96" i="11" s="1"/>
  <c r="H63" i="11"/>
  <c r="I63" i="11" s="1"/>
  <c r="J63" i="11" s="1"/>
  <c r="I15" i="11"/>
  <c r="S15" i="11" s="1"/>
  <c r="S96" i="11" s="1"/>
  <c r="H16" i="11"/>
  <c r="R15" i="11" l="1"/>
  <c r="R96" i="11" s="1"/>
  <c r="I16" i="11"/>
  <c r="J15" i="11"/>
  <c r="T15" i="11" s="1"/>
  <c r="T96" i="11" s="1"/>
  <c r="C10" i="19" l="1"/>
  <c r="N11" i="19" s="1"/>
  <c r="C10" i="3"/>
  <c r="N11" i="3" s="1"/>
  <c r="J16" i="11"/>
  <c r="D10" i="19" l="1"/>
  <c r="N14" i="19" s="1"/>
  <c r="D10" i="3"/>
  <c r="N14" i="3" s="1"/>
  <c r="F62" i="11" l="1"/>
  <c r="G62" i="11" l="1"/>
  <c r="D62" i="11"/>
  <c r="H62" i="11" l="1"/>
  <c r="I62" i="11" l="1"/>
  <c r="J62" i="11" l="1"/>
  <c r="F60" i="11" l="1"/>
  <c r="G60" i="11" l="1"/>
  <c r="H60" i="11" s="1"/>
  <c r="D60" i="11"/>
  <c r="I60" i="11" l="1"/>
  <c r="J60" i="11" l="1"/>
  <c r="G20" i="11" l="1"/>
  <c r="Q10" i="11" s="1"/>
  <c r="Q91" i="11" s="1"/>
  <c r="P10" i="11"/>
  <c r="D20" i="11"/>
  <c r="P91" i="11" l="1"/>
  <c r="H20" i="11"/>
  <c r="R10" i="11" s="1"/>
  <c r="R91" i="11" s="1"/>
  <c r="I20" i="11" l="1"/>
  <c r="S10" i="11" s="1"/>
  <c r="S91" i="11" s="1"/>
  <c r="J20" i="11" l="1"/>
  <c r="T10" i="11" s="1"/>
  <c r="T91" i="11" s="1"/>
  <c r="C5" i="3" l="1"/>
  <c r="I11" i="3" s="1"/>
  <c r="I10" i="3" s="1"/>
  <c r="C5" i="19"/>
  <c r="I11" i="19" s="1"/>
  <c r="I10" i="19" s="1"/>
  <c r="D5" i="3" l="1"/>
  <c r="I14" i="3" s="1"/>
  <c r="I13" i="3" s="1"/>
  <c r="D5" i="19"/>
  <c r="I14" i="19" s="1"/>
  <c r="I13" i="19" s="1"/>
  <c r="G80" i="11"/>
  <c r="D80" i="11"/>
  <c r="H80" i="11" l="1"/>
  <c r="I80" i="11" l="1"/>
  <c r="J80" i="11" l="1"/>
  <c r="Q164" i="2" l="1"/>
  <c r="G81" i="11" l="1"/>
  <c r="Q19" i="11" s="1"/>
  <c r="Q100" i="11" s="1"/>
  <c r="D81" i="11"/>
  <c r="P19" i="11"/>
  <c r="P100" i="11" l="1"/>
  <c r="H81" i="11"/>
  <c r="R19" i="11" s="1"/>
  <c r="R100" i="11" s="1"/>
  <c r="I81" i="11" l="1"/>
  <c r="S19" i="11" s="1"/>
  <c r="S100" i="11" s="1"/>
  <c r="J81" i="11" l="1"/>
  <c r="T19" i="11" s="1"/>
  <c r="T100" i="11" s="1"/>
  <c r="C14" i="19" l="1"/>
  <c r="R11" i="19" s="1"/>
  <c r="C14" i="3"/>
  <c r="R11" i="3" s="1"/>
  <c r="D14" i="19" l="1"/>
  <c r="R14" i="19" s="1"/>
  <c r="D14" i="3"/>
  <c r="R14" i="3" s="1"/>
  <c r="G27" i="11" l="1"/>
  <c r="Q13" i="11" s="1"/>
  <c r="Q94" i="11" s="1"/>
  <c r="P13" i="11"/>
  <c r="D27" i="11"/>
  <c r="P94" i="11" l="1"/>
  <c r="H27" i="11"/>
  <c r="R13" i="11" s="1"/>
  <c r="R94" i="11" s="1"/>
  <c r="I27" i="11" l="1"/>
  <c r="S13" i="11" s="1"/>
  <c r="S94" i="11" s="1"/>
  <c r="J27" i="11" l="1"/>
  <c r="T13" i="11" s="1"/>
  <c r="T94" i="11" s="1"/>
  <c r="C8" i="19" l="1"/>
  <c r="L11" i="19" s="1"/>
  <c r="C8" i="3"/>
  <c r="L11" i="3" s="1"/>
  <c r="D8" i="19" l="1"/>
  <c r="L14" i="19" s="1"/>
  <c r="D8" i="3"/>
  <c r="L14" i="3" s="1"/>
  <c r="D13" i="11" l="1"/>
  <c r="G13" i="11"/>
  <c r="Q14" i="11" s="1"/>
  <c r="Q95" i="11" s="1"/>
  <c r="P14" i="11"/>
  <c r="G12" i="11"/>
  <c r="D12" i="11"/>
  <c r="P9" i="11"/>
  <c r="D14" i="11"/>
  <c r="G14" i="11"/>
  <c r="Q11" i="11" s="1"/>
  <c r="P11" i="11"/>
  <c r="D18" i="11"/>
  <c r="G18" i="11"/>
  <c r="Q9" i="11" l="1"/>
  <c r="Q90" i="11" s="1"/>
  <c r="P95" i="11"/>
  <c r="H18" i="11"/>
  <c r="I18" i="11" s="1"/>
  <c r="J18" i="11" s="1"/>
  <c r="H13" i="11"/>
  <c r="R14" i="11" s="1"/>
  <c r="R95" i="11" s="1"/>
  <c r="P92" i="11"/>
  <c r="H14" i="11"/>
  <c r="R11" i="11" s="1"/>
  <c r="P90" i="11"/>
  <c r="H12" i="11"/>
  <c r="R9" i="11" l="1"/>
  <c r="R90" i="11" s="1"/>
  <c r="I13" i="11"/>
  <c r="S14" i="11" s="1"/>
  <c r="S95" i="11" s="1"/>
  <c r="I14" i="11"/>
  <c r="S11" i="11" s="1"/>
  <c r="I12" i="11"/>
  <c r="S9" i="11" s="1"/>
  <c r="S90" i="11" s="1"/>
  <c r="J14" i="11" l="1"/>
  <c r="T11" i="11" s="1"/>
  <c r="J13" i="11"/>
  <c r="T14" i="11" s="1"/>
  <c r="T95" i="11" s="1"/>
  <c r="J12" i="11"/>
  <c r="T9" i="11" s="1"/>
  <c r="T90" i="11" s="1"/>
  <c r="C4" i="19" l="1"/>
  <c r="C4" i="3"/>
  <c r="H11" i="3" s="1"/>
  <c r="C9" i="19"/>
  <c r="M11" i="19" s="1"/>
  <c r="C9" i="3"/>
  <c r="C6" i="19"/>
  <c r="J11" i="19" s="1"/>
  <c r="C6" i="3"/>
  <c r="J11" i="3" s="1"/>
  <c r="M11" i="3" l="1"/>
  <c r="Z20" i="3"/>
  <c r="D4" i="19"/>
  <c r="D4" i="3"/>
  <c r="H11" i="19"/>
  <c r="D9" i="3"/>
  <c r="M14" i="3" s="1"/>
  <c r="D9" i="19"/>
  <c r="M14" i="19" s="1"/>
  <c r="Z20" i="19" l="1"/>
  <c r="H14" i="3"/>
  <c r="H14" i="19"/>
  <c r="Q155" i="2"/>
  <c r="AA20" i="3" l="1"/>
  <c r="AA20" i="19"/>
  <c r="Q61" i="2" l="1"/>
  <c r="Q166" i="2" l="1"/>
  <c r="C25" i="13" l="1"/>
  <c r="D25" i="13" l="1"/>
  <c r="E25" i="13" l="1"/>
  <c r="D24" i="21" l="1"/>
  <c r="D25" i="21" l="1"/>
  <c r="D26" i="13"/>
  <c r="E24" i="21" l="1"/>
  <c r="E25" i="21" l="1"/>
  <c r="C24" i="21"/>
  <c r="E26" i="13" l="1"/>
  <c r="C26" i="13" l="1"/>
  <c r="C25" i="21"/>
  <c r="M35" i="22" l="1"/>
  <c r="M34" i="22"/>
  <c r="M36" i="22" l="1"/>
  <c r="M37" i="22"/>
  <c r="F35" i="11" l="1"/>
  <c r="F48" i="11"/>
  <c r="F36" i="11"/>
  <c r="F31" i="11"/>
  <c r="F44" i="11"/>
  <c r="F45" i="11"/>
  <c r="F29" i="11"/>
  <c r="F54" i="11"/>
  <c r="F47" i="11"/>
  <c r="D47" i="11" s="1"/>
  <c r="F33" i="11"/>
  <c r="F46" i="11"/>
  <c r="F34" i="11"/>
  <c r="F32" i="11"/>
  <c r="F123" i="11" l="1"/>
  <c r="D114" i="11"/>
  <c r="D29" i="11"/>
  <c r="P16" i="11"/>
  <c r="D44" i="11"/>
  <c r="D45" i="11"/>
  <c r="G34" i="11"/>
  <c r="D34" i="11"/>
  <c r="G31" i="11"/>
  <c r="D31" i="11"/>
  <c r="Q92" i="11"/>
  <c r="D33" i="11"/>
  <c r="G36" i="11"/>
  <c r="D36" i="11"/>
  <c r="G48" i="11"/>
  <c r="H48" i="11" s="1"/>
  <c r="I48" i="11" s="1"/>
  <c r="J48" i="11" s="1"/>
  <c r="D48" i="11"/>
  <c r="D46" i="11"/>
  <c r="G46" i="11"/>
  <c r="D32" i="11"/>
  <c r="D54" i="11"/>
  <c r="D35" i="11"/>
  <c r="G35" i="11"/>
  <c r="H46" i="11" l="1"/>
  <c r="I46" i="11" s="1"/>
  <c r="J46" i="11" s="1"/>
  <c r="D104" i="11"/>
  <c r="H34" i="11"/>
  <c r="I34" i="11" s="1"/>
  <c r="J34" i="11" s="1"/>
  <c r="H35" i="11"/>
  <c r="I35" i="11" s="1"/>
  <c r="J35" i="11" s="1"/>
  <c r="H104" i="11"/>
  <c r="R92" i="11" s="1"/>
  <c r="P97" i="11"/>
  <c r="H31" i="11"/>
  <c r="Q16" i="11"/>
  <c r="Q97" i="11" s="1"/>
  <c r="H36" i="11"/>
  <c r="I36" i="11" s="1"/>
  <c r="J36" i="11" s="1"/>
  <c r="H112" i="11" l="1"/>
  <c r="I112" i="11" s="1"/>
  <c r="Q26" i="17"/>
  <c r="G123" i="11"/>
  <c r="J112" i="11"/>
  <c r="D112" i="11"/>
  <c r="D123" i="11" s="1"/>
  <c r="I31" i="11"/>
  <c r="R16" i="11"/>
  <c r="R97" i="11" s="1"/>
  <c r="I104" i="11"/>
  <c r="S92" i="11" s="1"/>
  <c r="I123" i="11" l="1"/>
  <c r="H123" i="11"/>
  <c r="J104" i="11"/>
  <c r="J31" i="11"/>
  <c r="T16" i="11" s="1"/>
  <c r="T97" i="11" s="1"/>
  <c r="S16" i="11"/>
  <c r="S97" i="11" s="1"/>
  <c r="J123" i="11" l="1"/>
  <c r="T92" i="11"/>
  <c r="C11" i="19"/>
  <c r="O11" i="19" s="1"/>
  <c r="C11" i="3"/>
  <c r="O11" i="3" s="1"/>
  <c r="D6" i="3" l="1"/>
  <c r="J14" i="3" s="1"/>
  <c r="D6" i="19"/>
  <c r="J14" i="19" s="1"/>
  <c r="D11" i="19"/>
  <c r="O14" i="19" s="1"/>
  <c r="D11" i="3"/>
  <c r="O14" i="3" s="1"/>
  <c r="F39" i="11" l="1"/>
  <c r="F40" i="11"/>
  <c r="F41" i="11"/>
  <c r="F43" i="11"/>
  <c r="F38" i="11"/>
  <c r="R155" i="2"/>
  <c r="F42" i="11"/>
  <c r="F51" i="11"/>
  <c r="D51" i="11" l="1"/>
  <c r="D42" i="11"/>
  <c r="P12" i="11"/>
  <c r="D38" i="11"/>
  <c r="G43" i="11"/>
  <c r="D43" i="11"/>
  <c r="D41" i="11"/>
  <c r="D40" i="11"/>
  <c r="D39" i="11"/>
  <c r="Q12" i="11" l="1"/>
  <c r="Q93" i="11" s="1"/>
  <c r="H43" i="11"/>
  <c r="P93" i="11"/>
  <c r="R12" i="11" l="1"/>
  <c r="R93" i="11" s="1"/>
  <c r="I43" i="11"/>
  <c r="S12" i="11" l="1"/>
  <c r="S93" i="11" s="1"/>
  <c r="J43" i="11"/>
  <c r="T12" i="11" s="1"/>
  <c r="T93" i="11" s="1"/>
  <c r="C7" i="19" l="1"/>
  <c r="C7" i="3"/>
  <c r="D7" i="19" l="1"/>
  <c r="D7" i="3"/>
  <c r="K11" i="3"/>
  <c r="K11" i="19"/>
  <c r="K14" i="3" l="1"/>
  <c r="K14" i="19"/>
  <c r="F17" i="11" l="1"/>
  <c r="R61" i="2"/>
  <c r="R166" i="2" l="1"/>
  <c r="F83" i="11"/>
  <c r="P22" i="11"/>
  <c r="G17" i="11"/>
  <c r="D17" i="11"/>
  <c r="D83" i="11" s="1"/>
  <c r="B5" i="11" l="1"/>
  <c r="Q5" i="17"/>
  <c r="Q6" i="17" s="1"/>
  <c r="Q22" i="11"/>
  <c r="Q103" i="11" s="1"/>
  <c r="Q104" i="11" s="1"/>
  <c r="H17" i="11"/>
  <c r="G83" i="11"/>
  <c r="P103" i="11"/>
  <c r="P104" i="11" s="1"/>
  <c r="P23" i="11"/>
  <c r="P106" i="11" l="1"/>
  <c r="Q31" i="17"/>
  <c r="R22" i="11"/>
  <c r="R103" i="11" s="1"/>
  <c r="R104" i="11" s="1"/>
  <c r="I17" i="11"/>
  <c r="H83" i="11"/>
  <c r="Q23" i="11"/>
  <c r="Q32" i="17" l="1"/>
  <c r="Q106" i="11"/>
  <c r="S22" i="11"/>
  <c r="S103" i="11" s="1"/>
  <c r="S104" i="11" s="1"/>
  <c r="J17" i="11"/>
  <c r="I83" i="11"/>
  <c r="R23" i="11"/>
  <c r="R106" i="11" l="1"/>
  <c r="Q33" i="17"/>
  <c r="J83" i="11"/>
  <c r="T22" i="11"/>
  <c r="T103" i="11" s="1"/>
  <c r="S23" i="11"/>
  <c r="T104" i="11" l="1"/>
  <c r="C17" i="3"/>
  <c r="C17" i="19"/>
  <c r="T23" i="11"/>
  <c r="D17" i="3" l="1"/>
  <c r="D17" i="19"/>
  <c r="S11" i="19"/>
  <c r="C18" i="19"/>
  <c r="S11" i="3"/>
  <c r="C18" i="3"/>
  <c r="Q34" i="17"/>
  <c r="S106" i="11"/>
  <c r="V20" i="3" l="1"/>
  <c r="V11" i="3"/>
  <c r="V11" i="19"/>
  <c r="V20" i="19"/>
  <c r="S14" i="19"/>
  <c r="D18" i="19"/>
  <c r="S14" i="3"/>
  <c r="D18" i="3"/>
  <c r="T106" i="11"/>
  <c r="Q35" i="17"/>
  <c r="X20" i="19" l="1"/>
  <c r="V14" i="19"/>
  <c r="X20" i="3"/>
  <c r="V14" i="3"/>
  <c r="C3" i="15" l="1"/>
  <c r="AE16" i="3" l="1"/>
  <c r="AA17" i="13"/>
  <c r="AE20" i="3" l="1"/>
  <c r="AA21" i="13"/>
  <c r="D34" i="21" l="1"/>
  <c r="G24" i="19" l="1"/>
  <c r="F29" i="21" s="1"/>
  <c r="E34" i="21"/>
  <c r="D35" i="13"/>
  <c r="R24" i="3" l="1"/>
  <c r="P29" i="13" s="1"/>
  <c r="C35" i="13"/>
  <c r="G24" i="3"/>
  <c r="F29" i="13" s="1"/>
  <c r="E35" i="13"/>
  <c r="R24" i="19"/>
  <c r="P29" i="21" s="1"/>
  <c r="C34" i="21"/>
  <c r="H7" i="12"/>
  <c r="I7" i="10"/>
  <c r="D35" i="21" l="1"/>
  <c r="D36" i="13"/>
  <c r="R25" i="3" l="1"/>
  <c r="P30" i="13" s="1"/>
  <c r="C36" i="13"/>
  <c r="R25" i="19"/>
  <c r="P30" i="21" s="1"/>
  <c r="C35" i="21"/>
  <c r="G25" i="3"/>
  <c r="F30" i="13" s="1"/>
  <c r="E36" i="13"/>
  <c r="G25" i="19"/>
  <c r="F30" i="21" s="1"/>
  <c r="E35" i="21"/>
  <c r="L6" i="3" l="1"/>
  <c r="L6" i="19" l="1"/>
  <c r="K6" i="13"/>
  <c r="K10" i="13" s="1"/>
  <c r="L10" i="3"/>
  <c r="L13" i="3"/>
  <c r="K6" i="21" l="1"/>
  <c r="K10" i="21" s="1"/>
  <c r="L10" i="19"/>
  <c r="L13" i="19"/>
  <c r="S6" i="3" l="1"/>
  <c r="R6" i="13" l="1"/>
  <c r="R10" i="13" s="1"/>
  <c r="S13" i="3"/>
  <c r="S10" i="3"/>
  <c r="S6" i="19"/>
  <c r="S10" i="19" l="1"/>
  <c r="R6" i="21"/>
  <c r="R10" i="21" s="1"/>
  <c r="S13" i="19"/>
  <c r="T6" i="3" l="1"/>
  <c r="T13" i="3" l="1"/>
  <c r="S6" i="13"/>
  <c r="S10" i="13" s="1"/>
  <c r="T10" i="3"/>
  <c r="T6" i="19"/>
  <c r="T13" i="19" l="1"/>
  <c r="T10" i="19"/>
  <c r="S6" i="21"/>
  <c r="S10" i="21" s="1"/>
  <c r="O6" i="19" l="1"/>
  <c r="N6" i="21" l="1"/>
  <c r="N10" i="21" s="1"/>
  <c r="O10" i="19"/>
  <c r="O13" i="19"/>
  <c r="O6" i="3"/>
  <c r="O10" i="3" l="1"/>
  <c r="O13" i="3"/>
  <c r="N6" i="13"/>
  <c r="N10" i="13" s="1"/>
  <c r="R6" i="3" l="1"/>
  <c r="R6" i="19"/>
  <c r="R13" i="19" l="1"/>
  <c r="R10" i="19"/>
  <c r="Q6" i="21"/>
  <c r="Q10" i="21" s="1"/>
  <c r="Q6" i="13"/>
  <c r="Q10" i="13" s="1"/>
  <c r="R13" i="3"/>
  <c r="R10" i="3"/>
  <c r="N34" i="22" l="1"/>
  <c r="N35" i="22"/>
  <c r="N36" i="22" l="1"/>
  <c r="N37" i="22"/>
  <c r="R12" i="4" l="1"/>
  <c r="R12" i="14" s="1"/>
  <c r="Q12" i="14"/>
  <c r="R7" i="4"/>
  <c r="R7" i="14" s="1"/>
  <c r="Q7" i="14"/>
  <c r="D31" i="4"/>
  <c r="D35" i="4"/>
  <c r="D35" i="14" s="1"/>
  <c r="R10" i="4"/>
  <c r="R10" i="14" s="1"/>
  <c r="Q10" i="14"/>
  <c r="D34" i="4" l="1"/>
  <c r="R8" i="4"/>
  <c r="R8" i="14" s="1"/>
  <c r="Q8" i="14"/>
  <c r="Q11" i="14"/>
  <c r="R11" i="4"/>
  <c r="R11" i="14" s="1"/>
  <c r="D32" i="4"/>
  <c r="D32" i="14" s="1"/>
  <c r="R9" i="4"/>
  <c r="R9" i="14" s="1"/>
  <c r="Q9" i="14"/>
  <c r="P73" i="4"/>
  <c r="P75" i="4"/>
  <c r="E73" i="4"/>
  <c r="E76" i="4"/>
  <c r="E95" i="4"/>
  <c r="E74" i="4"/>
  <c r="E75" i="4"/>
  <c r="E96" i="4"/>
  <c r="P94" i="4"/>
  <c r="P55" i="4"/>
  <c r="P53" i="4"/>
  <c r="P74" i="4"/>
  <c r="E94" i="4"/>
  <c r="P93" i="4"/>
  <c r="P95" i="4"/>
  <c r="P76" i="4"/>
  <c r="E55" i="4"/>
  <c r="D31" i="14"/>
  <c r="E53" i="4"/>
  <c r="E54" i="4"/>
  <c r="P96" i="4"/>
  <c r="P54" i="4"/>
  <c r="E56" i="4"/>
  <c r="E93" i="4"/>
  <c r="E45" i="10" l="1"/>
  <c r="E77" i="4"/>
  <c r="E63" i="10"/>
  <c r="N74" i="14"/>
  <c r="N93" i="14"/>
  <c r="E54" i="14"/>
  <c r="E95" i="14"/>
  <c r="N73" i="14"/>
  <c r="N53" i="14"/>
  <c r="N56" i="14"/>
  <c r="N94" i="14"/>
  <c r="E96" i="14"/>
  <c r="E94" i="14"/>
  <c r="N55" i="14"/>
  <c r="E56" i="14"/>
  <c r="N95" i="14"/>
  <c r="E75" i="14"/>
  <c r="E53" i="14"/>
  <c r="N75" i="14"/>
  <c r="E93" i="14"/>
  <c r="E76" i="14"/>
  <c r="E55" i="14"/>
  <c r="N96" i="14"/>
  <c r="E73" i="14"/>
  <c r="E74" i="14"/>
  <c r="N76" i="14"/>
  <c r="N54" i="14"/>
  <c r="P77" i="4"/>
  <c r="O63" i="10"/>
  <c r="E57" i="4"/>
  <c r="O81" i="10"/>
  <c r="P97" i="4"/>
  <c r="O45" i="10"/>
  <c r="E97" i="4"/>
  <c r="E81" i="10"/>
  <c r="P56" i="4"/>
  <c r="P57" i="4" s="1"/>
  <c r="F55" i="4"/>
  <c r="F76" i="4"/>
  <c r="F53" i="4"/>
  <c r="F73" i="4"/>
  <c r="Q94" i="4"/>
  <c r="F56" i="4"/>
  <c r="Q53" i="4"/>
  <c r="F96" i="4"/>
  <c r="Q93" i="4"/>
  <c r="Q95" i="4"/>
  <c r="F93" i="4"/>
  <c r="Q54" i="4"/>
  <c r="Q56" i="4"/>
  <c r="Q74" i="4"/>
  <c r="D34" i="14"/>
  <c r="Q55" i="4"/>
  <c r="Q73" i="4"/>
  <c r="Q75" i="4"/>
  <c r="F75" i="4"/>
  <c r="F94" i="4"/>
  <c r="F74" i="4"/>
  <c r="F54" i="4"/>
  <c r="Q96" i="4"/>
  <c r="Q76" i="4"/>
  <c r="F95" i="4"/>
  <c r="E57" i="14" l="1"/>
  <c r="E41" i="12" s="1"/>
  <c r="O64" i="10"/>
  <c r="O46" i="10"/>
  <c r="Q57" i="4"/>
  <c r="O51" i="10"/>
  <c r="O52" i="10" s="1"/>
  <c r="Q97" i="4"/>
  <c r="O87" i="10"/>
  <c r="O88" i="10" s="1"/>
  <c r="N41" i="12"/>
  <c r="N57" i="14"/>
  <c r="E69" i="10"/>
  <c r="E70" i="10" s="1"/>
  <c r="F77" i="4"/>
  <c r="E51" i="10"/>
  <c r="E52" i="10" s="1"/>
  <c r="F57" i="4"/>
  <c r="E77" i="14"/>
  <c r="E59" i="12" s="1"/>
  <c r="N77" i="14"/>
  <c r="N59" i="12"/>
  <c r="N77" i="12"/>
  <c r="N97" i="14"/>
  <c r="F56" i="14"/>
  <c r="O94" i="14"/>
  <c r="O74" i="14"/>
  <c r="F55" i="14"/>
  <c r="O96" i="14"/>
  <c r="F53" i="14"/>
  <c r="F73" i="14"/>
  <c r="O76" i="14"/>
  <c r="F54" i="14"/>
  <c r="O73" i="14"/>
  <c r="O56" i="14"/>
  <c r="O54" i="14"/>
  <c r="F95" i="14"/>
  <c r="F93" i="14"/>
  <c r="O53" i="14"/>
  <c r="F75" i="14"/>
  <c r="O55" i="14"/>
  <c r="O75" i="14"/>
  <c r="F76" i="14"/>
  <c r="F96" i="14"/>
  <c r="F74" i="14"/>
  <c r="O95" i="14"/>
  <c r="O93" i="14"/>
  <c r="F94" i="14"/>
  <c r="E97" i="14"/>
  <c r="E77" i="12" s="1"/>
  <c r="O69" i="10"/>
  <c r="O70" i="10" s="1"/>
  <c r="Q77" i="4"/>
  <c r="E42" i="12"/>
  <c r="E64" i="10"/>
  <c r="O82" i="10"/>
  <c r="F97" i="4"/>
  <c r="E87" i="10"/>
  <c r="E88" i="10" s="1"/>
  <c r="E82" i="10"/>
  <c r="E46" i="10"/>
  <c r="E39" i="10" l="1"/>
  <c r="E40" i="10"/>
  <c r="E57" i="10"/>
  <c r="E58" i="10" s="1"/>
  <c r="E76" i="10"/>
  <c r="E75" i="10"/>
  <c r="O75" i="10"/>
  <c r="N60" i="12"/>
  <c r="N65" i="12"/>
  <c r="O77" i="14"/>
  <c r="E78" i="12"/>
  <c r="E60" i="12"/>
  <c r="O97" i="14"/>
  <c r="N83" i="12"/>
  <c r="F77" i="14"/>
  <c r="E65" i="12" s="1"/>
  <c r="E53" i="12" s="1"/>
  <c r="F57" i="14"/>
  <c r="E47" i="12" s="1"/>
  <c r="N42" i="12"/>
  <c r="O39" i="10"/>
  <c r="O76" i="10"/>
  <c r="O57" i="14"/>
  <c r="N47" i="12"/>
  <c r="N35" i="12" s="1"/>
  <c r="N78" i="12"/>
  <c r="O40" i="10"/>
  <c r="F97" i="14"/>
  <c r="E83" i="12" s="1"/>
  <c r="E71" i="12" s="1"/>
  <c r="O57" i="10"/>
  <c r="O58" i="10"/>
  <c r="E84" i="12" l="1"/>
  <c r="N48" i="12"/>
  <c r="N53" i="12"/>
  <c r="N66" i="12"/>
  <c r="E66" i="12"/>
  <c r="E48" i="12"/>
  <c r="E35" i="12"/>
  <c r="N84" i="12"/>
  <c r="N71" i="12"/>
  <c r="E72" i="12" l="1"/>
  <c r="N54" i="12"/>
  <c r="N72" i="12"/>
  <c r="E54" i="12"/>
  <c r="N36" i="12"/>
  <c r="E36" i="12"/>
  <c r="N6" i="19" l="1"/>
  <c r="M6" i="21" l="1"/>
  <c r="M10" i="21" s="1"/>
  <c r="N10" i="19"/>
  <c r="N13" i="19"/>
  <c r="N6" i="3"/>
  <c r="M6" i="13" l="1"/>
  <c r="M10" i="13" s="1"/>
  <c r="N10" i="3"/>
  <c r="N13" i="3"/>
  <c r="U6" i="19" l="1"/>
  <c r="U13" i="19" l="1"/>
  <c r="T6" i="21"/>
  <c r="T10" i="21" s="1"/>
  <c r="U10" i="19"/>
  <c r="J6" i="19"/>
  <c r="J6" i="3"/>
  <c r="U6" i="3"/>
  <c r="M6" i="19"/>
  <c r="M6" i="3"/>
  <c r="J10" i="19" l="1"/>
  <c r="J13" i="19"/>
  <c r="I6" i="21"/>
  <c r="I10" i="21" s="1"/>
  <c r="J10" i="3"/>
  <c r="I6" i="13"/>
  <c r="I10" i="13" s="1"/>
  <c r="J13" i="3"/>
  <c r="M10" i="3"/>
  <c r="M13" i="3"/>
  <c r="L6" i="13"/>
  <c r="L10" i="13" s="1"/>
  <c r="U10" i="3"/>
  <c r="T6" i="13"/>
  <c r="T10" i="13" s="1"/>
  <c r="U13" i="3"/>
  <c r="M13" i="19"/>
  <c r="L6" i="21"/>
  <c r="L10" i="21" s="1"/>
  <c r="M10" i="19"/>
  <c r="G7" i="20" l="1"/>
  <c r="F7" i="22"/>
  <c r="D22" i="20"/>
  <c r="D25" i="20" l="1"/>
  <c r="D25" i="22" s="1"/>
  <c r="F13" i="22"/>
  <c r="G13" i="20"/>
  <c r="G9" i="20"/>
  <c r="D23" i="20"/>
  <c r="D23" i="22" s="1"/>
  <c r="F9" i="22"/>
  <c r="D22" i="22"/>
  <c r="G7" i="22"/>
  <c r="Z8" i="22"/>
  <c r="E36" i="20" l="1"/>
  <c r="E38" i="20"/>
  <c r="E101" i="10" s="1"/>
  <c r="E37" i="20"/>
  <c r="E100" i="10" s="1"/>
  <c r="D24" i="20"/>
  <c r="G11" i="20"/>
  <c r="F11" i="22"/>
  <c r="E99" i="10"/>
  <c r="E37" i="22"/>
  <c r="E96" i="12" s="1"/>
  <c r="E36" i="22"/>
  <c r="E38" i="22"/>
  <c r="E97" i="12" s="1"/>
  <c r="G9" i="22"/>
  <c r="G13" i="22"/>
  <c r="E39" i="20" l="1"/>
  <c r="E39" i="22"/>
  <c r="E95" i="12"/>
  <c r="Z13" i="22"/>
  <c r="G11" i="22"/>
  <c r="F38" i="20"/>
  <c r="E107" i="10" s="1"/>
  <c r="E95" i="10" s="1"/>
  <c r="F36" i="20"/>
  <c r="D24" i="22"/>
  <c r="F37" i="20"/>
  <c r="E106" i="10" s="1"/>
  <c r="E94" i="10" s="1"/>
  <c r="E105" i="10" l="1"/>
  <c r="E93" i="10" s="1"/>
  <c r="F39" i="20"/>
  <c r="F38" i="22"/>
  <c r="E103" i="12" s="1"/>
  <c r="F37" i="22"/>
  <c r="E102" i="12" s="1"/>
  <c r="F36" i="22"/>
  <c r="F39" i="22" l="1"/>
  <c r="E101" i="12"/>
  <c r="E90" i="12"/>
  <c r="E91" i="12"/>
  <c r="E89" i="12" l="1"/>
  <c r="Q6" i="19" l="1"/>
  <c r="Q10" i="19" l="1"/>
  <c r="P6" i="21"/>
  <c r="P10" i="21" s="1"/>
  <c r="Q13" i="19"/>
  <c r="Q6" i="3"/>
  <c r="Q10" i="3" l="1"/>
  <c r="Q13" i="3"/>
  <c r="P6" i="13"/>
  <c r="P10" i="13" s="1"/>
  <c r="Z8" i="14"/>
  <c r="Z13" i="14" l="1"/>
  <c r="AA8" i="14"/>
  <c r="Y8" i="14"/>
  <c r="H6" i="3"/>
  <c r="H10" i="3" l="1"/>
  <c r="H13" i="3"/>
  <c r="G6" i="13"/>
  <c r="G10" i="13" s="1"/>
  <c r="AA8" i="22"/>
  <c r="H6" i="19"/>
  <c r="W20" i="13" l="1"/>
  <c r="X20" i="13" s="1"/>
  <c r="AA9" i="14" s="1"/>
  <c r="G6" i="21"/>
  <c r="G10" i="21" s="1"/>
  <c r="H13" i="19"/>
  <c r="H10" i="19"/>
  <c r="AA18" i="4"/>
  <c r="AA19" i="4" s="1"/>
  <c r="AA19" i="3"/>
  <c r="AA11" i="4" s="1"/>
  <c r="AA12" i="4" s="1"/>
  <c r="AA16" i="4"/>
  <c r="AA17" i="4" s="1"/>
  <c r="Z19" i="3"/>
  <c r="AA9" i="4" s="1"/>
  <c r="AA10" i="4" s="1"/>
  <c r="Y8" i="22"/>
  <c r="AA13" i="14"/>
  <c r="Y15" i="4"/>
  <c r="AA13" i="22"/>
  <c r="Y15" i="20"/>
  <c r="Z19" i="19" l="1"/>
  <c r="AA9" i="20" s="1"/>
  <c r="AA10" i="20" s="1"/>
  <c r="AA16" i="20"/>
  <c r="AA17" i="20" s="1"/>
  <c r="AA19" i="19"/>
  <c r="AA11" i="20" s="1"/>
  <c r="AA12" i="20" s="1"/>
  <c r="AA18" i="20"/>
  <c r="AA19" i="20" s="1"/>
  <c r="W20" i="21"/>
  <c r="AA9" i="22" s="1"/>
  <c r="AA14" i="14"/>
  <c r="AA15" i="14" s="1"/>
  <c r="AA10" i="14"/>
  <c r="Y13" i="22"/>
  <c r="Z30" i="21"/>
  <c r="AC16" i="20"/>
  <c r="AC12" i="22" s="1"/>
  <c r="AC31" i="13"/>
  <c r="AC16" i="4"/>
  <c r="Y13" i="14"/>
  <c r="H24" i="3"/>
  <c r="AA31" i="13"/>
  <c r="AA14" i="22" l="1"/>
  <c r="AA15" i="22" s="1"/>
  <c r="AA10" i="22"/>
  <c r="X30" i="21"/>
  <c r="H24" i="19"/>
  <c r="E27" i="12"/>
  <c r="G29" i="13"/>
  <c r="E31" i="10"/>
  <c r="O31" i="10"/>
  <c r="N27" i="12" l="1"/>
  <c r="O32" i="10"/>
  <c r="E32" i="10"/>
  <c r="G29" i="21"/>
  <c r="E28" i="12"/>
  <c r="N28" i="12" l="1"/>
  <c r="K6" i="19" l="1"/>
  <c r="K6" i="3"/>
  <c r="K13" i="3" l="1"/>
  <c r="K10" i="3"/>
  <c r="J6" i="13"/>
  <c r="J10" i="13" s="1"/>
  <c r="K10" i="19"/>
  <c r="K13" i="19"/>
  <c r="J6" i="21"/>
  <c r="J10" i="21" s="1"/>
  <c r="U20" i="21" l="1"/>
  <c r="U10" i="21"/>
  <c r="H29" i="21"/>
  <c r="X19" i="19"/>
  <c r="V13" i="19"/>
  <c r="V19" i="19"/>
  <c r="V10" i="19"/>
  <c r="U20" i="13"/>
  <c r="V20" i="13" s="1"/>
  <c r="U10" i="13"/>
  <c r="H29" i="13"/>
  <c r="V19" i="3"/>
  <c r="V10" i="3"/>
  <c r="X19" i="3"/>
  <c r="V13" i="3"/>
  <c r="C32" i="19"/>
  <c r="AD18" i="19" s="1"/>
  <c r="D32" i="3"/>
  <c r="D32" i="19"/>
  <c r="Z9" i="14" l="1"/>
  <c r="Y9" i="14"/>
  <c r="Y10" i="14" s="1"/>
  <c r="R29" i="21"/>
  <c r="F28" i="12"/>
  <c r="H28" i="12" s="1"/>
  <c r="I29" i="21"/>
  <c r="R29" i="13"/>
  <c r="I29" i="13"/>
  <c r="F27" i="12"/>
  <c r="H27" i="12" s="1"/>
  <c r="Y9" i="22"/>
  <c r="Y10" i="22" s="1"/>
  <c r="Z9" i="22"/>
  <c r="AD18" i="3"/>
  <c r="Z16" i="20"/>
  <c r="I24" i="19"/>
  <c r="W20" i="19"/>
  <c r="W19" i="19"/>
  <c r="I25" i="19"/>
  <c r="AE18" i="19"/>
  <c r="X10" i="3" l="1"/>
  <c r="I24" i="3"/>
  <c r="F31" i="10" s="1"/>
  <c r="S29" i="13"/>
  <c r="O27" i="12"/>
  <c r="Q27" i="12" s="1"/>
  <c r="S29" i="21"/>
  <c r="O28" i="12"/>
  <c r="Q28" i="12" s="1"/>
  <c r="Z14" i="22"/>
  <c r="Z10" i="22"/>
  <c r="Z14" i="14"/>
  <c r="Z10" i="14"/>
  <c r="AE18" i="3"/>
  <c r="X14" i="3" s="1"/>
  <c r="Z16" i="4"/>
  <c r="Y16" i="4" s="1"/>
  <c r="Y17" i="4" s="1"/>
  <c r="AD16" i="4" s="1"/>
  <c r="X11" i="3"/>
  <c r="I25" i="3"/>
  <c r="T25" i="3" s="1"/>
  <c r="W19" i="3"/>
  <c r="Z9" i="4" s="1"/>
  <c r="Z10" i="4" s="1"/>
  <c r="W20" i="3"/>
  <c r="T25" i="19"/>
  <c r="Z9" i="20"/>
  <c r="Z10" i="20" s="1"/>
  <c r="Y9" i="20"/>
  <c r="Y10" i="20" s="1"/>
  <c r="F32" i="10"/>
  <c r="T24" i="19"/>
  <c r="K24" i="19"/>
  <c r="Z17" i="20"/>
  <c r="Y16" i="20"/>
  <c r="Y17" i="20" s="1"/>
  <c r="AD16" i="20" s="1"/>
  <c r="Z18" i="20"/>
  <c r="Y19" i="19"/>
  <c r="Y20" i="19"/>
  <c r="J25" i="19"/>
  <c r="J24" i="19"/>
  <c r="AC32" i="13"/>
  <c r="AF27" i="19"/>
  <c r="Z31" i="21" s="1"/>
  <c r="H25" i="3"/>
  <c r="AD27" i="19"/>
  <c r="AA32" i="13"/>
  <c r="Z18" i="4" l="1"/>
  <c r="Z19" i="4" s="1"/>
  <c r="J25" i="3"/>
  <c r="U25" i="3" s="1"/>
  <c r="Y19" i="3"/>
  <c r="Y11" i="4" s="1"/>
  <c r="Y12" i="4" s="1"/>
  <c r="Y20" i="3"/>
  <c r="X13" i="3"/>
  <c r="J24" i="3"/>
  <c r="G31" i="10" s="1"/>
  <c r="F33" i="10"/>
  <c r="Y9" i="4"/>
  <c r="Y10" i="4" s="1"/>
  <c r="Y14" i="14"/>
  <c r="Z15" i="14"/>
  <c r="Y14" i="22"/>
  <c r="Z15" i="22"/>
  <c r="T24" i="3"/>
  <c r="P31" i="10" s="1"/>
  <c r="K24" i="3"/>
  <c r="Z17" i="4"/>
  <c r="H7" i="20"/>
  <c r="H13" i="20"/>
  <c r="H9" i="20"/>
  <c r="H11" i="20"/>
  <c r="H11" i="4"/>
  <c r="H8" i="4"/>
  <c r="H7" i="4"/>
  <c r="H12" i="4"/>
  <c r="H10" i="4"/>
  <c r="H9" i="4"/>
  <c r="L25" i="3"/>
  <c r="G33" i="10"/>
  <c r="P33" i="10"/>
  <c r="U24" i="19"/>
  <c r="G32" i="10"/>
  <c r="L24" i="19"/>
  <c r="V24" i="19"/>
  <c r="P32" i="10"/>
  <c r="U25" i="19"/>
  <c r="E29" i="12"/>
  <c r="G30" i="13"/>
  <c r="Y11" i="20"/>
  <c r="Y12" i="20" s="1"/>
  <c r="Z11" i="20"/>
  <c r="Z12" i="20" s="1"/>
  <c r="X31" i="21"/>
  <c r="G30" i="21" s="1"/>
  <c r="H25" i="19"/>
  <c r="L25" i="19" s="1"/>
  <c r="Y18" i="20"/>
  <c r="Y19" i="20" s="1"/>
  <c r="AE16" i="20" s="1"/>
  <c r="Z19" i="20"/>
  <c r="K25" i="3"/>
  <c r="E33" i="10"/>
  <c r="O33" i="10"/>
  <c r="Y18" i="4" l="1"/>
  <c r="Y19" i="4" s="1"/>
  <c r="AE16" i="4" s="1"/>
  <c r="Z11" i="4"/>
  <c r="Z12" i="4" s="1"/>
  <c r="U24" i="3"/>
  <c r="L24" i="3"/>
  <c r="V24" i="3"/>
  <c r="AD12" i="22"/>
  <c r="Y15" i="22"/>
  <c r="AD12" i="14"/>
  <c r="H7" i="14" s="1"/>
  <c r="Y15" i="14"/>
  <c r="E25" i="4"/>
  <c r="S8" i="4"/>
  <c r="I8" i="4"/>
  <c r="I11" i="4"/>
  <c r="S11" i="4"/>
  <c r="T11" i="4" s="1"/>
  <c r="J9" i="4"/>
  <c r="J10" i="4"/>
  <c r="J12" i="4"/>
  <c r="J11" i="4"/>
  <c r="J8" i="4"/>
  <c r="J7" i="4"/>
  <c r="I11" i="20"/>
  <c r="E24" i="20"/>
  <c r="E23" i="20"/>
  <c r="I9" i="20"/>
  <c r="E22" i="4"/>
  <c r="S7" i="4"/>
  <c r="I7" i="4"/>
  <c r="E25" i="20"/>
  <c r="I13" i="20"/>
  <c r="I32" i="10"/>
  <c r="J32" i="10"/>
  <c r="I7" i="20"/>
  <c r="E22" i="20"/>
  <c r="W24" i="19"/>
  <c r="Q32" i="10"/>
  <c r="J7" i="20"/>
  <c r="J13" i="20"/>
  <c r="J9" i="20"/>
  <c r="J11" i="20"/>
  <c r="V25" i="3"/>
  <c r="I31" i="10"/>
  <c r="J31" i="10"/>
  <c r="V25" i="19"/>
  <c r="K25" i="19"/>
  <c r="W24" i="3"/>
  <c r="Q31" i="10"/>
  <c r="H30" i="21"/>
  <c r="I33" i="10"/>
  <c r="J33" i="10"/>
  <c r="Q33" i="10"/>
  <c r="W25" i="3"/>
  <c r="S12" i="4"/>
  <c r="T12" i="4" s="1"/>
  <c r="I12" i="4"/>
  <c r="H30" i="13"/>
  <c r="N29" i="12"/>
  <c r="S9" i="4"/>
  <c r="I9" i="4"/>
  <c r="E23" i="4"/>
  <c r="I10" i="4"/>
  <c r="E26" i="4"/>
  <c r="S10" i="4"/>
  <c r="H8" i="14" l="1"/>
  <c r="E22" i="14"/>
  <c r="I7" i="14"/>
  <c r="H11" i="14"/>
  <c r="H9" i="14"/>
  <c r="S7" i="14"/>
  <c r="H7" i="22"/>
  <c r="H9" i="22"/>
  <c r="H11" i="22"/>
  <c r="H13" i="22"/>
  <c r="K7" i="20"/>
  <c r="F22" i="20"/>
  <c r="T10" i="4"/>
  <c r="E35" i="4"/>
  <c r="G35" i="4" s="1"/>
  <c r="H37" i="20"/>
  <c r="F106" i="10" s="1"/>
  <c r="H38" i="20"/>
  <c r="F107" i="10" s="1"/>
  <c r="H36" i="20"/>
  <c r="S32" i="10"/>
  <c r="T32" i="10"/>
  <c r="K13" i="20"/>
  <c r="F25" i="20"/>
  <c r="R30" i="21"/>
  <c r="S30" i="21" s="1"/>
  <c r="I30" i="21"/>
  <c r="S31" i="10"/>
  <c r="T31" i="10"/>
  <c r="G37" i="20"/>
  <c r="F100" i="10" s="1"/>
  <c r="G36" i="20"/>
  <c r="G38" i="20"/>
  <c r="F101" i="10" s="1"/>
  <c r="F22" i="4"/>
  <c r="U7" i="4"/>
  <c r="K7" i="4"/>
  <c r="W25" i="19"/>
  <c r="K8" i="4"/>
  <c r="F25" i="4"/>
  <c r="U8" i="4"/>
  <c r="K11" i="4"/>
  <c r="U11" i="4"/>
  <c r="V11" i="4" s="1"/>
  <c r="U12" i="4"/>
  <c r="V12" i="4" s="1"/>
  <c r="K12" i="4"/>
  <c r="T9" i="4"/>
  <c r="E32" i="4"/>
  <c r="G32" i="4" s="1"/>
  <c r="F26" i="4"/>
  <c r="K10" i="4"/>
  <c r="U10" i="4"/>
  <c r="U9" i="4"/>
  <c r="F23" i="4"/>
  <c r="K9" i="4"/>
  <c r="F29" i="12"/>
  <c r="I30" i="13"/>
  <c r="R30" i="13"/>
  <c r="K11" i="20"/>
  <c r="F24" i="20"/>
  <c r="T7" i="4"/>
  <c r="E31" i="4"/>
  <c r="T8" i="4"/>
  <c r="E34" i="4"/>
  <c r="S33" i="10"/>
  <c r="T33" i="10"/>
  <c r="F23" i="20"/>
  <c r="K9" i="20"/>
  <c r="G85" i="4"/>
  <c r="R63" i="4"/>
  <c r="G65" i="4"/>
  <c r="R65" i="4"/>
  <c r="G84" i="4"/>
  <c r="G83" i="4"/>
  <c r="R45" i="4"/>
  <c r="G64" i="4"/>
  <c r="G86" i="4"/>
  <c r="R44" i="4"/>
  <c r="G46" i="4"/>
  <c r="R66" i="4"/>
  <c r="R85" i="4"/>
  <c r="R83" i="4"/>
  <c r="G63" i="4"/>
  <c r="G66" i="4"/>
  <c r="R64" i="4"/>
  <c r="G45" i="4"/>
  <c r="G44" i="4"/>
  <c r="R46" i="4"/>
  <c r="G43" i="4"/>
  <c r="R86" i="4"/>
  <c r="R43" i="4"/>
  <c r="R84" i="4"/>
  <c r="S45" i="4"/>
  <c r="H43" i="4"/>
  <c r="S84" i="4"/>
  <c r="S85" i="4"/>
  <c r="H66" i="4"/>
  <c r="H83" i="4"/>
  <c r="H85" i="4"/>
  <c r="H65" i="4"/>
  <c r="H45" i="4"/>
  <c r="H64" i="4"/>
  <c r="S46" i="4"/>
  <c r="S86" i="4"/>
  <c r="H44" i="4"/>
  <c r="H84" i="4"/>
  <c r="S64" i="4"/>
  <c r="S83" i="4"/>
  <c r="S44" i="4"/>
  <c r="H63" i="4"/>
  <c r="S63" i="4"/>
  <c r="S66" i="4"/>
  <c r="S43" i="4"/>
  <c r="S65" i="4"/>
  <c r="H46" i="4"/>
  <c r="H86" i="4"/>
  <c r="E23" i="22" l="1"/>
  <c r="I9" i="22"/>
  <c r="I7" i="22"/>
  <c r="E22" i="22"/>
  <c r="E31" i="14"/>
  <c r="T7" i="14"/>
  <c r="H10" i="14"/>
  <c r="I9" i="14"/>
  <c r="E23" i="14"/>
  <c r="G43" i="14" s="1"/>
  <c r="S9" i="14"/>
  <c r="I11" i="14"/>
  <c r="H12" i="14"/>
  <c r="S11" i="14"/>
  <c r="T11" i="14" s="1"/>
  <c r="I13" i="22"/>
  <c r="E25" i="22"/>
  <c r="G45" i="14"/>
  <c r="G85" i="14"/>
  <c r="P84" i="14"/>
  <c r="P45" i="14"/>
  <c r="G63" i="14"/>
  <c r="P64" i="14"/>
  <c r="G44" i="14"/>
  <c r="G64" i="14"/>
  <c r="G84" i="14"/>
  <c r="P63" i="14"/>
  <c r="G86" i="14"/>
  <c r="G66" i="14"/>
  <c r="G65" i="14"/>
  <c r="P44" i="14"/>
  <c r="P66" i="14"/>
  <c r="P65" i="14"/>
  <c r="P85" i="14"/>
  <c r="P43" i="14"/>
  <c r="O40" i="12" s="1"/>
  <c r="G83" i="14"/>
  <c r="G46" i="14"/>
  <c r="P46" i="14"/>
  <c r="P83" i="14"/>
  <c r="P86" i="14"/>
  <c r="I11" i="22"/>
  <c r="E24" i="22"/>
  <c r="I8" i="14"/>
  <c r="E25" i="14"/>
  <c r="S8" i="14"/>
  <c r="F95" i="10"/>
  <c r="G67" i="4"/>
  <c r="F62" i="10" s="1"/>
  <c r="H67" i="4"/>
  <c r="F68" i="10" s="1"/>
  <c r="H47" i="4"/>
  <c r="F50" i="10" s="1"/>
  <c r="P86" i="10"/>
  <c r="S87" i="4"/>
  <c r="R47" i="4"/>
  <c r="P44" i="10"/>
  <c r="J37" i="20"/>
  <c r="G106" i="10" s="1"/>
  <c r="J36" i="20"/>
  <c r="J38" i="20"/>
  <c r="G107" i="10" s="1"/>
  <c r="G87" i="4"/>
  <c r="F80" i="10" s="1"/>
  <c r="V8" i="4"/>
  <c r="F34" i="4"/>
  <c r="H96" i="4"/>
  <c r="H94" i="4"/>
  <c r="H56" i="4"/>
  <c r="H55" i="4"/>
  <c r="S54" i="4"/>
  <c r="S76" i="4"/>
  <c r="H76" i="4"/>
  <c r="S95" i="4"/>
  <c r="S75" i="4"/>
  <c r="H53" i="4"/>
  <c r="H54" i="4"/>
  <c r="S56" i="4"/>
  <c r="H93" i="4"/>
  <c r="S74" i="4"/>
  <c r="S93" i="4"/>
  <c r="S53" i="4"/>
  <c r="S73" i="4"/>
  <c r="H73" i="4"/>
  <c r="H74" i="4"/>
  <c r="G34" i="4"/>
  <c r="S94" i="4"/>
  <c r="S55" i="4"/>
  <c r="H95" i="4"/>
  <c r="H75" i="4"/>
  <c r="S96" i="4"/>
  <c r="G47" i="4"/>
  <c r="F44" i="10" s="1"/>
  <c r="S30" i="13"/>
  <c r="O29" i="12"/>
  <c r="U63" i="4"/>
  <c r="U66" i="4"/>
  <c r="J45" i="4"/>
  <c r="J64" i="4"/>
  <c r="J44" i="4"/>
  <c r="J66" i="4"/>
  <c r="U86" i="4"/>
  <c r="J84" i="4"/>
  <c r="U64" i="4"/>
  <c r="J85" i="4"/>
  <c r="U45" i="4"/>
  <c r="U84" i="4"/>
  <c r="U65" i="4"/>
  <c r="J65" i="4"/>
  <c r="U43" i="4"/>
  <c r="U83" i="4"/>
  <c r="U46" i="4"/>
  <c r="J43" i="4"/>
  <c r="U85" i="4"/>
  <c r="J86" i="4"/>
  <c r="J83" i="4"/>
  <c r="J46" i="4"/>
  <c r="J63" i="4"/>
  <c r="U44" i="4"/>
  <c r="H29" i="12"/>
  <c r="P62" i="10"/>
  <c r="R67" i="4"/>
  <c r="F105" i="10"/>
  <c r="H39" i="20"/>
  <c r="V7" i="4"/>
  <c r="F31" i="4"/>
  <c r="V9" i="4"/>
  <c r="F32" i="4"/>
  <c r="T85" i="4"/>
  <c r="I84" i="4"/>
  <c r="I65" i="4"/>
  <c r="T64" i="4"/>
  <c r="T45" i="4"/>
  <c r="T86" i="4"/>
  <c r="I63" i="4"/>
  <c r="T83" i="4"/>
  <c r="T66" i="4"/>
  <c r="T65" i="4"/>
  <c r="I64" i="4"/>
  <c r="T43" i="4"/>
  <c r="I85" i="4"/>
  <c r="I86" i="4"/>
  <c r="T44" i="4"/>
  <c r="I44" i="4"/>
  <c r="I46" i="4"/>
  <c r="I83" i="4"/>
  <c r="I43" i="4"/>
  <c r="T63" i="4"/>
  <c r="I66" i="4"/>
  <c r="I45" i="4"/>
  <c r="T84" i="4"/>
  <c r="T46" i="4"/>
  <c r="F35" i="4"/>
  <c r="V10" i="4"/>
  <c r="G39" i="20"/>
  <c r="F99" i="10"/>
  <c r="G73" i="4"/>
  <c r="G94" i="4"/>
  <c r="R54" i="4"/>
  <c r="G96" i="4"/>
  <c r="R94" i="4"/>
  <c r="R53" i="4"/>
  <c r="R74" i="4"/>
  <c r="G95" i="4"/>
  <c r="R93" i="4"/>
  <c r="G76" i="4"/>
  <c r="G55" i="4"/>
  <c r="R96" i="4"/>
  <c r="G53" i="4"/>
  <c r="G93" i="4"/>
  <c r="G56" i="4"/>
  <c r="R75" i="4"/>
  <c r="G74" i="4"/>
  <c r="R55" i="4"/>
  <c r="G31" i="4"/>
  <c r="R95" i="4"/>
  <c r="G75" i="4"/>
  <c r="R76" i="4"/>
  <c r="G54" i="4"/>
  <c r="R73" i="4"/>
  <c r="R56" i="4"/>
  <c r="R87" i="4"/>
  <c r="P80" i="10"/>
  <c r="P50" i="10"/>
  <c r="S47" i="4"/>
  <c r="F94" i="10"/>
  <c r="I38" i="20"/>
  <c r="G101" i="10" s="1"/>
  <c r="I36" i="20"/>
  <c r="I37" i="20"/>
  <c r="G100" i="10" s="1"/>
  <c r="S67" i="4"/>
  <c r="P68" i="10"/>
  <c r="H87" i="4"/>
  <c r="F86" i="10" s="1"/>
  <c r="P47" i="14" l="1"/>
  <c r="H37" i="22"/>
  <c r="F102" i="12" s="1"/>
  <c r="H102" i="12" s="1"/>
  <c r="H38" i="22"/>
  <c r="F103" i="12" s="1"/>
  <c r="H103" i="12" s="1"/>
  <c r="H36" i="22"/>
  <c r="I10" i="14"/>
  <c r="E26" i="14"/>
  <c r="Q83" i="14" s="1"/>
  <c r="S10" i="14"/>
  <c r="O76" i="12"/>
  <c r="P87" i="14"/>
  <c r="G74" i="14"/>
  <c r="P75" i="14"/>
  <c r="G76" i="14"/>
  <c r="G73" i="14"/>
  <c r="G95" i="14"/>
  <c r="P73" i="14"/>
  <c r="G94" i="14"/>
  <c r="P94" i="14"/>
  <c r="P74" i="14"/>
  <c r="P95" i="14"/>
  <c r="G96" i="14"/>
  <c r="P55" i="14"/>
  <c r="G75" i="14"/>
  <c r="G55" i="14"/>
  <c r="P76" i="14"/>
  <c r="G53" i="14"/>
  <c r="G67" i="14"/>
  <c r="F58" i="12" s="1"/>
  <c r="I12" i="14"/>
  <c r="S12" i="14"/>
  <c r="T12" i="14" s="1"/>
  <c r="G38" i="22"/>
  <c r="F97" i="12" s="1"/>
  <c r="G36" i="22"/>
  <c r="G37" i="22"/>
  <c r="F96" i="12" s="1"/>
  <c r="E34" i="14"/>
  <c r="T8" i="14"/>
  <c r="G47" i="14"/>
  <c r="F40" i="12" s="1"/>
  <c r="H44" i="14"/>
  <c r="Q86" i="14"/>
  <c r="H64" i="14"/>
  <c r="H43" i="14"/>
  <c r="Q85" i="14"/>
  <c r="H84" i="14"/>
  <c r="H46" i="14"/>
  <c r="Q45" i="14"/>
  <c r="Q66" i="14"/>
  <c r="Q44" i="14"/>
  <c r="Q43" i="14"/>
  <c r="Q64" i="14"/>
  <c r="H85" i="14"/>
  <c r="Q84" i="14"/>
  <c r="Q65" i="14"/>
  <c r="H66" i="14"/>
  <c r="H63" i="14"/>
  <c r="Q63" i="14"/>
  <c r="H65" i="14"/>
  <c r="H45" i="14"/>
  <c r="G87" i="14"/>
  <c r="F76" i="12" s="1"/>
  <c r="E32" i="14"/>
  <c r="P53" i="14" s="1"/>
  <c r="T9" i="14"/>
  <c r="Q40" i="12"/>
  <c r="P40" i="12"/>
  <c r="P67" i="14"/>
  <c r="O58" i="12"/>
  <c r="F56" i="10"/>
  <c r="H77" i="4"/>
  <c r="F69" i="10" s="1"/>
  <c r="F70" i="10" s="1"/>
  <c r="H97" i="4"/>
  <c r="F87" i="10" s="1"/>
  <c r="F88" i="10" s="1"/>
  <c r="F93" i="10"/>
  <c r="I67" i="4"/>
  <c r="G62" i="10" s="1"/>
  <c r="H62" i="10" s="1"/>
  <c r="P63" i="10"/>
  <c r="P64" i="10" s="1"/>
  <c r="R77" i="4"/>
  <c r="J67" i="4"/>
  <c r="G68" i="10" s="1"/>
  <c r="Q62" i="10"/>
  <c r="T67" i="4"/>
  <c r="P74" i="10"/>
  <c r="P81" i="10"/>
  <c r="R97" i="4"/>
  <c r="R57" i="4"/>
  <c r="P45" i="10"/>
  <c r="I47" i="4"/>
  <c r="G44" i="10" s="1"/>
  <c r="J87" i="4"/>
  <c r="G86" i="10" s="1"/>
  <c r="S77" i="4"/>
  <c r="P69" i="10"/>
  <c r="P70" i="10" s="1"/>
  <c r="I87" i="4"/>
  <c r="G80" i="10" s="1"/>
  <c r="S57" i="4"/>
  <c r="P51" i="10"/>
  <c r="P52" i="10" s="1"/>
  <c r="J76" i="4"/>
  <c r="U73" i="4"/>
  <c r="J93" i="4"/>
  <c r="J74" i="4"/>
  <c r="J75" i="4"/>
  <c r="J56" i="4"/>
  <c r="U53" i="4"/>
  <c r="U95" i="4"/>
  <c r="U96" i="4"/>
  <c r="U56" i="4"/>
  <c r="U55" i="4"/>
  <c r="J55" i="4"/>
  <c r="J95" i="4"/>
  <c r="U76" i="4"/>
  <c r="U75" i="4"/>
  <c r="U54" i="4"/>
  <c r="J73" i="4"/>
  <c r="U94" i="4"/>
  <c r="J96" i="4"/>
  <c r="J94" i="4"/>
  <c r="J54" i="4"/>
  <c r="J53" i="4"/>
  <c r="U74" i="4"/>
  <c r="U93" i="4"/>
  <c r="P87" i="10"/>
  <c r="P88" i="10" s="1"/>
  <c r="S97" i="4"/>
  <c r="J47" i="4"/>
  <c r="G50" i="10" s="1"/>
  <c r="F74" i="10"/>
  <c r="Q68" i="10"/>
  <c r="U67" i="4"/>
  <c r="I107" i="10"/>
  <c r="J107" i="10"/>
  <c r="I100" i="10"/>
  <c r="G94" i="10"/>
  <c r="J100" i="10"/>
  <c r="G77" i="4"/>
  <c r="F63" i="10" s="1"/>
  <c r="T75" i="4"/>
  <c r="I93" i="4"/>
  <c r="I95" i="4"/>
  <c r="I56" i="4"/>
  <c r="T74" i="4"/>
  <c r="T55" i="4"/>
  <c r="T76" i="4"/>
  <c r="I53" i="4"/>
  <c r="T54" i="4"/>
  <c r="T56" i="4"/>
  <c r="T73" i="4"/>
  <c r="T94" i="4"/>
  <c r="I96" i="4"/>
  <c r="I75" i="4"/>
  <c r="I73" i="4"/>
  <c r="T53" i="4"/>
  <c r="I94" i="4"/>
  <c r="I74" i="4"/>
  <c r="T93" i="4"/>
  <c r="T95" i="4"/>
  <c r="I54" i="4"/>
  <c r="I55" i="4"/>
  <c r="T96" i="4"/>
  <c r="I76" i="4"/>
  <c r="U87" i="4"/>
  <c r="Q86" i="10"/>
  <c r="Q29" i="12"/>
  <c r="G105" i="10"/>
  <c r="J39" i="20"/>
  <c r="G99" i="10"/>
  <c r="I39" i="20"/>
  <c r="U47" i="4"/>
  <c r="Q50" i="10"/>
  <c r="I106" i="10"/>
  <c r="J106" i="10"/>
  <c r="Q80" i="10"/>
  <c r="T87" i="4"/>
  <c r="I101" i="10"/>
  <c r="J101" i="10"/>
  <c r="G95" i="10"/>
  <c r="T47" i="4"/>
  <c r="Q44" i="10"/>
  <c r="F38" i="10"/>
  <c r="H57" i="4"/>
  <c r="F51" i="10" s="1"/>
  <c r="F52" i="10" s="1"/>
  <c r="P38" i="10"/>
  <c r="G97" i="4"/>
  <c r="F81" i="10" s="1"/>
  <c r="G57" i="4"/>
  <c r="F45" i="10" s="1"/>
  <c r="P56" i="10"/>
  <c r="F75" i="10" l="1"/>
  <c r="I62" i="10"/>
  <c r="Q46" i="14"/>
  <c r="O46" i="12"/>
  <c r="O34" i="12" s="1"/>
  <c r="H83" i="14"/>
  <c r="H86" i="14"/>
  <c r="G77" i="14"/>
  <c r="F59" i="12" s="1"/>
  <c r="F60" i="12" s="1"/>
  <c r="H76" i="12"/>
  <c r="G76" i="12"/>
  <c r="G40" i="12"/>
  <c r="H40" i="12"/>
  <c r="G58" i="12"/>
  <c r="H58" i="12"/>
  <c r="P58" i="12"/>
  <c r="Q58" i="12"/>
  <c r="G54" i="14"/>
  <c r="Q76" i="12"/>
  <c r="P76" i="12"/>
  <c r="Q94" i="14"/>
  <c r="H55" i="14"/>
  <c r="Q74" i="14"/>
  <c r="H54" i="14"/>
  <c r="Q73" i="14"/>
  <c r="Q96" i="14"/>
  <c r="H73" i="14"/>
  <c r="Q95" i="14"/>
  <c r="H74" i="14"/>
  <c r="H94" i="14"/>
  <c r="Q75" i="14"/>
  <c r="H75" i="14"/>
  <c r="Q53" i="14"/>
  <c r="H53" i="14"/>
  <c r="H76" i="14"/>
  <c r="H95" i="14"/>
  <c r="Q76" i="14"/>
  <c r="Q55" i="14"/>
  <c r="Q54" i="14"/>
  <c r="P54" i="14"/>
  <c r="P77" i="14"/>
  <c r="O59" i="12"/>
  <c r="O60" i="12" s="1"/>
  <c r="E35" i="14"/>
  <c r="Q93" i="14" s="1"/>
  <c r="T10" i="14"/>
  <c r="H96" i="12"/>
  <c r="F90" i="12"/>
  <c r="H90" i="12" s="1"/>
  <c r="P56" i="14"/>
  <c r="O82" i="12"/>
  <c r="Q87" i="14"/>
  <c r="H47" i="14"/>
  <c r="F46" i="12" s="1"/>
  <c r="G39" i="22"/>
  <c r="F95" i="12"/>
  <c r="G56" i="14"/>
  <c r="Q47" i="14"/>
  <c r="H97" i="12"/>
  <c r="F91" i="12"/>
  <c r="H91" i="12" s="1"/>
  <c r="P93" i="14"/>
  <c r="F101" i="12"/>
  <c r="H101" i="12" s="1"/>
  <c r="H39" i="22"/>
  <c r="Q67" i="14"/>
  <c r="O64" i="12"/>
  <c r="O52" i="12" s="1"/>
  <c r="P96" i="14"/>
  <c r="O41" i="12"/>
  <c r="H67" i="14"/>
  <c r="F64" i="12" s="1"/>
  <c r="G93" i="14"/>
  <c r="G97" i="14" s="1"/>
  <c r="F77" i="12" s="1"/>
  <c r="F78" i="12" s="1"/>
  <c r="P39" i="10"/>
  <c r="G56" i="10"/>
  <c r="J56" i="10" s="1"/>
  <c r="J62" i="10"/>
  <c r="P46" i="10"/>
  <c r="P40" i="10" s="1"/>
  <c r="J77" i="4"/>
  <c r="G69" i="10" s="1"/>
  <c r="I69" i="10" s="1"/>
  <c r="F39" i="10"/>
  <c r="Q81" i="10"/>
  <c r="Q82" i="10" s="1"/>
  <c r="T97" i="4"/>
  <c r="J50" i="10"/>
  <c r="I50" i="10"/>
  <c r="H50" i="10"/>
  <c r="J86" i="10"/>
  <c r="I86" i="10"/>
  <c r="H86" i="10"/>
  <c r="R50" i="10"/>
  <c r="T50" i="10"/>
  <c r="S50" i="10"/>
  <c r="I97" i="4"/>
  <c r="G81" i="10" s="1"/>
  <c r="G82" i="10" s="1"/>
  <c r="H44" i="10"/>
  <c r="J44" i="10"/>
  <c r="G38" i="10"/>
  <c r="I44" i="10"/>
  <c r="T57" i="4"/>
  <c r="Q45" i="10"/>
  <c r="Q46" i="10" s="1"/>
  <c r="F57" i="10"/>
  <c r="F58" i="10" s="1"/>
  <c r="F64" i="10"/>
  <c r="Q87" i="10"/>
  <c r="Q88" i="10" s="1"/>
  <c r="U97" i="4"/>
  <c r="F46" i="10"/>
  <c r="F40" i="10" s="1"/>
  <c r="I99" i="10"/>
  <c r="G93" i="10"/>
  <c r="J99" i="10"/>
  <c r="I77" i="4"/>
  <c r="G63" i="10" s="1"/>
  <c r="Q51" i="10"/>
  <c r="U57" i="4"/>
  <c r="R68" i="10"/>
  <c r="S68" i="10"/>
  <c r="T68" i="10"/>
  <c r="I94" i="10"/>
  <c r="J94" i="10"/>
  <c r="J57" i="4"/>
  <c r="G51" i="10" s="1"/>
  <c r="P75" i="10"/>
  <c r="J80" i="10"/>
  <c r="H80" i="10"/>
  <c r="I80" i="10"/>
  <c r="G74" i="10"/>
  <c r="F82" i="10"/>
  <c r="F76" i="10" s="1"/>
  <c r="Q38" i="10"/>
  <c r="S44" i="10"/>
  <c r="R44" i="10"/>
  <c r="T44" i="10"/>
  <c r="I105" i="10"/>
  <c r="J105" i="10"/>
  <c r="P82" i="10"/>
  <c r="P76" i="10" s="1"/>
  <c r="P58" i="10"/>
  <c r="I95" i="10"/>
  <c r="J95" i="10"/>
  <c r="Q63" i="10"/>
  <c r="Q64" i="10" s="1"/>
  <c r="T77" i="4"/>
  <c r="J97" i="4"/>
  <c r="G87" i="10" s="1"/>
  <c r="Q74" i="10"/>
  <c r="T80" i="10"/>
  <c r="S80" i="10"/>
  <c r="R80" i="10"/>
  <c r="T86" i="10"/>
  <c r="S86" i="10"/>
  <c r="R86" i="10"/>
  <c r="U77" i="4"/>
  <c r="Q69" i="10"/>
  <c r="Q56" i="10"/>
  <c r="R62" i="10"/>
  <c r="S62" i="10"/>
  <c r="T62" i="10"/>
  <c r="J68" i="10"/>
  <c r="H68" i="10"/>
  <c r="I68" i="10"/>
  <c r="I57" i="4"/>
  <c r="G45" i="10" s="1"/>
  <c r="P57" i="10"/>
  <c r="Q46" i="12" l="1"/>
  <c r="P46" i="12"/>
  <c r="H59" i="12"/>
  <c r="H56" i="10"/>
  <c r="I56" i="10"/>
  <c r="H87" i="14"/>
  <c r="F82" i="12" s="1"/>
  <c r="F70" i="12" s="1"/>
  <c r="P57" i="14"/>
  <c r="G57" i="14"/>
  <c r="F41" i="12" s="1"/>
  <c r="H41" i="12" s="1"/>
  <c r="Q56" i="14"/>
  <c r="Q57" i="14" s="1"/>
  <c r="O83" i="12"/>
  <c r="Q83" i="12" s="1"/>
  <c r="Q97" i="14"/>
  <c r="Q52" i="12"/>
  <c r="P52" i="12"/>
  <c r="H78" i="12"/>
  <c r="Q60" i="12"/>
  <c r="H64" i="12"/>
  <c r="G64" i="12"/>
  <c r="O77" i="12"/>
  <c r="P97" i="14"/>
  <c r="O47" i="12"/>
  <c r="O35" i="12" s="1"/>
  <c r="Q35" i="12" s="1"/>
  <c r="F34" i="12"/>
  <c r="G46" i="12"/>
  <c r="H46" i="12"/>
  <c r="H93" i="14"/>
  <c r="Q77" i="14"/>
  <c r="O65" i="12"/>
  <c r="Q65" i="12" s="1"/>
  <c r="Q41" i="12"/>
  <c r="O42" i="12"/>
  <c r="Q34" i="12"/>
  <c r="P34" i="12"/>
  <c r="H56" i="14"/>
  <c r="H57" i="14" s="1"/>
  <c r="F47" i="12" s="1"/>
  <c r="P82" i="12"/>
  <c r="Q82" i="12"/>
  <c r="Q64" i="12"/>
  <c r="P64" i="12"/>
  <c r="H96" i="14"/>
  <c r="Q59" i="12"/>
  <c r="O70" i="12"/>
  <c r="H60" i="12"/>
  <c r="F52" i="12"/>
  <c r="H77" i="12"/>
  <c r="H95" i="12"/>
  <c r="F89" i="12"/>
  <c r="H89" i="12" s="1"/>
  <c r="H77" i="14"/>
  <c r="F65" i="12" s="1"/>
  <c r="F66" i="12" s="1"/>
  <c r="J69" i="10"/>
  <c r="G70" i="10"/>
  <c r="I70" i="10" s="1"/>
  <c r="Q52" i="10"/>
  <c r="Q40" i="10" s="1"/>
  <c r="T51" i="10"/>
  <c r="S51" i="10"/>
  <c r="S64" i="10"/>
  <c r="T64" i="10"/>
  <c r="I63" i="10"/>
  <c r="G57" i="10"/>
  <c r="J63" i="10"/>
  <c r="G64" i="10"/>
  <c r="J81" i="10"/>
  <c r="I81" i="10"/>
  <c r="G75" i="10"/>
  <c r="G88" i="10"/>
  <c r="G76" i="10" s="1"/>
  <c r="J87" i="10"/>
  <c r="I87" i="10"/>
  <c r="H74" i="10"/>
  <c r="I74" i="10"/>
  <c r="J74" i="10"/>
  <c r="R56" i="10"/>
  <c r="S56" i="10"/>
  <c r="T56" i="10"/>
  <c r="R38" i="10"/>
  <c r="S38" i="10"/>
  <c r="T38" i="10"/>
  <c r="I82" i="10"/>
  <c r="J82" i="10"/>
  <c r="Q70" i="10"/>
  <c r="Q58" i="10" s="1"/>
  <c r="T69" i="10"/>
  <c r="S69" i="10"/>
  <c r="J93" i="10"/>
  <c r="I93" i="10"/>
  <c r="T63" i="10"/>
  <c r="S63" i="10"/>
  <c r="Q57" i="10"/>
  <c r="T88" i="10"/>
  <c r="S88" i="10"/>
  <c r="J38" i="10"/>
  <c r="H38" i="10"/>
  <c r="I38" i="10"/>
  <c r="G52" i="10"/>
  <c r="I51" i="10"/>
  <c r="J51" i="10"/>
  <c r="S87" i="10"/>
  <c r="T87" i="10"/>
  <c r="G46" i="10"/>
  <c r="G39" i="10"/>
  <c r="J45" i="10"/>
  <c r="I45" i="10"/>
  <c r="Q76" i="10"/>
  <c r="S82" i="10"/>
  <c r="T82" i="10"/>
  <c r="R74" i="10"/>
  <c r="S74" i="10"/>
  <c r="T74" i="10"/>
  <c r="S46" i="10"/>
  <c r="T46" i="10"/>
  <c r="S45" i="10"/>
  <c r="Q39" i="10"/>
  <c r="T45" i="10"/>
  <c r="S81" i="10"/>
  <c r="Q75" i="10"/>
  <c r="T81" i="10"/>
  <c r="O84" i="12" l="1"/>
  <c r="Q84" i="12" s="1"/>
  <c r="H82" i="12"/>
  <c r="H70" i="12"/>
  <c r="G70" i="12"/>
  <c r="G82" i="12"/>
  <c r="F42" i="12"/>
  <c r="H42" i="12" s="1"/>
  <c r="J70" i="10"/>
  <c r="O53" i="12"/>
  <c r="Q53" i="12" s="1"/>
  <c r="H97" i="14"/>
  <c r="F83" i="12" s="1"/>
  <c r="F71" i="12" s="1"/>
  <c r="H71" i="12" s="1"/>
  <c r="H66" i="12"/>
  <c r="F54" i="12"/>
  <c r="H54" i="12" s="1"/>
  <c r="H47" i="12"/>
  <c r="F35" i="12"/>
  <c r="H35" i="12" s="1"/>
  <c r="F48" i="12"/>
  <c r="H48" i="12" s="1"/>
  <c r="G52" i="12"/>
  <c r="H52" i="12"/>
  <c r="O71" i="12"/>
  <c r="Q71" i="12" s="1"/>
  <c r="Q77" i="12"/>
  <c r="O78" i="12"/>
  <c r="O66" i="12"/>
  <c r="H65" i="12"/>
  <c r="F53" i="12"/>
  <c r="H53" i="12" s="1"/>
  <c r="Q42" i="12"/>
  <c r="H34" i="12"/>
  <c r="G34" i="12"/>
  <c r="Q70" i="12"/>
  <c r="P70" i="12"/>
  <c r="Q47" i="12"/>
  <c r="O48" i="12"/>
  <c r="Q48" i="12" s="1"/>
  <c r="I64" i="10"/>
  <c r="J64" i="10"/>
  <c r="J46" i="10"/>
  <c r="I46" i="10"/>
  <c r="G40" i="10"/>
  <c r="I57" i="10"/>
  <c r="J57" i="10"/>
  <c r="G58" i="10"/>
  <c r="J52" i="10"/>
  <c r="I52" i="10"/>
  <c r="T40" i="10"/>
  <c r="S40" i="10"/>
  <c r="T58" i="10"/>
  <c r="S58" i="10"/>
  <c r="I75" i="10"/>
  <c r="J75" i="10"/>
  <c r="T75" i="10"/>
  <c r="S75" i="10"/>
  <c r="T76" i="10"/>
  <c r="S76" i="10"/>
  <c r="S70" i="10"/>
  <c r="T70" i="10"/>
  <c r="I76" i="10"/>
  <c r="J76" i="10"/>
  <c r="S57" i="10"/>
  <c r="T57" i="10"/>
  <c r="I88" i="10"/>
  <c r="J88" i="10"/>
  <c r="S39" i="10"/>
  <c r="T39" i="10"/>
  <c r="I39" i="10"/>
  <c r="J39" i="10"/>
  <c r="T52" i="10"/>
  <c r="S52" i="10"/>
  <c r="F84" i="12" l="1"/>
  <c r="H84" i="12" s="1"/>
  <c r="H83" i="12"/>
  <c r="F36" i="12"/>
  <c r="H36" i="12" s="1"/>
  <c r="Q66" i="12"/>
  <c r="O54" i="12"/>
  <c r="Q54" i="12" s="1"/>
  <c r="O72" i="12"/>
  <c r="Q72" i="12" s="1"/>
  <c r="Q78" i="12"/>
  <c r="O36" i="12"/>
  <c r="Q36" i="12" s="1"/>
  <c r="I58" i="10"/>
  <c r="J58" i="10"/>
  <c r="I40" i="10"/>
  <c r="J40" i="10"/>
  <c r="F72" i="12" l="1"/>
  <c r="H72" i="12" s="1"/>
  <c r="C32" i="14"/>
  <c r="C35" i="14"/>
  <c r="D93" i="4" l="1"/>
  <c r="D54" i="4"/>
  <c r="D53" i="4"/>
  <c r="O96" i="4"/>
  <c r="O75" i="4"/>
  <c r="D75" i="4"/>
  <c r="C34" i="14"/>
  <c r="O94" i="4"/>
  <c r="O54" i="4"/>
  <c r="D76" i="4"/>
  <c r="O53" i="4"/>
  <c r="D94" i="4"/>
  <c r="O93" i="4"/>
  <c r="D74" i="4"/>
  <c r="D73" i="4"/>
  <c r="D95" i="4"/>
  <c r="O56" i="4"/>
  <c r="D96" i="4"/>
  <c r="O73" i="4"/>
  <c r="O76" i="4"/>
  <c r="O95" i="4"/>
  <c r="O55" i="4"/>
  <c r="D56" i="4"/>
  <c r="D55" i="4"/>
  <c r="O74" i="4"/>
  <c r="N76" i="4"/>
  <c r="C73" i="4"/>
  <c r="N53" i="4"/>
  <c r="C94" i="4"/>
  <c r="N94" i="4"/>
  <c r="C95" i="4"/>
  <c r="C54" i="4"/>
  <c r="N95" i="4"/>
  <c r="C53" i="4"/>
  <c r="N93" i="4"/>
  <c r="N73" i="4"/>
  <c r="N55" i="4"/>
  <c r="N56" i="4"/>
  <c r="C75" i="4"/>
  <c r="N74" i="4"/>
  <c r="N75" i="4"/>
  <c r="C93" i="4"/>
  <c r="C31" i="14"/>
  <c r="C74" i="4"/>
  <c r="C56" i="4"/>
  <c r="C76" i="4"/>
  <c r="C55" i="4"/>
  <c r="C96" i="4"/>
  <c r="N96" i="4"/>
  <c r="N54" i="4"/>
  <c r="D69" i="10" l="1"/>
  <c r="D77" i="4"/>
  <c r="D54" i="14"/>
  <c r="M94" i="14"/>
  <c r="D75" i="14"/>
  <c r="D96" i="14"/>
  <c r="M56" i="14"/>
  <c r="M75" i="14"/>
  <c r="M53" i="14"/>
  <c r="M54" i="14"/>
  <c r="D73" i="14"/>
  <c r="D95" i="14"/>
  <c r="D74" i="14"/>
  <c r="D53" i="14"/>
  <c r="M74" i="14"/>
  <c r="M93" i="14"/>
  <c r="M96" i="14"/>
  <c r="D76" i="14"/>
  <c r="M55" i="14"/>
  <c r="M73" i="14"/>
  <c r="D56" i="14"/>
  <c r="D93" i="14"/>
  <c r="M95" i="14"/>
  <c r="D55" i="14"/>
  <c r="D94" i="14"/>
  <c r="M76" i="14"/>
  <c r="N87" i="10"/>
  <c r="O97" i="4"/>
  <c r="N77" i="4"/>
  <c r="N63" i="10"/>
  <c r="N45" i="10"/>
  <c r="N57" i="4"/>
  <c r="C53" i="14"/>
  <c r="L96" i="14"/>
  <c r="C75" i="14"/>
  <c r="C54" i="14"/>
  <c r="L76" i="14"/>
  <c r="L53" i="14"/>
  <c r="C73" i="14"/>
  <c r="C93" i="14"/>
  <c r="C56" i="14"/>
  <c r="C95" i="14"/>
  <c r="C55" i="14"/>
  <c r="L93" i="14"/>
  <c r="L73" i="14"/>
  <c r="L94" i="14"/>
  <c r="L75" i="14"/>
  <c r="C76" i="14"/>
  <c r="L56" i="14"/>
  <c r="C96" i="14"/>
  <c r="C74" i="14"/>
  <c r="L54" i="14"/>
  <c r="C94" i="14"/>
  <c r="L55" i="14"/>
  <c r="L95" i="14"/>
  <c r="L74" i="14"/>
  <c r="N97" i="4"/>
  <c r="N81" i="10"/>
  <c r="C77" i="4"/>
  <c r="D63" i="10"/>
  <c r="O77" i="4"/>
  <c r="N69" i="10"/>
  <c r="N51" i="10"/>
  <c r="O57" i="4"/>
  <c r="D51" i="10"/>
  <c r="D57" i="4"/>
  <c r="D81" i="10"/>
  <c r="C97" i="4"/>
  <c r="D45" i="10"/>
  <c r="C57" i="4"/>
  <c r="D87" i="10"/>
  <c r="D97" i="4"/>
  <c r="C77" i="14" l="1"/>
  <c r="D59" i="12" s="1"/>
  <c r="G59" i="12" s="1"/>
  <c r="D75" i="10"/>
  <c r="H75" i="10" s="1"/>
  <c r="D82" i="10"/>
  <c r="H81" i="10"/>
  <c r="L57" i="14"/>
  <c r="M41" i="12"/>
  <c r="N46" i="10"/>
  <c r="N39" i="10"/>
  <c r="R39" i="10" s="1"/>
  <c r="R45" i="10"/>
  <c r="M83" i="12"/>
  <c r="M97" i="14"/>
  <c r="D88" i="10"/>
  <c r="H88" i="10" s="1"/>
  <c r="H87" i="10"/>
  <c r="D52" i="10"/>
  <c r="H52" i="10" s="1"/>
  <c r="H51" i="10"/>
  <c r="D64" i="10"/>
  <c r="H64" i="10" s="1"/>
  <c r="D57" i="10"/>
  <c r="H63" i="10"/>
  <c r="M59" i="12"/>
  <c r="L77" i="14"/>
  <c r="N57" i="10"/>
  <c r="R57" i="10" s="1"/>
  <c r="N64" i="10"/>
  <c r="R63" i="10"/>
  <c r="L97" i="14"/>
  <c r="M77" i="12"/>
  <c r="D97" i="14"/>
  <c r="D83" i="12" s="1"/>
  <c r="D57" i="14"/>
  <c r="D47" i="12" s="1"/>
  <c r="D39" i="10"/>
  <c r="H39" i="10" s="1"/>
  <c r="D46" i="10"/>
  <c r="H45" i="10"/>
  <c r="N52" i="10"/>
  <c r="R52" i="10" s="1"/>
  <c r="R51" i="10"/>
  <c r="N75" i="10"/>
  <c r="R75" i="10" s="1"/>
  <c r="N82" i="10"/>
  <c r="R81" i="10"/>
  <c r="M77" i="14"/>
  <c r="M65" i="12"/>
  <c r="C57" i="14"/>
  <c r="D41" i="12" s="1"/>
  <c r="N88" i="10"/>
  <c r="R88" i="10" s="1"/>
  <c r="R87" i="10"/>
  <c r="D77" i="14"/>
  <c r="D65" i="12" s="1"/>
  <c r="N70" i="10"/>
  <c r="R70" i="10" s="1"/>
  <c r="R69" i="10"/>
  <c r="C97" i="14"/>
  <c r="D77" i="12" s="1"/>
  <c r="M47" i="12"/>
  <c r="M57" i="14"/>
  <c r="D70" i="10"/>
  <c r="H70" i="10" s="1"/>
  <c r="H69" i="10"/>
  <c r="D53" i="12" l="1"/>
  <c r="D60" i="12"/>
  <c r="N58" i="10"/>
  <c r="R58" i="10" s="1"/>
  <c r="R64" i="10"/>
  <c r="N40" i="10"/>
  <c r="R40" i="10" s="1"/>
  <c r="R46" i="10"/>
  <c r="D66" i="12"/>
  <c r="D54" i="12" s="1"/>
  <c r="G65" i="12"/>
  <c r="N76" i="10"/>
  <c r="R76" i="10" s="1"/>
  <c r="R82" i="10"/>
  <c r="M35" i="12"/>
  <c r="M42" i="12"/>
  <c r="P41" i="12"/>
  <c r="G60" i="12"/>
  <c r="D48" i="12"/>
  <c r="G47" i="12"/>
  <c r="M53" i="12"/>
  <c r="M60" i="12"/>
  <c r="P59" i="12"/>
  <c r="D84" i="12"/>
  <c r="G83" i="12"/>
  <c r="D78" i="12"/>
  <c r="D71" i="12"/>
  <c r="G77" i="12"/>
  <c r="M78" i="12"/>
  <c r="M71" i="12"/>
  <c r="P77" i="12"/>
  <c r="M84" i="12"/>
  <c r="P83" i="12"/>
  <c r="G53" i="12"/>
  <c r="D35" i="12"/>
  <c r="D42" i="12"/>
  <c r="G41" i="12"/>
  <c r="M48" i="12"/>
  <c r="P47" i="12"/>
  <c r="M66" i="12"/>
  <c r="P65" i="12"/>
  <c r="D40" i="10"/>
  <c r="H40" i="10" s="1"/>
  <c r="H46" i="10"/>
  <c r="D58" i="10"/>
  <c r="H58" i="10" s="1"/>
  <c r="H57" i="10"/>
  <c r="D76" i="10"/>
  <c r="H76" i="10" s="1"/>
  <c r="H82" i="10"/>
  <c r="P84" i="12" l="1"/>
  <c r="D72" i="12"/>
  <c r="G78" i="12"/>
  <c r="M54" i="12"/>
  <c r="P60" i="12"/>
  <c r="G54" i="12"/>
  <c r="D36" i="12"/>
  <c r="G42" i="12"/>
  <c r="P53" i="12"/>
  <c r="G66" i="12"/>
  <c r="G35" i="12"/>
  <c r="M36" i="12"/>
  <c r="P42" i="12"/>
  <c r="P66" i="12"/>
  <c r="P71" i="12"/>
  <c r="P35" i="12"/>
  <c r="M72" i="12"/>
  <c r="P78" i="12"/>
  <c r="G84" i="12"/>
  <c r="G48" i="12"/>
  <c r="P48" i="12"/>
  <c r="G71" i="12"/>
  <c r="P54" i="12" l="1"/>
  <c r="P36" i="12"/>
  <c r="G36" i="12"/>
  <c r="G72" i="12"/>
  <c r="P72" i="12"/>
  <c r="C23" i="22" l="1"/>
  <c r="C24" i="22"/>
  <c r="C22" i="22"/>
  <c r="C37" i="20"/>
  <c r="D100" i="10" s="1"/>
  <c r="C36" i="20"/>
  <c r="C25" i="22"/>
  <c r="D38" i="20" l="1"/>
  <c r="D107" i="10" s="1"/>
  <c r="H107" i="10" s="1"/>
  <c r="D37" i="22"/>
  <c r="D102" i="12" s="1"/>
  <c r="D38" i="22"/>
  <c r="D103" i="12" s="1"/>
  <c r="D36" i="22"/>
  <c r="D37" i="20"/>
  <c r="D106" i="10" s="1"/>
  <c r="H106" i="10" s="1"/>
  <c r="D36" i="20"/>
  <c r="D99" i="10"/>
  <c r="C38" i="20"/>
  <c r="D101" i="10" s="1"/>
  <c r="H100" i="10"/>
  <c r="C38" i="22"/>
  <c r="D97" i="12" s="1"/>
  <c r="C36" i="22"/>
  <c r="C37" i="22"/>
  <c r="D96" i="12" s="1"/>
  <c r="D94" i="10" l="1"/>
  <c r="H94" i="10" s="1"/>
  <c r="C39" i="20"/>
  <c r="H99" i="10"/>
  <c r="D90" i="12"/>
  <c r="G96" i="12"/>
  <c r="D105" i="10"/>
  <c r="H105" i="10" s="1"/>
  <c r="D39" i="20"/>
  <c r="C39" i="22"/>
  <c r="D95" i="12"/>
  <c r="D39" i="22"/>
  <c r="D101" i="12"/>
  <c r="D91" i="12"/>
  <c r="G97" i="12"/>
  <c r="G103" i="12"/>
  <c r="G102" i="12"/>
  <c r="D95" i="10"/>
  <c r="H95" i="10" s="1"/>
  <c r="H101" i="10"/>
  <c r="G91" i="12" l="1"/>
  <c r="G90" i="12"/>
  <c r="G101" i="12"/>
  <c r="D89" i="12"/>
  <c r="G95" i="12"/>
  <c r="D93" i="10"/>
  <c r="H93" i="10" s="1"/>
  <c r="G89" i="12" l="1"/>
  <c r="AB31" i="13" l="1"/>
  <c r="Y30" i="21"/>
  <c r="Z31" i="13" l="1"/>
  <c r="D27" i="12" s="1"/>
  <c r="D31" i="10"/>
  <c r="D32" i="10" l="1"/>
  <c r="W30" i="21"/>
  <c r="D28" i="12" s="1"/>
  <c r="H31" i="10"/>
  <c r="G27" i="12"/>
  <c r="M27" i="12" l="1"/>
  <c r="R31" i="10"/>
  <c r="G28" i="12"/>
  <c r="H32" i="10"/>
  <c r="P27" i="12" l="1"/>
  <c r="M28" i="12"/>
  <c r="R32" i="10"/>
  <c r="P28" i="12" l="1"/>
  <c r="AE27" i="19" l="1"/>
  <c r="Y31" i="21" s="1"/>
  <c r="AB32" i="13"/>
  <c r="AC27" i="19"/>
  <c r="W31" i="21" s="1"/>
  <c r="D33" i="10"/>
  <c r="Z32" i="13"/>
  <c r="D29" i="12" s="1"/>
  <c r="G29" i="12" l="1"/>
  <c r="H33" i="10"/>
  <c r="M29" i="12" l="1"/>
  <c r="R33" i="10"/>
  <c r="P29" i="12" l="1"/>
</calcChain>
</file>

<file path=xl/sharedStrings.xml><?xml version="1.0" encoding="utf-8"?>
<sst xmlns="http://schemas.openxmlformats.org/spreadsheetml/2006/main" count="2665" uniqueCount="585">
  <si>
    <t>Filing Description</t>
  </si>
  <si>
    <t>Revenue Recovery Mechanism</t>
  </si>
  <si>
    <t>Safety Affordability Reliability Proceedings</t>
  </si>
  <si>
    <t>Generation</t>
  </si>
  <si>
    <t>Authority for Revenue Requirement</t>
  </si>
  <si>
    <t>Distribution</t>
  </si>
  <si>
    <t xml:space="preserve">   Subtotal Safety Affordability Reliability</t>
  </si>
  <si>
    <t>Public Policy Proceedings</t>
  </si>
  <si>
    <t xml:space="preserve">   Subtotal Public Policy </t>
  </si>
  <si>
    <t>Non-CPUC Jurisdictional Proceedings</t>
  </si>
  <si>
    <t>Transmission</t>
  </si>
  <si>
    <t xml:space="preserve">   Subtotal Non-CPUC Jurisidictional</t>
  </si>
  <si>
    <t>Total Authorized Revenue</t>
  </si>
  <si>
    <t>Notes:</t>
  </si>
  <si>
    <t>CTC</t>
  </si>
  <si>
    <t xml:space="preserve">Balancing Account </t>
  </si>
  <si>
    <t xml:space="preserve">Authorized Revenue Requirement       ($000) </t>
  </si>
  <si>
    <t>Revenue Requirement Date:</t>
  </si>
  <si>
    <t>Advice Letter:</t>
  </si>
  <si>
    <t>SDG&amp;E General Rate Case (GRC) Attrition Year</t>
  </si>
  <si>
    <t>Energy Efficiency Savings Performance Incentive (ESPI) Award</t>
  </si>
  <si>
    <t>Vehicle Grid Integration (VGI)</t>
  </si>
  <si>
    <t>Distributed Generation Renewable (DGR) Time Metered Under/(Over) Collection</t>
  </si>
  <si>
    <t>FF&amp;U Associated with Public Purpose Programs (PPP)</t>
  </si>
  <si>
    <t>N</t>
  </si>
  <si>
    <t>Electric Distribution Fixed Cost Account (EDFCA)</t>
  </si>
  <si>
    <t>Y</t>
  </si>
  <si>
    <t>Tree Trimming Balancing Account (TTBA)</t>
  </si>
  <si>
    <t xml:space="preserve">Advanced Metering and Demand Response (AMDRMA) </t>
  </si>
  <si>
    <t>Rewards and Penalties Balancing Account (RPBA) before Transfer</t>
  </si>
  <si>
    <t>Pension Balancing Account (PBA)</t>
  </si>
  <si>
    <t>Streamlining Residual Account (SRA)</t>
  </si>
  <si>
    <t>Baseline Balancing Account (BBA)</t>
  </si>
  <si>
    <t>Common Area Balancing Account (CABA)</t>
  </si>
  <si>
    <t>Hazardous Substance Cleanup Cost Account (HSCCA)</t>
  </si>
  <si>
    <t>Master Metering Balancing Account (MMBA)</t>
  </si>
  <si>
    <t>Direct Participation Demand Response Memorandum Account (DPDRMA)</t>
  </si>
  <si>
    <t>Clean Transportation Priority Balancing Account (CTPBA)</t>
  </si>
  <si>
    <t>Distribution Performance Based Ratemaking (PBR) Incentives Reward/ Penalty</t>
  </si>
  <si>
    <t>Post Retirement Benefits other than Pensions Balancing Account (PBOPBA)</t>
  </si>
  <si>
    <t>Energy Resource Recovery Account (ERRA) Revenue Requirement</t>
  </si>
  <si>
    <t>Energy Resource Recovery Account (ERRA) Trigger</t>
  </si>
  <si>
    <t>Department of Water Resources (DWR)  Power Charge Credit</t>
  </si>
  <si>
    <t>Critical Peak Pricing Default (CPP-D) Under/ (Over) Collection - Small Commercial</t>
  </si>
  <si>
    <t>Critical Peak Pricing Default (CPP-D) Under/ (Over) Collection - Medium/Large Commercial</t>
  </si>
  <si>
    <t>Critical Peak Pricing Default (CPP-D) Under/ (Over) Collection - Agriculture</t>
  </si>
  <si>
    <t>Distributed Generation Renewable (DGR) Time Metered Under/(Over) Collection - Commodity</t>
  </si>
  <si>
    <t>Smart Pricing Program (SPP) Under/Over Collection - Residential</t>
  </si>
  <si>
    <t>Smart Pricing Program (SPP) Under/Over Collection - Small Commercial</t>
  </si>
  <si>
    <t>Smart Pricing Program (SPP) Under/Over Collection - Agriculture</t>
  </si>
  <si>
    <t>San Onofre Nuclear Generating Station (SONGS)</t>
  </si>
  <si>
    <t>Solar Energy Project (SEP)</t>
  </si>
  <si>
    <t>Amortization - NGBA Balance</t>
  </si>
  <si>
    <t>Energy Resource Recovery Account (ERRA) Balancing Account</t>
  </si>
  <si>
    <t>GHG Small Business Volumetric Return</t>
  </si>
  <si>
    <t>GHG California Climate Credit (CCC)</t>
  </si>
  <si>
    <t>CTC Revenue Requirement</t>
  </si>
  <si>
    <t>Amortization - Transition Cost Balancing Account (TCBA)</t>
  </si>
  <si>
    <t>LG Revenue Requirement</t>
  </si>
  <si>
    <t>LGC</t>
  </si>
  <si>
    <t>Amortization - Local Generating Balancing Account (LGBA)</t>
  </si>
  <si>
    <t>Low Income Energy Efficiency (LIEE)/Energy Savings Assistance Programs (ESAP)</t>
  </si>
  <si>
    <t>Electric Program Investment Charge (EPIC)</t>
  </si>
  <si>
    <t>Family Electric Rate Assistance (FERA)</t>
  </si>
  <si>
    <t>Self-Generation Incentive Program (SGIP)</t>
  </si>
  <si>
    <t>California Solar Initiative (CSI)</t>
  </si>
  <si>
    <t>Food Bank</t>
  </si>
  <si>
    <t>California Alternative Rates for Energy Balancing Account (CAREBA)</t>
  </si>
  <si>
    <t>Low Income Energy Efficiency Balancing Account (LIEEBA)</t>
  </si>
  <si>
    <t>Post-1997 Electric Energy Efficiency Balancing Account (PEEEBA)</t>
  </si>
  <si>
    <t>Electric Program Investment Charge Balancing Account (EPICBA)</t>
  </si>
  <si>
    <t>Electric Procurement Energy Efficiency Bal. Acct. (EPEEBA)</t>
  </si>
  <si>
    <t>Family Electric Rate Assistance Balancing Account (FERABA)</t>
  </si>
  <si>
    <t>Energy Savings Assistance Programs Memo Account (ESAPMA)</t>
  </si>
  <si>
    <t>Self-Generation Program Memorandum Account (SGPMA)</t>
  </si>
  <si>
    <t>California Solar Initiative Balancing Account (CSIBA)</t>
  </si>
  <si>
    <t>Food Bank Balance Account (FBBA)</t>
  </si>
  <si>
    <t>Total Rate Adjustment Component (TRAC)</t>
  </si>
  <si>
    <t>TRAC</t>
  </si>
  <si>
    <t>ND Revenue Requirement</t>
  </si>
  <si>
    <t>ND</t>
  </si>
  <si>
    <t>Amortization - Nuclear Decommissioning Adjustment Mechanism</t>
  </si>
  <si>
    <t>Department of Water Resources Bond Charge (DWR-BC)</t>
  </si>
  <si>
    <t>Base Transmission Revenue Requirement (BTRR)</t>
  </si>
  <si>
    <t>Transmission Access Charge Balancing Account Adjustment (TACBAA)</t>
  </si>
  <si>
    <t>Transmission Revenue Balancing Account Adjustment (TRBAA)</t>
  </si>
  <si>
    <t>Reliability Services</t>
  </si>
  <si>
    <t>RS</t>
  </si>
  <si>
    <t>Current Revenue Requirement ($000):</t>
  </si>
  <si>
    <t>Current Revenue Requirement Effective:</t>
  </si>
  <si>
    <t>Approved Application(s), Implemented Since Jan 1 or To Be Implemented</t>
  </si>
  <si>
    <t>Proceeding</t>
  </si>
  <si>
    <t>Existing or New Item (if existing, use delta from prior for rate impact)</t>
  </si>
  <si>
    <t>General Rate Case</t>
  </si>
  <si>
    <t>Existing</t>
  </si>
  <si>
    <t>Nuclear Decommissioning (ND)</t>
  </si>
  <si>
    <t>SONGS</t>
  </si>
  <si>
    <t>DWR BC</t>
  </si>
  <si>
    <t>GHG Revenue</t>
  </si>
  <si>
    <t>SGIP</t>
  </si>
  <si>
    <t>Public Purpose Program</t>
  </si>
  <si>
    <t>Energy Efficiency</t>
  </si>
  <si>
    <t>SB 350 Priority Projects</t>
  </si>
  <si>
    <t>EPIC (Electric Program Investment Charge)</t>
  </si>
  <si>
    <t>Under/Over Collections</t>
  </si>
  <si>
    <t>Distributed Generation Renewable (DGR) Time Metered Under/(Over) Collection - Distribution</t>
  </si>
  <si>
    <t>Total Approved, Implemented Since Jan 1 or To Be Implemented</t>
  </si>
  <si>
    <t>Proposed Revenue Requirement ($000)</t>
  </si>
  <si>
    <t>Proposed Revenue Recovery Mechanism</t>
  </si>
  <si>
    <t>PYD 2.0</t>
  </si>
  <si>
    <t>AB 1054</t>
  </si>
  <si>
    <t>MDHD</t>
  </si>
  <si>
    <t>AB 1082/1083</t>
  </si>
  <si>
    <t>Total</t>
  </si>
  <si>
    <t>V2G Pilot</t>
  </si>
  <si>
    <t>Total Pending, Filed but not Approved</t>
  </si>
  <si>
    <t>Applications Projected to be Filed, Next 12 Months</t>
  </si>
  <si>
    <t>Estimated Filing Date</t>
  </si>
  <si>
    <t>Filing Basis</t>
  </si>
  <si>
    <t>Projected Authorized Revenue Requirement ($000) - Breakout by Year</t>
  </si>
  <si>
    <t>** Recurring programs funding assumed to be flat at current levels</t>
  </si>
  <si>
    <t>FF&amp;U associated with PPP</t>
  </si>
  <si>
    <t>Authorized Revenue Requirement with FF&amp;U ($000)</t>
  </si>
  <si>
    <t>Authorized Revenue Requirement with FF&amp;U ($000) - Breakout by Year</t>
  </si>
  <si>
    <t>Proposed Revenue Requirement with FF&amp;U ($000)</t>
  </si>
  <si>
    <t>Inputs:</t>
  </si>
  <si>
    <t>Assumptions:</t>
  </si>
  <si>
    <t>Current Effective Rates</t>
  </si>
  <si>
    <t>Baseline Region - (Residential bill)</t>
  </si>
  <si>
    <t>Coastal</t>
  </si>
  <si>
    <t>Sales Forecast</t>
  </si>
  <si>
    <t>kWh per month</t>
  </si>
  <si>
    <t>Pending Proceedings</t>
  </si>
  <si>
    <t>Applicable Year(s)</t>
  </si>
  <si>
    <t>Summer season</t>
  </si>
  <si>
    <t>months</t>
  </si>
  <si>
    <t>Winter Season</t>
  </si>
  <si>
    <t>Outputs:</t>
  </si>
  <si>
    <t>(A)</t>
  </si>
  <si>
    <t>(B)</t>
  </si>
  <si>
    <t>(C)</t>
  </si>
  <si>
    <t>(D)</t>
  </si>
  <si>
    <t>(D)/(A)</t>
  </si>
  <si>
    <t>(D)/(B)</t>
  </si>
  <si>
    <t>(D)/(C)</t>
  </si>
  <si>
    <t>Bundled Average Rates - ¢/kWh</t>
  </si>
  <si>
    <t>Total System (Bundled and Unbundled) Average Rates - ¢/kWh</t>
  </si>
  <si>
    <t>Customer Group</t>
  </si>
  <si>
    <t>% Change over Authorized</t>
  </si>
  <si>
    <t>Residential</t>
  </si>
  <si>
    <t>Total Residential (RAR)</t>
  </si>
  <si>
    <t>System</t>
  </si>
  <si>
    <t>Total System (SAR)</t>
  </si>
  <si>
    <t>Non-CARE</t>
  </si>
  <si>
    <t>CARE</t>
  </si>
  <si>
    <t>AL 3500-E</t>
  </si>
  <si>
    <t>Basis of Revenue Requirement Forecast:  Application, Amended Application , Amended Testimony,  Proposed Settlement Agreement, Proposed Decision</t>
  </si>
  <si>
    <t>Include in Impact</t>
  </si>
  <si>
    <t>Authorized</t>
  </si>
  <si>
    <t>Authorized + Pending</t>
  </si>
  <si>
    <t>Incremental Revenues</t>
  </si>
  <si>
    <t>Revenue Change ($000)</t>
  </si>
  <si>
    <t>w/ Pending</t>
  </si>
  <si>
    <t>Allocation</t>
  </si>
  <si>
    <t>Revenue Change ($000) - System</t>
  </si>
  <si>
    <t>Total System</t>
  </si>
  <si>
    <t>w/Pending</t>
  </si>
  <si>
    <t>% of CARE Sales (Bundled)</t>
  </si>
  <si>
    <t>Revenue Split - Bundled</t>
  </si>
  <si>
    <t>Bundled Revenue Change</t>
  </si>
  <si>
    <t>CARE Effective Discount</t>
  </si>
  <si>
    <t>CARE Adj</t>
  </si>
  <si>
    <t>Bundled</t>
  </si>
  <si>
    <t>System (Bundled and Unbundled)</t>
  </si>
  <si>
    <t>Proposed Avg Rates (Authorized)</t>
  </si>
  <si>
    <t>Proposed Avg Rates (w/Pending)</t>
  </si>
  <si>
    <t>% Change (Authorized)</t>
  </si>
  <si>
    <t>% Change (w/Pending)</t>
  </si>
  <si>
    <t>Proposed</t>
  </si>
  <si>
    <t>Rates</t>
  </si>
  <si>
    <t>Revenue</t>
  </si>
  <si>
    <t>Authorized Rates</t>
  </si>
  <si>
    <t>Authorized Revenue</t>
  </si>
  <si>
    <t>w/Pending Rates</t>
  </si>
  <si>
    <t>w/Pending Revenue</t>
  </si>
  <si>
    <t>Baseline - Summer</t>
  </si>
  <si>
    <t xml:space="preserve">Bundled Residential Rev Req </t>
  </si>
  <si>
    <t>- Winter</t>
  </si>
  <si>
    <t>Current</t>
  </si>
  <si>
    <t>101% - 400% of Baseline - Summer</t>
  </si>
  <si>
    <t>Change (Authorized)</t>
  </si>
  <si>
    <t>Proposed (Authorized)</t>
  </si>
  <si>
    <t>401% of Baseline - Summer</t>
  </si>
  <si>
    <t>Change (w/Pending)</t>
  </si>
  <si>
    <t>Proposed (w/Pending)</t>
  </si>
  <si>
    <t>Climate Zone</t>
  </si>
  <si>
    <t>Summer</t>
  </si>
  <si>
    <t>Winter</t>
  </si>
  <si>
    <t>Tier 1</t>
  </si>
  <si>
    <t>Tier 2</t>
  </si>
  <si>
    <t>Population Weight</t>
  </si>
  <si>
    <t>Mountain</t>
  </si>
  <si>
    <t>Desert</t>
  </si>
  <si>
    <t>Inland</t>
  </si>
  <si>
    <t>AL 3514-E</t>
  </si>
  <si>
    <t>Tree Mortality Non-Bypassable Charge (TMNBC)</t>
  </si>
  <si>
    <t>Tree Mortality Non-Bypassable Charge Balancing Account (TMNBCBA)</t>
  </si>
  <si>
    <t>Power Adjustment Balancing Account (PABA) Balancing Account</t>
  </si>
  <si>
    <t>Tax Cut Job Act (TCJA)</t>
  </si>
  <si>
    <t>Officer Compensation Memorandum Account 2019 (OCMA2019)</t>
  </si>
  <si>
    <t>General Rate Case Memorandum Account (GRCMA)</t>
  </si>
  <si>
    <t>Pending Application(s) Not Yet Approved</t>
  </si>
  <si>
    <t>Schedule DR</t>
  </si>
  <si>
    <t>Schedule DR [CARE]</t>
  </si>
  <si>
    <t>131% - 400% of Baseline - Summer</t>
  </si>
  <si>
    <t>SCHEDULE DR RATES ($/kWh)</t>
  </si>
  <si>
    <t>SCHEDULE DR [CARE] ($/kWh)</t>
  </si>
  <si>
    <t>CARE Res Allocation Factor</t>
  </si>
  <si>
    <t>AL 3535-E</t>
  </si>
  <si>
    <t>(C)/(A)</t>
  </si>
  <si>
    <t>(C)/(B)</t>
  </si>
  <si>
    <t>w/Proposed</t>
  </si>
  <si>
    <t>Proposed Avg Rates</t>
  </si>
  <si>
    <t>% Change</t>
  </si>
  <si>
    <t>AL 3619-E</t>
  </si>
  <si>
    <t>Wildfire Fund NBC</t>
  </si>
  <si>
    <t>Desert - Hot</t>
  </si>
  <si>
    <t>Coastal - Mild</t>
  </si>
  <si>
    <t>Inland - Warm</t>
  </si>
  <si>
    <t>Mountain - Extreme</t>
  </si>
  <si>
    <t>Application</t>
  </si>
  <si>
    <t>System Usage</t>
  </si>
  <si>
    <t>Total kWh</t>
  </si>
  <si>
    <t>Authorized System Sales</t>
  </si>
  <si>
    <t>% of CARE Sales</t>
  </si>
  <si>
    <t>Res CARE Authorized kWh Usage*</t>
  </si>
  <si>
    <t>AL 3669-E-A</t>
  </si>
  <si>
    <t>21st Century Energy Systems Balancing Account (CES-21BA)</t>
  </si>
  <si>
    <t>Liability Insurance Premium Balancing Account (LIPBA)</t>
  </si>
  <si>
    <t>Rate Reform Memo Account - Commodity</t>
  </si>
  <si>
    <t>Rate Reform Memo Account - Distribution</t>
  </si>
  <si>
    <t>Port Energy Management Plan (PEMP)</t>
  </si>
  <si>
    <t>San Diego Unified Port District (SDUPD)</t>
  </si>
  <si>
    <t>Net Energy Metering Measurement and Evaluation (NEMME)</t>
  </si>
  <si>
    <t>Port Energy Management Plan Balancing Account (PEMPBA)</t>
  </si>
  <si>
    <t>San Diego Unified Port District Balancing Account (SDUPDBA)</t>
  </si>
  <si>
    <t>Net Energy Metering Measurement and Evaluation Balancing Account (NEMMEBA)</t>
  </si>
  <si>
    <t>New Environmental Regulatory Balancing Account (NERBA)</t>
  </si>
  <si>
    <t>Gains/Loss On Sale Memorandum Account</t>
  </si>
  <si>
    <t>Reliability Services (RSBA)</t>
  </si>
  <si>
    <t>CPUC Fee</t>
  </si>
  <si>
    <t>Total With CPUC Fee</t>
  </si>
  <si>
    <t>SCHEDULE DR-LI [CARE] ($/kWh)</t>
  </si>
  <si>
    <t>AL 3696-E-A-B</t>
  </si>
  <si>
    <t>Revenue Split - Bundled Customer</t>
  </si>
  <si>
    <t>Power Adjustment Balancing Account (PABA) Balancing Account - Departed Load</t>
  </si>
  <si>
    <t>PCIA</t>
  </si>
  <si>
    <t>ERRA Balancing Accounts (PABA) - Departed Load</t>
  </si>
  <si>
    <t>w/Pending Total UDC</t>
  </si>
  <si>
    <t>Authorized Commodity</t>
  </si>
  <si>
    <t>w/Pending Commodity</t>
  </si>
  <si>
    <t>Total Revenue Requirement</t>
  </si>
  <si>
    <t xml:space="preserve">Authorized </t>
  </si>
  <si>
    <t>Total UDC w/Proposed</t>
  </si>
  <si>
    <t>Commodity w/Proposed</t>
  </si>
  <si>
    <t>Note: Bill inserts include CPUC fee in the calculations</t>
  </si>
  <si>
    <t>System Sales Forecast</t>
  </si>
  <si>
    <t>Change (Proposed)</t>
  </si>
  <si>
    <t>Proposed (w/ Current Revenues)</t>
  </si>
  <si>
    <t>AL 3756-E</t>
  </si>
  <si>
    <t>CARE Surcharge and Administration</t>
  </si>
  <si>
    <t>Monthly Essential Baseline Allowance -ALL-ELECTRIC (kWh)</t>
  </si>
  <si>
    <t>Monthly Essential Baseline Allowance -BASIC (kWh)</t>
  </si>
  <si>
    <t>Essential Usage Basic Bundled Non-CARE Customer</t>
  </si>
  <si>
    <t>Essential Usage Basic Bundled CARE Customer</t>
  </si>
  <si>
    <t>Monthly Tier 1 Baseline Allowance -ALL-ELECTRIC (kWh)</t>
  </si>
  <si>
    <t>Monthly Tier 1 Baseline Allowance -BASIC (kWh)</t>
  </si>
  <si>
    <t>Monthly Tier 1 Baseline Allowance - ALL-ELECTRIC (kWh)</t>
  </si>
  <si>
    <t>Essential Usage All-Electric Bundled Non-CARE Customer</t>
  </si>
  <si>
    <t>Essential Usage All-Electric Bundled CARE Customer</t>
  </si>
  <si>
    <t xml:space="preserve">Typical Monthly Usage Basic Bundled Non-CARE Customer </t>
  </si>
  <si>
    <t xml:space="preserve">Typical Monthly Usage Basic Bundled CARE Customer </t>
  </si>
  <si>
    <t xml:space="preserve">Typical Monthly Usage All-Electric Bundled Non-CARE Customer </t>
  </si>
  <si>
    <t xml:space="preserve">Typical Monthly Usage All-Electric Bundled CARE Customer </t>
  </si>
  <si>
    <t>Basic Bundled Residential Monthly Average Bills</t>
  </si>
  <si>
    <t>Basic Bundled Residential Monthly Average Bills - Summer</t>
  </si>
  <si>
    <t>Basic Bundled Residential Monthly Average Bills - Winter</t>
  </si>
  <si>
    <t>All-Electric Bundled Residential Monthly Average Bills</t>
  </si>
  <si>
    <t>All-Electric Bundled Residential Monthly Average Bills - Summer</t>
  </si>
  <si>
    <t>Essential Usage Basic Bundled Non-CARE Customer Bill</t>
  </si>
  <si>
    <t>Essential Usage Basic Bundled CARE Customer Bill</t>
  </si>
  <si>
    <t>Essential Use  - Non-CARE</t>
  </si>
  <si>
    <t>Essential Use - CARE</t>
  </si>
  <si>
    <t>All-Electric Bundled Residential Monthly Average Bills - Winter</t>
  </si>
  <si>
    <t>Basic Bundled Essential Use Residential Monthly Average Bills - Winter</t>
  </si>
  <si>
    <t>Basic Bundled Essential Use Residential Monthly Average Bills - Summer</t>
  </si>
  <si>
    <t>Basic Bundled Typical Residential Monthly Average Bills - Summer</t>
  </si>
  <si>
    <t>Basic Bundled Typical Residential Monthly Average Bills - Winter</t>
  </si>
  <si>
    <t>All-Electric Bundled Typical Residential Monthly Average Bills - Winter</t>
  </si>
  <si>
    <t>All-Electric Bundled Typical Residential Monthly Average Bills - Summer</t>
  </si>
  <si>
    <t>All-Electric Bundled Typical Residential Monthly Average Bills</t>
  </si>
  <si>
    <t>All-Electric Bundled Essential Use Residential Monthly Average Bills - Summer</t>
  </si>
  <si>
    <t>All-Electric Bundled Essential Use Residential Monthly Average Bills - Winter</t>
  </si>
  <si>
    <t>All-Electric Bundled Essential Use Residential Monthly Average Bills</t>
  </si>
  <si>
    <t>Basic Bundled Essential Use Residential Monthly Average Bills</t>
  </si>
  <si>
    <t>Basic Bundled Typical Residential Monthly Average Bills</t>
  </si>
  <si>
    <t>AL 3855-E</t>
  </si>
  <si>
    <t>School Energy Efficiency Stimulus Program (SEESPBA)</t>
  </si>
  <si>
    <t>Wildfire and Natural Disaster Resiliency Rebuild Program (WNDRR)</t>
  </si>
  <si>
    <t>Residential Uncollectable Balancing Account (RUBA) - Distribution</t>
  </si>
  <si>
    <t>Cap Balancing Account Balance (CAPBA) Trigger -Departed Load</t>
  </si>
  <si>
    <t>CAPBA Undercollection Balancing Account - Departed Load - ERRA Trigger</t>
  </si>
  <si>
    <t>CAPBA Undercollection Balancing Account - Departed Load - ERRA Forecast</t>
  </si>
  <si>
    <t>Residential Uncollectible Balancing Account (RUBA)</t>
  </si>
  <si>
    <t>Flex Alert Balancing Account (FABA)</t>
  </si>
  <si>
    <t>Economic Development Rate (EDR)</t>
  </si>
  <si>
    <t>Advanced Metering and Demand Response (AMDRMA) - Generation</t>
  </si>
  <si>
    <t>Distribution Resources Plan Demonstration (DRPDBA)</t>
  </si>
  <si>
    <t>Emergency Load Reduction (ELRBA)</t>
  </si>
  <si>
    <t>Residential Uncollectible Balancing Account (RUBA) Amortization</t>
  </si>
  <si>
    <t>Flex Alert Balancing Account (FABA) Amortization</t>
  </si>
  <si>
    <t>School Energy Efficiency Stimulus Program Bal. Acct. (SEESPBA)</t>
  </si>
  <si>
    <t>Economic Development Rate Balancing Account (EDRBA)</t>
  </si>
  <si>
    <t>Residential Uncollectable Balancing Account (RUBA) - Generation</t>
  </si>
  <si>
    <t>PABA Revenue Requirement- Bundled Customers</t>
  </si>
  <si>
    <t>Cap Balancing Account Balance (CAPBA) Trigger - Bundled Customers</t>
  </si>
  <si>
    <t>Cap Balancing Account Balance (CAPBA) Revenue Requirement - Bundled Customers</t>
  </si>
  <si>
    <t>PABA Revenue Requirement - Departed Load</t>
  </si>
  <si>
    <t>AL 3928-E</t>
  </si>
  <si>
    <t>UDC</t>
  </si>
  <si>
    <t>Current Rate</t>
  </si>
  <si>
    <t>% Change in Authorized</t>
  </si>
  <si>
    <t xml:space="preserve">in Total Rate </t>
  </si>
  <si>
    <t>% Change in Pending</t>
  </si>
  <si>
    <t>AL 4004-E</t>
  </si>
  <si>
    <t>Power Adjustment Balancing Account (PABA) Revenue Requirement</t>
  </si>
  <si>
    <t>Power Adjustment Balancing Account (PABA) - Revenue Requirement Departed Load</t>
  </si>
  <si>
    <t>Catastrophic Events Memorandum Account (CEMA)</t>
  </si>
  <si>
    <t>A.22-10-021</t>
  </si>
  <si>
    <t>SYSTEM NET</t>
  </si>
  <si>
    <t>SYSTEM DELIVERED</t>
  </si>
  <si>
    <t>BUNDLED</t>
  </si>
  <si>
    <t>* Methodology authorized in 2019 GRC Phase II; updated annually with new sales forecasts</t>
  </si>
  <si>
    <t>Incremental Rev Req</t>
  </si>
  <si>
    <t>Customer Information System Balancing Account (CISBA)</t>
  </si>
  <si>
    <t>Transition, Stabilization, and Organizational Change Management Balancing Account (TSOBA)</t>
  </si>
  <si>
    <t>GRC Private Letter Ruling (GRC PLR)</t>
  </si>
  <si>
    <t>Disadvantaged Communities – Green Tariff Balancing Account (DACGTBA)</t>
  </si>
  <si>
    <t>Community Solar Green Tariff Balancing Account (CSGTBA)</t>
  </si>
  <si>
    <t>Tree Trimming Balancing Account (TTBA) - 2019</t>
  </si>
  <si>
    <t>Advanced Metering and Demand Response - Targeted Summer Reliability Phase 2 Subaccount</t>
  </si>
  <si>
    <t>Wildfire and Natural Disaster Resiliency Rebuild Program (WNDRR) Amortization</t>
  </si>
  <si>
    <t>Transportation Electrification (TEF)</t>
  </si>
  <si>
    <t>AL 4128-E</t>
  </si>
  <si>
    <t>Power Your Drive Extension Program (PYD 2.0)</t>
  </si>
  <si>
    <t xml:space="preserve">Summary of Selected Data </t>
  </si>
  <si>
    <t xml:space="preserve"> Requirement</t>
  </si>
  <si>
    <t>Current total system-level revenue requirement that is used for defining the reporting threshold:</t>
  </si>
  <si>
    <t>A</t>
  </si>
  <si>
    <t>One-percent reporting threshold</t>
  </si>
  <si>
    <t>List of currently open proceedings that exceed the threshold for use of the affordability metrics (proceedings shaded gray filed prior to D.22-08-023):</t>
  </si>
  <si>
    <t>B</t>
  </si>
  <si>
    <t>C</t>
  </si>
  <si>
    <t>D</t>
  </si>
  <si>
    <t>E</t>
  </si>
  <si>
    <t>List of currently open proceedings for which affordability metrics have been filed:</t>
  </si>
  <si>
    <t>List of currently open proceedings that do not exceed the threshold for use of the affordability metrics (proceedings shaded gray filed prior to D.22-08-023):</t>
  </si>
  <si>
    <t>Total system-level revenue requirement if all pending revenue were granted in full:
requests were granted in full</t>
  </si>
  <si>
    <t>YE 2025</t>
  </si>
  <si>
    <t>Bundled residential average rate (RAR) if all pending revenue were granted in full (from Cost and Rate Tracker (CRT) as submitted by utility):</t>
  </si>
  <si>
    <t>cents/kWh</t>
  </si>
  <si>
    <t>($000)</t>
  </si>
  <si>
    <t>YE 2026</t>
  </si>
  <si>
    <t>YE 2027</t>
  </si>
  <si>
    <t>*This column represents the current authorized revenue requirements as of this submission.</t>
  </si>
  <si>
    <t>Bundled Residential Rate (cents/kWh)</t>
  </si>
  <si>
    <t>Current - Calculated</t>
  </si>
  <si>
    <t>Bundled residential weighted average monthly bill corresponding to RAR above for typical customer in Coastal climate zone using 400 kWh on Basic service (from CRT as submitted by utility):</t>
  </si>
  <si>
    <t>Transportation Electrification Advisory Services (TEAS)</t>
  </si>
  <si>
    <t>Rate design proceeding which does not request incremental revenues; however, pursuant to D.22-08-023, OP 7, the Commission required SDG&amp;E to submit affordability metrics.</t>
  </si>
  <si>
    <t>ERRA Forecast + GHG Costs</t>
  </si>
  <si>
    <t>*</t>
  </si>
  <si>
    <t>2024 GRC P2*</t>
  </si>
  <si>
    <t>Residential Allocation</t>
  </si>
  <si>
    <t>WMPMA</t>
  </si>
  <si>
    <t>A.22-05-016 Track 2</t>
  </si>
  <si>
    <t>Balancing Account Balances frozen at current values</t>
  </si>
  <si>
    <t>Incremental Revenue Requirement with FF&amp;U ($000) - Breakout by Year
Note: values for outer years are held constant for items that request changes only one year in advance</t>
  </si>
  <si>
    <t>Percentage of Income Payment Plan Balancing Account (PIPPBA) - Bundled</t>
  </si>
  <si>
    <t>Percentage of Income Payment Plan Balancing Account (PIPPBA) - CCA</t>
  </si>
  <si>
    <t>BioMat Non-Bypassable Charge Balancing Account (BNBCBA)</t>
  </si>
  <si>
    <t>CT O&amp;M Advisory Program (TEAS)</t>
  </si>
  <si>
    <t>MCAM</t>
  </si>
  <si>
    <t>Microgrid Balancing Account (MGBA)</t>
  </si>
  <si>
    <t>Microgrid Reservation Capacity Component-Standby Charge Suspension Account (MSSA)</t>
  </si>
  <si>
    <t>Essential Use Study Balancing Account (EUSBA)</t>
  </si>
  <si>
    <t>RSBA</t>
  </si>
  <si>
    <t>TACBAA</t>
  </si>
  <si>
    <t>TRBAA</t>
  </si>
  <si>
    <t>2024 GRC Track 2 - Wildfire Mitigation Costs (WMPMA)</t>
  </si>
  <si>
    <t>AL 4344-E</t>
  </si>
  <si>
    <t>Small Commercial</t>
  </si>
  <si>
    <t>Schedule TOU-A</t>
  </si>
  <si>
    <t>On-Peak Summer - Secondary</t>
  </si>
  <si>
    <t xml:space="preserve">Bundled Small Commercial Rev Req </t>
  </si>
  <si>
    <t>Off-Peak Summer - Secondary</t>
  </si>
  <si>
    <t>On-Peak Winter - Secondary</t>
  </si>
  <si>
    <t>Off-Peak Winter - Secondary</t>
  </si>
  <si>
    <t>Bundled Small Commercial Rate (cents/kWh)</t>
  </si>
  <si>
    <t>SCHEDULE TOU-A RATES ($/kWh)</t>
  </si>
  <si>
    <t>NAICS</t>
  </si>
  <si>
    <t>On-Peak - Secondary</t>
  </si>
  <si>
    <t>kWh</t>
  </si>
  <si>
    <t>On-Peak</t>
  </si>
  <si>
    <t>Off-Peak</t>
  </si>
  <si>
    <t>Average Max Demand</t>
  </si>
  <si>
    <t>Off-Peak - Secondary</t>
  </si>
  <si>
    <t>NAICS 531</t>
  </si>
  <si>
    <t>NAICS 621</t>
  </si>
  <si>
    <t>NAICS 722</t>
  </si>
  <si>
    <t>Note: Bill estimates include CPUC fee in the calculations</t>
  </si>
  <si>
    <t>SCHEDULE TOU-A</t>
  </si>
  <si>
    <t>Basic Service Fee</t>
  </si>
  <si>
    <t xml:space="preserve">            0-5 kW</t>
  </si>
  <si>
    <t xml:space="preserve">          5-20 kW</t>
  </si>
  <si>
    <t xml:space="preserve">          20-50 kW</t>
  </si>
  <si>
    <t xml:space="preserve">          &gt;50 kW</t>
  </si>
  <si>
    <t>Small Commercial Allocation</t>
  </si>
  <si>
    <t>Small Commercial Monthly Average Bills</t>
  </si>
  <si>
    <t>Small Commercial Monthly Average Bills - Summer</t>
  </si>
  <si>
    <t>Small Commercial Monthly Average Bills - Winter</t>
  </si>
  <si>
    <t>Small Commercial (TOU-A)</t>
  </si>
  <si>
    <t xml:space="preserve">2023 Recorded Average Basic Bundled Non-CARE Customer </t>
  </si>
  <si>
    <t>YE 2028</t>
  </si>
  <si>
    <t>ERRA BA/Trigger - Departed Load</t>
  </si>
  <si>
    <t>Energy Efficiency (EE) / (Post-1997 Electric Energy Efficiency (PEEE)</t>
  </si>
  <si>
    <t>D.22-12-042, AL 4344-E, A.23-05-013, AL 4300-E</t>
  </si>
  <si>
    <t>D.22-12-042, AL 4344-E, Resolution E-5217, AL 4300-E</t>
  </si>
  <si>
    <t>AL 4344-E, Resolution E-5217</t>
  </si>
  <si>
    <t>D.19-09-051, AL 3352-E, AL 3669-E-A, AL-3808-E, AL 4344-E, Resolution E-5217, A.22-12-008</t>
  </si>
  <si>
    <t>D.23-12-021, AL 4344-E, Resolution E-5217</t>
  </si>
  <si>
    <t>AL 4291-E, AL 4344-E, Resolution E-5217</t>
  </si>
  <si>
    <t>D.14-06-029, AL 4344-E, Resolution E-5217</t>
  </si>
  <si>
    <t>cpuc fee</t>
  </si>
  <si>
    <t>2023-2027 Demand Response (incremental to what is in current balancing accounts)</t>
  </si>
  <si>
    <t>D.23-12-005</t>
  </si>
  <si>
    <t>GRC Track 2 – 2019-2022 WMPMA**</t>
  </si>
  <si>
    <t>**</t>
  </si>
  <si>
    <t>Bundled small commercial average rate (TOU-A) if all pending revenue were granted in full (from Cost and Rate Tracker (CRT) as submitted by utility):</t>
  </si>
  <si>
    <t>California Climate Credit</t>
  </si>
  <si>
    <t>2025 SALES DETERMINANTS</t>
  </si>
  <si>
    <t>D.24-07-013</t>
  </si>
  <si>
    <t>SD REN</t>
  </si>
  <si>
    <t>D.24-08-003</t>
  </si>
  <si>
    <t>AL 4366-E</t>
  </si>
  <si>
    <t>Catastrophic Event Memorandum Account (CEMA)</t>
  </si>
  <si>
    <t>San Diego Regional Energy Network (SDREN)</t>
  </si>
  <si>
    <t>4/12/24 Scoping Memo suspending the program moved this back down to pending</t>
  </si>
  <si>
    <t>ERRA</t>
  </si>
  <si>
    <t>Notable Cost and Rate Tracking Tool Assumptions</t>
  </si>
  <si>
    <t>No CCC</t>
  </si>
  <si>
    <t>With CCC</t>
  </si>
  <si>
    <t>Typical residential average usage kWh/month*</t>
  </si>
  <si>
    <t>*This field is editable for analysis purposes; however, SDG&amp;E's typical Residential usage is 400kWh</t>
  </si>
  <si>
    <t>Residential bills below calculated using Schedule DR, Bundled, Single-Family</t>
  </si>
  <si>
    <t>Basic</t>
  </si>
  <si>
    <t>All-Electric</t>
  </si>
  <si>
    <t>Average monthly usage assumptions:</t>
  </si>
  <si>
    <t>Residential Semi-annual Climate Credit</t>
  </si>
  <si>
    <r>
      <t xml:space="preserve">Average monthly usage below is calculated based on the Baseline Region selected in </t>
    </r>
    <r>
      <rPr>
        <b/>
        <sz val="11"/>
        <color theme="1"/>
        <rFont val="Garamond"/>
        <family val="1"/>
      </rPr>
      <t>D3</t>
    </r>
  </si>
  <si>
    <t>Include in Impact (Y/N)</t>
  </si>
  <si>
    <t>Include CA Climate Credit in Rates &amp; Res. Annual Avg Bills?</t>
  </si>
  <si>
    <t>AL 4507-E</t>
  </si>
  <si>
    <t>2024 Recorded Data - Average Monthly Usage - BASIC kWh</t>
  </si>
  <si>
    <t>Annual Period 2025</t>
  </si>
  <si>
    <t>2024 Recorded Data</t>
  </si>
  <si>
    <t>2024 Recorded Data - Average Monthly Usage - ALL-ELECTRIC kWh</t>
  </si>
  <si>
    <t xml:space="preserve">Diablo Canyon </t>
  </si>
  <si>
    <t>Liability Insurance Premium Balancing Account (LIPBA) Over Limits Sub-Account</t>
  </si>
  <si>
    <t>Statewide Energy Efficiency Bal. Acct. (SWEEBA)</t>
  </si>
  <si>
    <t>Distributed Generation Renewable (DGR) Storage Time Metered Under/(Over) Collection - Distribution</t>
  </si>
  <si>
    <t>Distributed Generation Renewable (DGR) Storage Time Metered Under/(Over) Collection - Commodity</t>
  </si>
  <si>
    <t>2024 Recorded Average Basic Bundled Non-CARE Customer Bill</t>
  </si>
  <si>
    <t xml:space="preserve">2024 Recorded Average All-Electric Bundled Non-CARE Customer </t>
  </si>
  <si>
    <t>2024 Recorded Average Basic Bundled CARE Customer Bill</t>
  </si>
  <si>
    <t xml:space="preserve">2024 Recorded Average All-Electric Bundled CARE Customer </t>
  </si>
  <si>
    <t xml:space="preserve">2024 Recorded Average Basic Bundled Non-CARE Customer </t>
  </si>
  <si>
    <t xml:space="preserve">2024 Recorded Average Basic All-Electric Non-CARE Customer </t>
  </si>
  <si>
    <t xml:space="preserve">2024 Recorded Average Basic All-Electric CARE Customer </t>
  </si>
  <si>
    <t xml:space="preserve">2024 Recorded Average Basic Bundled CARE Customer </t>
  </si>
  <si>
    <t>YE 2029</t>
  </si>
  <si>
    <t>2025-2029</t>
  </si>
  <si>
    <t>Diablo Canyon PP</t>
  </si>
  <si>
    <t xml:space="preserve"> </t>
  </si>
  <si>
    <t>N/A</t>
  </si>
  <si>
    <t>D.24-12-040, D.24-12-074 D.24-10-008, AL 4553-E, AL 4588-E</t>
  </si>
  <si>
    <t>CARE Line-Item Discount</t>
  </si>
  <si>
    <t>Present</t>
  </si>
  <si>
    <t>Adjustments (ex. CARE and FERA Discounts)</t>
  </si>
  <si>
    <t>Total Adj</t>
  </si>
  <si>
    <t>Adjustments</t>
  </si>
  <si>
    <t>Res. Allocation</t>
  </si>
  <si>
    <t>Small Comm. Allocation</t>
  </si>
  <si>
    <r>
      <t xml:space="preserve">Average monthly usage is for all customers based on seasonal usage in </t>
    </r>
    <r>
      <rPr>
        <b/>
        <sz val="11"/>
        <color theme="1"/>
        <rFont val="Garamond"/>
        <family val="1"/>
      </rPr>
      <t>2024</t>
    </r>
  </si>
  <si>
    <t>Incremental revenue requirement from 2026-2029.</t>
  </si>
  <si>
    <t>Bundled small commercial weighted average monthly bill corresponding to TOU-A above (from CRT as submitted by utility):</t>
  </si>
  <si>
    <t>New</t>
  </si>
  <si>
    <t>SB 410</t>
  </si>
  <si>
    <t>2024-2031</t>
  </si>
  <si>
    <t>2026-2029</t>
  </si>
  <si>
    <t>AL 4588-E</t>
  </si>
  <si>
    <t>6/1/25</t>
  </si>
  <si>
    <t>Non-Officer Compensation</t>
  </si>
  <si>
    <t>2024-2027</t>
  </si>
  <si>
    <t>ERRA 2026 Forecast</t>
  </si>
  <si>
    <t>2/1/2025</t>
  </si>
  <si>
    <t>A.25-04-014</t>
  </si>
  <si>
    <t>A.25-04-015</t>
  </si>
  <si>
    <t>GRC P1 Track 3 - WMPMA</t>
  </si>
  <si>
    <t>A.22-05-015 / 016 Track 3</t>
  </si>
  <si>
    <t>AL 4628-E/3410-G, AL 4628-E-A / 3410-G-A</t>
  </si>
  <si>
    <t>Advice Letter</t>
  </si>
  <si>
    <t>2026 Cost of Capital</t>
  </si>
  <si>
    <t>A.25-03-013</t>
  </si>
  <si>
    <t>A.22-05-015 / 016 Track 2</t>
  </si>
  <si>
    <t>A.25-03-015</t>
  </si>
  <si>
    <t>2026 Public Purpose Program (PPP)</t>
  </si>
  <si>
    <t>Annual</t>
  </si>
  <si>
    <t>2026 Regulatory Accounts</t>
  </si>
  <si>
    <t>GRC P1 Track 2 - WMPMA</t>
  </si>
  <si>
    <t>2026 SALES DETERMINANTS</t>
  </si>
  <si>
    <t>2027-2032</t>
  </si>
  <si>
    <t>Rate Impact for Year (2025-2029)</t>
  </si>
  <si>
    <t>AL 4653-E*</t>
  </si>
  <si>
    <t>A.25-05-012</t>
  </si>
  <si>
    <t>GRC P1 Track 3 - WMPMA***</t>
  </si>
  <si>
    <t>***</t>
  </si>
  <si>
    <t>Incremental revenue requirement from 2027-2029.</t>
  </si>
  <si>
    <t>AL 4129-E</t>
  </si>
  <si>
    <t>Reporting Date: Quarter Ended September 30</t>
  </si>
  <si>
    <t>2026 Cost of Capital - Late-Filed Exhibit</t>
  </si>
  <si>
    <t>A.23-01-008 - PD received 8/13/2025</t>
  </si>
  <si>
    <t>Rebuttal Testimony</t>
  </si>
  <si>
    <t>2026 ERRA</t>
  </si>
  <si>
    <t>F</t>
  </si>
  <si>
    <t>D.24-10-008, D.24-12-074, AL 4553-E</t>
  </si>
  <si>
    <t>D.24-12-074, AL 4588-E</t>
  </si>
  <si>
    <t>D.24-12-074, AL 4588-E, D.24-12-074, AL 4588-E</t>
  </si>
  <si>
    <t>D.24-12-040, AL 4588-E</t>
  </si>
  <si>
    <t>D.24-12-040, AL 4588-E, Resolution E-5217</t>
  </si>
  <si>
    <t>AL 4588-E, Resolution E-5217</t>
  </si>
  <si>
    <t>D.24-06-003</t>
  </si>
  <si>
    <t>A.23-05-010</t>
  </si>
  <si>
    <t>D.24-12-040</t>
  </si>
  <si>
    <t>D.24-08-001, D.24-12-040</t>
  </si>
  <si>
    <t>D.24-12-001</t>
  </si>
  <si>
    <t>D.21-07-028, AL 4233-E, Resolution E-5300</t>
  </si>
  <si>
    <t>D.24-02-010</t>
  </si>
  <si>
    <t>D.24-07-013, AL 4507-E/3345-G, AL 4588-E</t>
  </si>
  <si>
    <t>D.19-09-051, D.22-12-031, D.24-10-008, AL 4078-E, AL 4078-E-A, AL 4553-E</t>
  </si>
  <si>
    <t>D.19-08-026, D.22-12-031,  D.24-10-008, AL 3489-E-A, AL 4553-E</t>
  </si>
  <si>
    <t>D.19-11-017, D.22-12-031, D.24-10-008, AL 3480-E-A, AL 4553-E</t>
  </si>
  <si>
    <t>D.19-08-026, D.22-12-031, D.24-10-008, AL 3489-E-A, AL 4553-E</t>
  </si>
  <si>
    <t>AL 4511-E/3342-G</t>
  </si>
  <si>
    <t>D.21-04-014, D.22-12-031, D.24-10-008, AL 3765-E, AL 3765-E-A, AL 4553-E</t>
  </si>
  <si>
    <t>D.08-02-034, AL 2209-E, AL 4588-E</t>
  </si>
  <si>
    <t>D.08-02-034, AL 2069-E, AL 4588-E</t>
  </si>
  <si>
    <t>D.14-01-002, AL 4588-E</t>
  </si>
  <si>
    <t>D.12-12-004, AL 2816-E, AL 4588-E</t>
  </si>
  <si>
    <t>AL 4504-E</t>
  </si>
  <si>
    <t>D.20-01-021</t>
  </si>
  <si>
    <t>AL 4504-E, AL 4588-E, Resolution E-5217</t>
  </si>
  <si>
    <t>AL 4285-E, AL 4588-E, Resolution E-5217</t>
  </si>
  <si>
    <t>D.14-06-029, AL 4588-E, Resolution E-5217</t>
  </si>
  <si>
    <t>D.24-12-040, AL 4504-E</t>
  </si>
  <si>
    <t>D.24-08-003, AL 4507-E, AL 4504-E</t>
  </si>
  <si>
    <t>D.23-12-036, D.24-12-033, AL 4504-E</t>
  </si>
  <si>
    <t>D.19-12-021, AL 4504-E</t>
  </si>
  <si>
    <t>D.21-07-010, AL 2209-E, AL 4319-E, AL 4588-E</t>
  </si>
  <si>
    <t>ER25-270-000</t>
  </si>
  <si>
    <t>ER25-405-000</t>
  </si>
  <si>
    <t>ER25-218-000</t>
  </si>
  <si>
    <t>ER25-694-000</t>
  </si>
  <si>
    <t>SDG&amp;E Electric Revenue Requirement List</t>
  </si>
  <si>
    <t>Submitted September 2,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</si>
</sst>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1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;@"/>
    <numFmt numFmtId="165" formatCode="0.0%"/>
    <numFmt numFmtId="166" formatCode="#.00"/>
    <numFmt numFmtId="167" formatCode="#,##0."/>
    <numFmt numFmtId="168" formatCode="&quot;$&quot;#."/>
    <numFmt numFmtId="169" formatCode="0.00_)"/>
    <numFmt numFmtId="170" formatCode="#,##0.00&quot; $&quot;;\-#,##0.00&quot; $&quot;"/>
    <numFmt numFmtId="171" formatCode="m\-d\-yy"/>
    <numFmt numFmtId="172" formatCode="_(* #,##0_);_(* \(#,##0\);_(* &quot;-&quot;??_);_(@_)"/>
    <numFmt numFmtId="173" formatCode="_(&quot;$&quot;* #,##0_);_(&quot;$&quot;* \(#,##0\);_(&quot;$&quot;* &quot;-&quot;??_);_(@_)"/>
    <numFmt numFmtId="174" formatCode="#,##0.0"/>
    <numFmt numFmtId="175" formatCode="_(* #,##0.000000_);_(* \(#,##0.000000\);_(* &quot;-&quot;??_);_(@_)"/>
    <numFmt numFmtId="176" formatCode="#,##0.00000_);[Red]\(#,##0.00000\)"/>
    <numFmt numFmtId="177" formatCode="0.00000"/>
    <numFmt numFmtId="178" formatCode="0.0"/>
    <numFmt numFmtId="179" formatCode="_(* #,##0.000_);_(* \(#,##0.000\);_(* &quot;-&quot;??_);_(@_)"/>
    <numFmt numFmtId="180" formatCode="General_)"/>
    <numFmt numFmtId="181" formatCode="&quot;$&quot;#,##0.00000"/>
    <numFmt numFmtId="182" formatCode="#,##0.00000_);\(#,##0.00000\)"/>
    <numFmt numFmtId="183" formatCode="_(* #,##0.00000_);_(* \(#,##0.00000\);_(* &quot;-&quot;??_);_(@_)"/>
    <numFmt numFmtId="184" formatCode="0.000"/>
    <numFmt numFmtId="185" formatCode="0.0000"/>
    <numFmt numFmtId="186" formatCode="0.00_);\(0.00\)"/>
    <numFmt numFmtId="187" formatCode="[$-F800]dddd\,\ mmmm\ dd\,\ yyyy"/>
    <numFmt numFmtId="188" formatCode="0.0000000000"/>
    <numFmt numFmtId="189" formatCode="_-* #,##0.0_-;\-* #,##0.0_-;_-* &quot;-&quot;??_-;_-@_-"/>
    <numFmt numFmtId="190" formatCode="&quot;$&quot;#,##0.00"/>
    <numFmt numFmtId="191" formatCode="&quot;$&quot;#,##0"/>
    <numFmt numFmtId="192" formatCode="#,##0.000_);[Red]\(#,##0.000\)"/>
    <numFmt numFmtId="193" formatCode="#,##0.000"/>
    <numFmt numFmtId="194" formatCode="#,##0.000_);\(#,##0.000\)"/>
    <numFmt numFmtId="195" formatCode="#,##0.000000_);\(#,##0.000000\)"/>
    <numFmt numFmtId="196" formatCode="0.00000_);\(0.00000\)"/>
    <numFmt numFmtId="197" formatCode="_(* #,##0.0000_);_(* \(#,##0.0000\);_(* &quot;-&quot;??_);_(@_)"/>
    <numFmt numFmtId="198" formatCode="_(* #,##0.0_);_(* \(#,##0.0\);_(* &quot;-&quot;??_);_(@_)"/>
  </numFmts>
  <fonts count="6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MS Sans Serif"/>
      <family val="2"/>
    </font>
    <font>
      <sz val="1"/>
      <color indexed="8"/>
      <name val="Courier"/>
      <family val="3"/>
    </font>
    <font>
      <sz val="8"/>
      <name val="Arial"/>
      <family val="2"/>
    </font>
    <font>
      <b/>
      <u/>
      <sz val="11"/>
      <color indexed="37"/>
      <name val="Arial"/>
      <family val="2"/>
    </font>
    <font>
      <sz val="10"/>
      <color indexed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8"/>
      <color indexed="12"/>
      <name val="Arial"/>
      <family val="2"/>
    </font>
    <font>
      <sz val="12"/>
      <name val="Garamond"/>
      <family val="1"/>
    </font>
    <font>
      <b/>
      <sz val="12"/>
      <name val="Garamond"/>
      <family val="1"/>
    </font>
    <font>
      <sz val="10"/>
      <name val="Garamond"/>
      <family val="1"/>
    </font>
    <font>
      <sz val="11"/>
      <color theme="1"/>
      <name val="Garamond"/>
      <family val="1"/>
    </font>
    <font>
      <b/>
      <sz val="10"/>
      <name val="Garamond"/>
      <family val="1"/>
    </font>
    <font>
      <sz val="10"/>
      <color indexed="10"/>
      <name val="Garamond"/>
      <family val="1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3333FF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Garamond"/>
      <family val="1"/>
    </font>
    <font>
      <b/>
      <sz val="11"/>
      <name val="Garamond"/>
      <family val="1"/>
    </font>
    <font>
      <b/>
      <sz val="11"/>
      <color theme="1"/>
      <name val="Garamond"/>
      <family val="1"/>
    </font>
    <font>
      <sz val="11"/>
      <color rgb="FF3333FF"/>
      <name val="Garamond"/>
      <family val="1"/>
    </font>
    <font>
      <b/>
      <sz val="11"/>
      <color rgb="FF008AF2"/>
      <name val="Calibri"/>
      <family val="2"/>
      <scheme val="minor"/>
    </font>
    <font>
      <b/>
      <sz val="11"/>
      <color theme="8"/>
      <name val="Calibri"/>
      <family val="2"/>
      <scheme val="minor"/>
    </font>
    <font>
      <b/>
      <sz val="12"/>
      <color rgb="FFFF0000"/>
      <name val="Garamond"/>
      <family val="1"/>
    </font>
    <font>
      <b/>
      <sz val="12"/>
      <color rgb="FF3333FF"/>
      <name val="Garamond"/>
      <family val="1"/>
    </font>
    <font>
      <sz val="12"/>
      <color theme="1"/>
      <name val="Garamond"/>
      <family val="1"/>
    </font>
    <font>
      <b/>
      <sz val="11"/>
      <color rgb="FF3333FF"/>
      <name val="Garamond"/>
      <family val="1"/>
    </font>
    <font>
      <sz val="12"/>
      <color rgb="FFFF0000"/>
      <name val="Garamond"/>
      <family val="1"/>
    </font>
    <font>
      <u/>
      <sz val="10"/>
      <name val="Garamond"/>
      <family val="1"/>
    </font>
    <font>
      <sz val="12"/>
      <color rgb="FFFF0000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color rgb="FFFF0000"/>
      <name val="Arial"/>
      <family val="2"/>
    </font>
    <font>
      <sz val="11"/>
      <color rgb="FFFF0000"/>
      <name val="Garamond"/>
      <family val="1"/>
    </font>
    <font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sz val="10"/>
      <color rgb="FF0000FF"/>
      <name val="Arial"/>
      <family val="2"/>
    </font>
    <font>
      <sz val="14"/>
      <color rgb="FFFF0000"/>
      <name val="Garamond"/>
      <family val="1"/>
    </font>
    <font>
      <sz val="10"/>
      <color theme="1"/>
      <name val="Arial"/>
      <family val="2"/>
    </font>
    <font>
      <b/>
      <i/>
      <sz val="16"/>
      <name val="Helv"/>
      <family val="2"/>
    </font>
    <font>
      <sz val="10"/>
      <name val="Geneva"/>
      <family val="2"/>
    </font>
    <font>
      <sz val="11"/>
      <name val="??"/>
      <family val="3"/>
      <charset val="129"/>
    </font>
    <font>
      <sz val="10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sz val="11"/>
      <color theme="0" tint="-0.249977111117893"/>
      <name val="Calibri"/>
      <family val="2"/>
      <scheme val="minor"/>
    </font>
    <font>
      <b/>
      <sz val="11"/>
      <color theme="9" tint="-0.249977111117893"/>
      <name val="Garamond"/>
      <family val="1"/>
    </font>
    <font>
      <sz val="11"/>
      <color theme="9" tint="-0.249977111117893"/>
      <name val="Garamond"/>
      <family val="1"/>
    </font>
    <font>
      <b/>
      <sz val="12"/>
      <color theme="9" tint="-0.249977111117893"/>
      <name val="Garamond"/>
      <family val="1"/>
    </font>
    <font>
      <sz val="11"/>
      <color theme="2" tint="-9.9978637043366805E-2"/>
      <name val="Garamond"/>
      <family val="1"/>
    </font>
    <font>
      <sz val="11"/>
      <color theme="2" tint="-9.9978637043366805E-2"/>
      <name val="Calibri"/>
      <family val="2"/>
      <scheme val="minor"/>
    </font>
    <font>
      <b/>
      <sz val="8"/>
      <name val="Arial"/>
      <family val="2"/>
    </font>
    <font>
      <sz val="10"/>
      <color rgb="FFFF0000"/>
      <name val="Garamond"/>
      <family val="1"/>
    </font>
    <font>
      <b/>
      <sz val="11"/>
      <color rgb="FFFF0000"/>
      <name val="Garamond"/>
      <family val="1"/>
    </font>
    <font>
      <sz val="11"/>
      <color theme="0" tint="-0.34998626667073579"/>
      <name val="Calibri"/>
      <family val="2"/>
      <scheme val="minor"/>
    </font>
    <font>
      <sz val="11"/>
      <color theme="1"/>
      <name val="Calibri"/>
      <family val="2"/>
    </font>
    <font>
      <sz val="9"/>
      <name val="Arial"/>
      <family val="2"/>
    </font>
    <font>
      <u/>
      <sz val="11"/>
      <color theme="10"/>
      <name val="Calibri"/>
      <family val="2"/>
      <scheme val="minor"/>
    </font>
    <font>
      <sz val="11"/>
      <color rgb="FF242424"/>
      <name val="Calibri"/>
      <family val="2"/>
    </font>
    <font>
      <b/>
      <sz val="14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strike/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theme="1"/>
        <bgColor indexed="64"/>
      </patternFill>
    </fill>
  </fills>
  <borders count="43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</borders>
  <cellStyleXfs count="71">
    <xf numFmtId="0" fontId="0" fillId="0" borderId="0"/>
    <xf numFmtId="0" fontId="2" fillId="0" borderId="0"/>
    <xf numFmtId="171" fontId="3" fillId="2" borderId="2">
      <alignment horizontal="center" vertical="center"/>
    </xf>
    <xf numFmtId="43" fontId="2" fillId="0" borderId="0" applyFont="0" applyFill="0" applyBorder="0" applyAlignment="0" applyProtection="0"/>
    <xf numFmtId="167" fontId="5" fillId="0" borderId="0">
      <protection locked="0"/>
    </xf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8" fontId="5" fillId="0" borderId="0">
      <protection locked="0"/>
    </xf>
    <xf numFmtId="0" fontId="5" fillId="0" borderId="0">
      <protection locked="0"/>
    </xf>
    <xf numFmtId="166" fontId="5" fillId="0" borderId="0">
      <protection locked="0"/>
    </xf>
    <xf numFmtId="38" fontId="6" fillId="3" borderId="0" applyNumberFormat="0" applyBorder="0" applyAlignment="0" applyProtection="0"/>
    <xf numFmtId="0" fontId="7" fillId="0" borderId="0" applyNumberFormat="0" applyFill="0" applyBorder="0" applyAlignment="0" applyProtection="0"/>
    <xf numFmtId="0" fontId="5" fillId="0" borderId="0">
      <protection locked="0"/>
    </xf>
    <xf numFmtId="0" fontId="5" fillId="0" borderId="0">
      <protection locked="0"/>
    </xf>
    <xf numFmtId="170" fontId="2" fillId="0" borderId="0">
      <protection locked="0"/>
    </xf>
    <xf numFmtId="170" fontId="2" fillId="0" borderId="0">
      <protection locked="0"/>
    </xf>
    <xf numFmtId="0" fontId="8" fillId="0" borderId="3" applyNumberFormat="0" applyFill="0" applyAlignment="0" applyProtection="0"/>
    <xf numFmtId="10" fontId="6" fillId="4" borderId="4" applyNumberFormat="0" applyBorder="0" applyAlignment="0" applyProtection="0"/>
    <xf numFmtId="37" fontId="9" fillId="0" borderId="0"/>
    <xf numFmtId="169" fontId="10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5">
      <protection locked="0"/>
    </xf>
    <xf numFmtId="37" fontId="6" fillId="5" borderId="0" applyNumberFormat="0" applyBorder="0" applyAlignment="0" applyProtection="0"/>
    <xf numFmtId="37" fontId="6" fillId="0" borderId="0"/>
    <xf numFmtId="37" fontId="6" fillId="5" borderId="0" applyNumberFormat="0" applyBorder="0" applyAlignment="0" applyProtection="0"/>
    <xf numFmtId="3" fontId="11" fillId="0" borderId="3" applyProtection="0"/>
    <xf numFmtId="0" fontId="2" fillId="0" borderId="0"/>
    <xf numFmtId="0" fontId="4" fillId="0" borderId="0"/>
    <xf numFmtId="9" fontId="4" fillId="0" borderId="0" applyFont="0" applyFill="0" applyBorder="0" applyAlignment="0" applyProtection="0"/>
    <xf numFmtId="0" fontId="2" fillId="0" borderId="0"/>
    <xf numFmtId="44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4" fillId="0" borderId="0"/>
    <xf numFmtId="0" fontId="2" fillId="0" borderId="0"/>
    <xf numFmtId="180" fontId="6" fillId="0" borderId="0"/>
    <xf numFmtId="9" fontId="45" fillId="0" borderId="0" applyFont="0" applyFill="0" applyBorder="0" applyAlignment="0" applyProtection="0"/>
    <xf numFmtId="44" fontId="18" fillId="0" borderId="0" applyFont="0" applyFill="0" applyBorder="0" applyAlignment="0" applyProtection="0"/>
    <xf numFmtId="42" fontId="45" fillId="0" borderId="0" applyFont="0" applyFill="0" applyBorder="0" applyAlignment="0" applyProtection="0"/>
    <xf numFmtId="43" fontId="18" fillId="0" borderId="0" applyFont="0" applyFill="0" applyBorder="0" applyAlignment="0" applyProtection="0"/>
    <xf numFmtId="41" fontId="45" fillId="0" borderId="0" applyFont="0" applyFill="0" applyBorder="0" applyAlignment="0" applyProtection="0"/>
    <xf numFmtId="0" fontId="6" fillId="3" borderId="0" applyNumberFormat="0" applyBorder="0" applyAlignment="0" applyProtection="0"/>
    <xf numFmtId="0" fontId="6" fillId="4" borderId="4" applyNumberFormat="0" applyBorder="0" applyAlignment="0" applyProtection="0"/>
    <xf numFmtId="169" fontId="46" fillId="0" borderId="0"/>
    <xf numFmtId="0" fontId="6" fillId="5" borderId="0" applyNumberFormat="0" applyBorder="0" applyAlignment="0" applyProtection="0"/>
    <xf numFmtId="0" fontId="18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188" fontId="47" fillId="2" borderId="2">
      <alignment horizontal="center" vertical="center"/>
    </xf>
    <xf numFmtId="6" fontId="48" fillId="0" borderId="0">
      <protection locked="0"/>
    </xf>
    <xf numFmtId="189" fontId="2" fillId="0" borderId="0">
      <protection locked="0"/>
    </xf>
    <xf numFmtId="0" fontId="2" fillId="0" borderId="0"/>
    <xf numFmtId="0" fontId="2" fillId="0" borderId="0"/>
    <xf numFmtId="180" fontId="6" fillId="0" borderId="0"/>
    <xf numFmtId="188" fontId="47" fillId="2" borderId="2">
      <alignment horizontal="center" vertical="center"/>
    </xf>
    <xf numFmtId="0" fontId="2" fillId="0" borderId="0"/>
    <xf numFmtId="0" fontId="62" fillId="0" borderId="0"/>
    <xf numFmtId="0" fontId="18" fillId="0" borderId="0"/>
    <xf numFmtId="0" fontId="63" fillId="0" borderId="0" applyNumberFormat="0" applyFill="0" applyBorder="0" applyAlignment="0" applyProtection="0"/>
    <xf numFmtId="0" fontId="18" fillId="0" borderId="0"/>
    <xf numFmtId="0" fontId="61" fillId="0" borderId="0"/>
    <xf numFmtId="43" fontId="2" fillId="0" borderId="0" applyFont="0" applyFill="0" applyBorder="0" applyAlignment="0" applyProtection="0"/>
  </cellStyleXfs>
  <cellXfs count="623">
    <xf numFmtId="0" fontId="0" fillId="0" borderId="0" xfId="0"/>
    <xf numFmtId="0" fontId="12" fillId="0" borderId="0" xfId="0" applyFont="1"/>
    <xf numFmtId="43" fontId="12" fillId="0" borderId="0" xfId="0" applyNumberFormat="1" applyFont="1"/>
    <xf numFmtId="3" fontId="12" fillId="0" borderId="0" xfId="0" applyNumberFormat="1" applyFont="1" applyAlignment="1">
      <alignment horizontal="center"/>
    </xf>
    <xf numFmtId="38" fontId="12" fillId="0" borderId="0" xfId="0" applyNumberFormat="1" applyFont="1" applyAlignment="1">
      <alignment horizontal="center"/>
    </xf>
    <xf numFmtId="10" fontId="12" fillId="0" borderId="0" xfId="25" applyNumberFormat="1" applyFont="1" applyAlignment="1">
      <alignment horizontal="center"/>
    </xf>
    <xf numFmtId="0" fontId="15" fillId="0" borderId="0" xfId="0" applyFont="1"/>
    <xf numFmtId="0" fontId="14" fillId="0" borderId="0" xfId="20" applyFont="1"/>
    <xf numFmtId="44" fontId="15" fillId="0" borderId="0" xfId="6" applyFont="1" applyBorder="1"/>
    <xf numFmtId="165" fontId="15" fillId="0" borderId="0" xfId="24" applyNumberFormat="1" applyFont="1" applyBorder="1"/>
    <xf numFmtId="0" fontId="15" fillId="0" borderId="0" xfId="0" applyFont="1" applyAlignment="1">
      <alignment horizontal="left" vertical="top"/>
    </xf>
    <xf numFmtId="0" fontId="0" fillId="0" borderId="1" xfId="0" applyBorder="1" applyAlignment="1">
      <alignment wrapText="1"/>
    </xf>
    <xf numFmtId="37" fontId="0" fillId="0" borderId="0" xfId="0" applyNumberFormat="1"/>
    <xf numFmtId="5" fontId="0" fillId="0" borderId="0" xfId="0" applyNumberFormat="1"/>
    <xf numFmtId="5" fontId="19" fillId="0" borderId="0" xfId="0" applyNumberFormat="1" applyFont="1"/>
    <xf numFmtId="3" fontId="0" fillId="0" borderId="0" xfId="0" applyNumberFormat="1"/>
    <xf numFmtId="164" fontId="0" fillId="0" borderId="0" xfId="0" applyNumberFormat="1" applyAlignment="1">
      <alignment horizontal="left"/>
    </xf>
    <xf numFmtId="164" fontId="0" fillId="0" borderId="0" xfId="0" applyNumberFormat="1"/>
    <xf numFmtId="0" fontId="1" fillId="0" borderId="0" xfId="0" applyFont="1"/>
    <xf numFmtId="0" fontId="0" fillId="0" borderId="1" xfId="0" applyBorder="1"/>
    <xf numFmtId="0" fontId="12" fillId="0" borderId="0" xfId="0" applyFont="1" applyAlignment="1">
      <alignment horizontal="center"/>
    </xf>
    <xf numFmtId="3" fontId="1" fillId="0" borderId="0" xfId="0" applyNumberFormat="1" applyFont="1"/>
    <xf numFmtId="0" fontId="22" fillId="0" borderId="0" xfId="0" applyFont="1"/>
    <xf numFmtId="172" fontId="0" fillId="0" borderId="0" xfId="0" applyNumberFormat="1"/>
    <xf numFmtId="172" fontId="0" fillId="0" borderId="0" xfId="39" applyNumberFormat="1" applyFont="1"/>
    <xf numFmtId="172" fontId="0" fillId="0" borderId="0" xfId="39" applyNumberFormat="1" applyFont="1" applyFill="1"/>
    <xf numFmtId="41" fontId="0" fillId="0" borderId="0" xfId="0" applyNumberFormat="1"/>
    <xf numFmtId="0" fontId="0" fillId="0" borderId="0" xfId="0" applyAlignment="1">
      <alignment horizontal="right"/>
    </xf>
    <xf numFmtId="173" fontId="0" fillId="0" borderId="0" xfId="35" applyNumberFormat="1" applyFont="1"/>
    <xf numFmtId="41" fontId="0" fillId="0" borderId="0" xfId="39" applyNumberFormat="1" applyFont="1" applyBorder="1"/>
    <xf numFmtId="172" fontId="0" fillId="0" borderId="0" xfId="39" applyNumberFormat="1" applyFont="1" applyBorder="1"/>
    <xf numFmtId="0" fontId="0" fillId="0" borderId="7" xfId="0" applyBorder="1"/>
    <xf numFmtId="0" fontId="0" fillId="0" borderId="7" xfId="0" applyBorder="1" applyAlignment="1">
      <alignment wrapText="1"/>
    </xf>
    <xf numFmtId="0" fontId="0" fillId="0" borderId="0" xfId="0" applyAlignment="1">
      <alignment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17" fontId="0" fillId="0" borderId="0" xfId="0" applyNumberFormat="1"/>
    <xf numFmtId="41" fontId="0" fillId="0" borderId="0" xfId="0" applyNumberFormat="1" applyAlignment="1">
      <alignment horizontal="center"/>
    </xf>
    <xf numFmtId="173" fontId="0" fillId="0" borderId="0" xfId="35" applyNumberFormat="1" applyFont="1" applyBorder="1"/>
    <xf numFmtId="37" fontId="1" fillId="0" borderId="0" xfId="0" applyNumberFormat="1" applyFont="1"/>
    <xf numFmtId="0" fontId="25" fillId="0" borderId="0" xfId="1" applyFont="1" applyAlignment="1">
      <alignment horizontal="center"/>
    </xf>
    <xf numFmtId="0" fontId="26" fillId="0" borderId="0" xfId="1" applyFont="1"/>
    <xf numFmtId="0" fontId="25" fillId="0" borderId="0" xfId="1" applyFont="1"/>
    <xf numFmtId="0" fontId="25" fillId="0" borderId="0" xfId="1" applyFont="1" applyAlignment="1">
      <alignment horizontal="right"/>
    </xf>
    <xf numFmtId="15" fontId="25" fillId="0" borderId="0" xfId="1" applyNumberFormat="1" applyFont="1"/>
    <xf numFmtId="0" fontId="25" fillId="0" borderId="0" xfId="0" applyFont="1"/>
    <xf numFmtId="0" fontId="25" fillId="0" borderId="0" xfId="0" applyFont="1" applyAlignment="1">
      <alignment horizontal="right"/>
    </xf>
    <xf numFmtId="1" fontId="25" fillId="7" borderId="4" xfId="1" applyNumberFormat="1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27" fillId="0" borderId="7" xfId="0" applyFont="1" applyBorder="1"/>
    <xf numFmtId="0" fontId="0" fillId="0" borderId="0" xfId="0" applyAlignment="1">
      <alignment horizontal="left"/>
    </xf>
    <xf numFmtId="9" fontId="15" fillId="0" borderId="0" xfId="40" applyFont="1" applyFill="1" applyBorder="1" applyAlignment="1">
      <alignment horizontal="center"/>
    </xf>
    <xf numFmtId="0" fontId="15" fillId="0" borderId="0" xfId="0" applyFont="1" applyAlignment="1">
      <alignment horizontal="right"/>
    </xf>
    <xf numFmtId="0" fontId="15" fillId="0" borderId="4" xfId="0" applyFont="1" applyBorder="1"/>
    <xf numFmtId="0" fontId="28" fillId="0" borderId="0" xfId="0" applyFont="1" applyAlignment="1">
      <alignment horizontal="center"/>
    </xf>
    <xf numFmtId="14" fontId="25" fillId="0" borderId="4" xfId="1" quotePrefix="1" applyNumberFormat="1" applyFont="1" applyBorder="1" applyAlignment="1">
      <alignment horizontal="center" wrapText="1"/>
    </xf>
    <xf numFmtId="0" fontId="25" fillId="0" borderId="4" xfId="1" applyFont="1" applyBorder="1" applyAlignment="1">
      <alignment horizontal="center" wrapText="1"/>
    </xf>
    <xf numFmtId="0" fontId="25" fillId="0" borderId="17" xfId="1" applyFont="1" applyBorder="1" applyAlignment="1">
      <alignment horizontal="center" wrapText="1"/>
    </xf>
    <xf numFmtId="174" fontId="25" fillId="0" borderId="21" xfId="1" applyNumberFormat="1" applyFont="1" applyBorder="1" applyAlignment="1">
      <alignment horizontal="center"/>
    </xf>
    <xf numFmtId="165" fontId="25" fillId="0" borderId="22" xfId="25" applyNumberFormat="1" applyFont="1" applyFill="1" applyBorder="1" applyAlignment="1">
      <alignment horizontal="center"/>
    </xf>
    <xf numFmtId="165" fontId="25" fillId="0" borderId="23" xfId="25" applyNumberFormat="1" applyFont="1" applyFill="1" applyBorder="1" applyAlignment="1">
      <alignment horizontal="center"/>
    </xf>
    <xf numFmtId="174" fontId="25" fillId="0" borderId="27" xfId="1" applyNumberFormat="1" applyFont="1" applyBorder="1" applyAlignment="1">
      <alignment horizontal="center"/>
    </xf>
    <xf numFmtId="165" fontId="25" fillId="0" borderId="27" xfId="25" applyNumberFormat="1" applyFont="1" applyFill="1" applyBorder="1" applyAlignment="1">
      <alignment horizontal="center"/>
    </xf>
    <xf numFmtId="165" fontId="25" fillId="0" borderId="28" xfId="25" applyNumberFormat="1" applyFont="1" applyFill="1" applyBorder="1" applyAlignment="1">
      <alignment horizontal="center"/>
    </xf>
    <xf numFmtId="174" fontId="15" fillId="0" borderId="0" xfId="0" applyNumberFormat="1" applyFont="1"/>
    <xf numFmtId="0" fontId="25" fillId="0" borderId="18" xfId="1" applyFont="1" applyBorder="1" applyAlignment="1">
      <alignment horizontal="center"/>
    </xf>
    <xf numFmtId="0" fontId="25" fillId="0" borderId="1" xfId="1" applyFont="1" applyBorder="1" applyAlignment="1">
      <alignment horizontal="center"/>
    </xf>
    <xf numFmtId="165" fontId="25" fillId="0" borderId="22" xfId="22" applyNumberFormat="1" applyFont="1" applyFill="1" applyBorder="1" applyAlignment="1">
      <alignment horizontal="center"/>
    </xf>
    <xf numFmtId="165" fontId="25" fillId="0" borderId="21" xfId="22" applyNumberFormat="1" applyFont="1" applyFill="1" applyBorder="1" applyAlignment="1">
      <alignment horizontal="center"/>
    </xf>
    <xf numFmtId="165" fontId="25" fillId="0" borderId="23" xfId="22" applyNumberFormat="1" applyFont="1" applyFill="1" applyBorder="1" applyAlignment="1">
      <alignment horizontal="center"/>
    </xf>
    <xf numFmtId="165" fontId="25" fillId="0" borderId="27" xfId="22" applyNumberFormat="1" applyFont="1" applyFill="1" applyBorder="1" applyAlignment="1">
      <alignment horizontal="center"/>
    </xf>
    <xf numFmtId="165" fontId="25" fillId="0" borderId="28" xfId="22" applyNumberFormat="1" applyFont="1" applyFill="1" applyBorder="1" applyAlignment="1">
      <alignment horizontal="center"/>
    </xf>
    <xf numFmtId="0" fontId="0" fillId="8" borderId="0" xfId="0" applyFill="1"/>
    <xf numFmtId="0" fontId="1" fillId="8" borderId="0" xfId="0" applyFont="1" applyFill="1"/>
    <xf numFmtId="3" fontId="1" fillId="8" borderId="6" xfId="0" applyNumberFormat="1" applyFont="1" applyFill="1" applyBorder="1"/>
    <xf numFmtId="37" fontId="0" fillId="7" borderId="0" xfId="0" applyNumberFormat="1" applyFill="1"/>
    <xf numFmtId="0" fontId="0" fillId="7" borderId="0" xfId="0" applyFill="1"/>
    <xf numFmtId="5" fontId="19" fillId="7" borderId="0" xfId="0" applyNumberFormat="1" applyFont="1" applyFill="1"/>
    <xf numFmtId="0" fontId="30" fillId="7" borderId="0" xfId="0" applyFont="1" applyFill="1" applyAlignment="1">
      <alignment horizontal="right"/>
    </xf>
    <xf numFmtId="0" fontId="31" fillId="0" borderId="0" xfId="0" applyFont="1" applyAlignment="1">
      <alignment horizontal="center" wrapText="1"/>
    </xf>
    <xf numFmtId="0" fontId="26" fillId="0" borderId="0" xfId="1" applyFont="1" applyAlignment="1">
      <alignment horizontal="right"/>
    </xf>
    <xf numFmtId="0" fontId="26" fillId="0" borderId="7" xfId="1" applyFont="1" applyBorder="1" applyAlignment="1">
      <alignment horizontal="center"/>
    </xf>
    <xf numFmtId="0" fontId="15" fillId="0" borderId="0" xfId="0" applyFont="1" applyAlignment="1">
      <alignment vertical="top" wrapText="1"/>
    </xf>
    <xf numFmtId="172" fontId="25" fillId="0" borderId="0" xfId="3" applyNumberFormat="1" applyFont="1" applyFill="1" applyBorder="1" applyAlignment="1">
      <alignment horizontal="center"/>
    </xf>
    <xf numFmtId="0" fontId="12" fillId="0" borderId="0" xfId="0" applyFont="1" applyAlignment="1">
      <alignment horizontal="center" wrapText="1"/>
    </xf>
    <xf numFmtId="0" fontId="12" fillId="0" borderId="31" xfId="0" applyFont="1" applyBorder="1" applyAlignment="1">
      <alignment horizontal="center" wrapText="1"/>
    </xf>
    <xf numFmtId="10" fontId="12" fillId="9" borderId="0" xfId="24" applyNumberFormat="1" applyFont="1" applyFill="1" applyAlignment="1">
      <alignment horizontal="center"/>
    </xf>
    <xf numFmtId="165" fontId="12" fillId="0" borderId="0" xfId="24" applyNumberFormat="1" applyFont="1" applyAlignment="1">
      <alignment horizontal="center"/>
    </xf>
    <xf numFmtId="0" fontId="14" fillId="0" borderId="0" xfId="1" applyFont="1"/>
    <xf numFmtId="0" fontId="32" fillId="0" borderId="0" xfId="0" applyFont="1"/>
    <xf numFmtId="172" fontId="12" fillId="0" borderId="0" xfId="0" applyNumberFormat="1" applyFont="1" applyAlignment="1">
      <alignment horizontal="center"/>
    </xf>
    <xf numFmtId="172" fontId="12" fillId="0" borderId="0" xfId="3" applyNumberFormat="1" applyFont="1" applyFill="1"/>
    <xf numFmtId="172" fontId="25" fillId="0" borderId="0" xfId="3" applyNumberFormat="1" applyFont="1" applyBorder="1" applyAlignment="1">
      <alignment horizontal="center" wrapText="1"/>
    </xf>
    <xf numFmtId="0" fontId="32" fillId="0" borderId="0" xfId="0" applyFont="1" applyAlignment="1">
      <alignment horizontal="center"/>
    </xf>
    <xf numFmtId="9" fontId="33" fillId="0" borderId="0" xfId="40" applyFont="1" applyAlignment="1">
      <alignment horizontal="right"/>
    </xf>
    <xf numFmtId="0" fontId="12" fillId="0" borderId="32" xfId="0" applyFont="1" applyBorder="1" applyAlignment="1">
      <alignment horizontal="center"/>
    </xf>
    <xf numFmtId="172" fontId="12" fillId="0" borderId="32" xfId="3" applyNumberFormat="1" applyFont="1" applyBorder="1"/>
    <xf numFmtId="172" fontId="12" fillId="0" borderId="30" xfId="3" applyNumberFormat="1" applyFont="1" applyBorder="1"/>
    <xf numFmtId="172" fontId="12" fillId="9" borderId="0" xfId="0" applyNumberFormat="1" applyFont="1" applyFill="1" applyAlignment="1">
      <alignment horizontal="center"/>
    </xf>
    <xf numFmtId="43" fontId="15" fillId="0" borderId="0" xfId="0" applyNumberFormat="1" applyFont="1"/>
    <xf numFmtId="172" fontId="12" fillId="0" borderId="0" xfId="3" applyNumberFormat="1" applyFont="1" applyFill="1" applyBorder="1"/>
    <xf numFmtId="175" fontId="15" fillId="0" borderId="0" xfId="0" applyNumberFormat="1" applyFont="1"/>
    <xf numFmtId="43" fontId="12" fillId="0" borderId="0" xfId="0" applyNumberFormat="1" applyFont="1" applyAlignment="1">
      <alignment horizont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4" fillId="0" borderId="0" xfId="0" applyFont="1"/>
    <xf numFmtId="4" fontId="14" fillId="0" borderId="0" xfId="0" applyNumberFormat="1" applyFont="1" applyAlignment="1">
      <alignment horizontal="right" vertical="center"/>
    </xf>
    <xf numFmtId="0" fontId="12" fillId="0" borderId="0" xfId="0" applyFont="1" applyAlignment="1">
      <alignment horizontal="right"/>
    </xf>
    <xf numFmtId="10" fontId="12" fillId="0" borderId="0" xfId="24" applyNumberFormat="1" applyFont="1"/>
    <xf numFmtId="172" fontId="12" fillId="0" borderId="0" xfId="3" applyNumberFormat="1" applyFont="1"/>
    <xf numFmtId="0" fontId="14" fillId="0" borderId="0" xfId="0" applyFont="1" applyAlignment="1">
      <alignment horizontal="right" vertical="center"/>
    </xf>
    <xf numFmtId="0" fontId="27" fillId="0" borderId="0" xfId="0" applyFont="1"/>
    <xf numFmtId="0" fontId="26" fillId="0" borderId="0" xfId="0" applyFont="1" applyAlignment="1">
      <alignment horizontal="center" wrapText="1"/>
    </xf>
    <xf numFmtId="0" fontId="15" fillId="0" borderId="0" xfId="0" applyFont="1" applyAlignment="1">
      <alignment horizontal="center" wrapText="1"/>
    </xf>
    <xf numFmtId="176" fontId="25" fillId="0" borderId="0" xfId="41" applyNumberFormat="1" applyFont="1" applyAlignment="1" applyProtection="1">
      <alignment horizontal="left"/>
      <protection locked="0"/>
    </xf>
    <xf numFmtId="176" fontId="26" fillId="0" borderId="0" xfId="42" applyNumberFormat="1" applyFont="1" applyAlignment="1">
      <alignment horizontal="right"/>
    </xf>
    <xf numFmtId="177" fontId="12" fillId="9" borderId="0" xfId="0" applyNumberFormat="1" applyFont="1" applyFill="1"/>
    <xf numFmtId="173" fontId="12" fillId="0" borderId="0" xfId="35" applyNumberFormat="1" applyFont="1"/>
    <xf numFmtId="178" fontId="12" fillId="0" borderId="0" xfId="0" applyNumberFormat="1" applyFont="1" applyAlignment="1">
      <alignment horizontal="center"/>
    </xf>
    <xf numFmtId="176" fontId="25" fillId="0" borderId="0" xfId="42" quotePrefix="1" applyNumberFormat="1" applyFont="1" applyAlignment="1">
      <alignment horizontal="right"/>
    </xf>
    <xf numFmtId="3" fontId="15" fillId="0" borderId="0" xfId="0" applyNumberFormat="1" applyFont="1"/>
    <xf numFmtId="178" fontId="35" fillId="0" borderId="0" xfId="0" applyNumberFormat="1" applyFont="1"/>
    <xf numFmtId="177" fontId="12" fillId="0" borderId="0" xfId="0" applyNumberFormat="1" applyFont="1"/>
    <xf numFmtId="178" fontId="12" fillId="0" borderId="0" xfId="0" applyNumberFormat="1" applyFont="1"/>
    <xf numFmtId="177" fontId="12" fillId="0" borderId="0" xfId="0" applyNumberFormat="1" applyFont="1" applyAlignment="1">
      <alignment horizontal="center"/>
    </xf>
    <xf numFmtId="176" fontId="25" fillId="0" borderId="0" xfId="41" applyNumberFormat="1" applyFont="1" applyAlignment="1" applyProtection="1">
      <alignment horizontal="right"/>
      <protection locked="0"/>
    </xf>
    <xf numFmtId="178" fontId="15" fillId="0" borderId="0" xfId="0" applyNumberFormat="1" applyFont="1"/>
    <xf numFmtId="0" fontId="36" fillId="0" borderId="0" xfId="20" applyFont="1"/>
    <xf numFmtId="17" fontId="16" fillId="0" borderId="0" xfId="20" applyNumberFormat="1" applyFont="1" applyAlignment="1">
      <alignment horizontal="center" wrapText="1"/>
    </xf>
    <xf numFmtId="0" fontId="15" fillId="0" borderId="4" xfId="0" applyFont="1" applyBorder="1" applyAlignment="1">
      <alignment wrapText="1"/>
    </xf>
    <xf numFmtId="0" fontId="15" fillId="0" borderId="4" xfId="0" applyFont="1" applyBorder="1" applyAlignment="1">
      <alignment horizontal="center" vertical="top" wrapText="1"/>
    </xf>
    <xf numFmtId="0" fontId="14" fillId="0" borderId="7" xfId="20" applyFont="1" applyBorder="1" applyAlignment="1">
      <alignment horizontal="right"/>
    </xf>
    <xf numFmtId="14" fontId="16" fillId="0" borderId="7" xfId="20" quotePrefix="1" applyNumberFormat="1" applyFont="1" applyBorder="1" applyAlignment="1">
      <alignment horizontal="right"/>
    </xf>
    <xf numFmtId="17" fontId="16" fillId="0" borderId="7" xfId="20" applyNumberFormat="1" applyFont="1" applyBorder="1" applyAlignment="1">
      <alignment horizontal="center" wrapText="1"/>
    </xf>
    <xf numFmtId="0" fontId="15" fillId="0" borderId="7" xfId="0" applyFont="1" applyBorder="1"/>
    <xf numFmtId="0" fontId="14" fillId="0" borderId="0" xfId="20" applyFont="1" applyAlignment="1">
      <alignment horizontal="right"/>
    </xf>
    <xf numFmtId="177" fontId="15" fillId="9" borderId="0" xfId="6" applyNumberFormat="1" applyFont="1" applyFill="1"/>
    <xf numFmtId="177" fontId="15" fillId="0" borderId="0" xfId="6" applyNumberFormat="1" applyFont="1" applyFill="1"/>
    <xf numFmtId="177" fontId="15" fillId="0" borderId="0" xfId="6" applyNumberFormat="1" applyFont="1"/>
    <xf numFmtId="0" fontId="15" fillId="0" borderId="21" xfId="0" applyFont="1" applyBorder="1"/>
    <xf numFmtId="1" fontId="15" fillId="9" borderId="22" xfId="0" applyNumberFormat="1" applyFont="1" applyFill="1" applyBorder="1"/>
    <xf numFmtId="165" fontId="0" fillId="0" borderId="0" xfId="40" applyNumberFormat="1" applyFont="1" applyFill="1"/>
    <xf numFmtId="0" fontId="15" fillId="0" borderId="22" xfId="0" applyFont="1" applyBorder="1"/>
    <xf numFmtId="165" fontId="0" fillId="0" borderId="0" xfId="40" applyNumberFormat="1" applyFont="1" applyFill="1" applyBorder="1"/>
    <xf numFmtId="44" fontId="15" fillId="0" borderId="0" xfId="6" applyFont="1" applyFill="1" applyBorder="1"/>
    <xf numFmtId="0" fontId="15" fillId="0" borderId="9" xfId="0" applyFont="1" applyBorder="1"/>
    <xf numFmtId="1" fontId="15" fillId="9" borderId="9" xfId="0" applyNumberFormat="1" applyFont="1" applyFill="1" applyBorder="1"/>
    <xf numFmtId="1" fontId="17" fillId="0" borderId="0" xfId="20" applyNumberFormat="1" applyFont="1"/>
    <xf numFmtId="1" fontId="14" fillId="0" borderId="0" xfId="20" applyNumberFormat="1" applyFont="1"/>
    <xf numFmtId="1" fontId="26" fillId="0" borderId="0" xfId="0" applyNumberFormat="1" applyFont="1" applyAlignment="1">
      <alignment horizontal="center" wrapText="1"/>
    </xf>
    <xf numFmtId="1" fontId="15" fillId="0" borderId="0" xfId="0" applyNumberFormat="1" applyFont="1"/>
    <xf numFmtId="0" fontId="1" fillId="0" borderId="1" xfId="0" applyFont="1" applyBorder="1"/>
    <xf numFmtId="0" fontId="1" fillId="0" borderId="1" xfId="0" applyFont="1" applyBorder="1" applyAlignment="1">
      <alignment wrapText="1"/>
    </xf>
    <xf numFmtId="10" fontId="12" fillId="0" borderId="0" xfId="24" applyNumberFormat="1" applyFont="1" applyAlignment="1">
      <alignment horizontal="center"/>
    </xf>
    <xf numFmtId="9" fontId="15" fillId="0" borderId="0" xfId="40" applyFont="1"/>
    <xf numFmtId="172" fontId="25" fillId="11" borderId="0" xfId="3" applyNumberFormat="1" applyFont="1" applyFill="1" applyBorder="1" applyAlignment="1">
      <alignment horizontal="center"/>
    </xf>
    <xf numFmtId="3" fontId="15" fillId="11" borderId="0" xfId="0" applyNumberFormat="1" applyFont="1" applyFill="1"/>
    <xf numFmtId="1" fontId="15" fillId="11" borderId="0" xfId="0" applyNumberFormat="1" applyFont="1" applyFill="1"/>
    <xf numFmtId="44" fontId="27" fillId="0" borderId="0" xfId="6" applyFont="1" applyFill="1" applyBorder="1"/>
    <xf numFmtId="165" fontId="15" fillId="0" borderId="0" xfId="24" applyNumberFormat="1" applyFont="1" applyFill="1" applyBorder="1"/>
    <xf numFmtId="44" fontId="15" fillId="12" borderId="0" xfId="6" applyFont="1" applyFill="1" applyBorder="1"/>
    <xf numFmtId="44" fontId="25" fillId="0" borderId="22" xfId="1" applyNumberFormat="1" applyFont="1" applyBorder="1" applyAlignment="1">
      <alignment horizontal="center"/>
    </xf>
    <xf numFmtId="44" fontId="25" fillId="0" borderId="30" xfId="1" applyNumberFormat="1" applyFont="1" applyBorder="1" applyAlignment="1">
      <alignment horizontal="center"/>
    </xf>
    <xf numFmtId="44" fontId="25" fillId="0" borderId="27" xfId="1" applyNumberFormat="1" applyFont="1" applyBorder="1" applyAlignment="1">
      <alignment horizontal="center"/>
    </xf>
    <xf numFmtId="44" fontId="25" fillId="0" borderId="25" xfId="1" applyNumberFormat="1" applyFont="1" applyBorder="1" applyAlignment="1">
      <alignment horizontal="center"/>
    </xf>
    <xf numFmtId="1" fontId="15" fillId="0" borderId="9" xfId="0" applyNumberFormat="1" applyFont="1" applyBorder="1"/>
    <xf numFmtId="1" fontId="15" fillId="0" borderId="4" xfId="0" applyNumberFormat="1" applyFont="1" applyBorder="1"/>
    <xf numFmtId="10" fontId="12" fillId="9" borderId="0" xfId="40" applyNumberFormat="1" applyFont="1" applyFill="1" applyAlignment="1">
      <alignment horizontal="center"/>
    </xf>
    <xf numFmtId="10" fontId="15" fillId="0" borderId="0" xfId="40" applyNumberFormat="1" applyFont="1"/>
    <xf numFmtId="6" fontId="12" fillId="0" borderId="0" xfId="0" applyNumberFormat="1" applyFont="1"/>
    <xf numFmtId="0" fontId="15" fillId="10" borderId="0" xfId="0" applyFont="1" applyFill="1"/>
    <xf numFmtId="179" fontId="12" fillId="0" borderId="0" xfId="3" applyNumberFormat="1" applyFont="1" applyFill="1"/>
    <xf numFmtId="0" fontId="0" fillId="13" borderId="0" xfId="0" applyFill="1"/>
    <xf numFmtId="172" fontId="15" fillId="0" borderId="0" xfId="39" applyNumberFormat="1" applyFont="1" applyFill="1"/>
    <xf numFmtId="177" fontId="12" fillId="0" borderId="0" xfId="0" applyNumberFormat="1" applyFont="1" applyAlignment="1">
      <alignment horizontal="right"/>
    </xf>
    <xf numFmtId="0" fontId="14" fillId="10" borderId="0" xfId="20" applyFont="1" applyFill="1" applyAlignment="1">
      <alignment horizontal="right"/>
    </xf>
    <xf numFmtId="177" fontId="15" fillId="10" borderId="0" xfId="6" applyNumberFormat="1" applyFont="1" applyFill="1"/>
    <xf numFmtId="172" fontId="40" fillId="0" borderId="0" xfId="0" applyNumberFormat="1" applyFont="1"/>
    <xf numFmtId="0" fontId="40" fillId="0" borderId="0" xfId="0" applyFont="1" applyAlignment="1">
      <alignment horizontal="center"/>
    </xf>
    <xf numFmtId="14" fontId="26" fillId="0" borderId="0" xfId="0" applyNumberFormat="1" applyFont="1" applyAlignment="1">
      <alignment horizontal="center" wrapText="1"/>
    </xf>
    <xf numFmtId="49" fontId="25" fillId="0" borderId="4" xfId="1" quotePrefix="1" applyNumberFormat="1" applyFont="1" applyBorder="1" applyAlignment="1">
      <alignment horizontal="center" wrapText="1"/>
    </xf>
    <xf numFmtId="0" fontId="26" fillId="0" borderId="0" xfId="1" applyFont="1" applyAlignment="1">
      <alignment horizontal="center"/>
    </xf>
    <xf numFmtId="172" fontId="15" fillId="0" borderId="0" xfId="0" applyNumberFormat="1" applyFont="1"/>
    <xf numFmtId="14" fontId="0" fillId="0" borderId="0" xfId="0" applyNumberFormat="1" applyAlignment="1">
      <alignment horizontal="left"/>
    </xf>
    <xf numFmtId="3" fontId="1" fillId="0" borderId="6" xfId="0" applyNumberFormat="1" applyFont="1" applyBorder="1"/>
    <xf numFmtId="173" fontId="0" fillId="0" borderId="0" xfId="35" applyNumberFormat="1" applyFont="1" applyFill="1"/>
    <xf numFmtId="5" fontId="23" fillId="0" borderId="0" xfId="0" applyNumberFormat="1" applyFont="1"/>
    <xf numFmtId="37" fontId="0" fillId="0" borderId="0" xfId="0" applyNumberFormat="1" applyAlignment="1">
      <alignment horizontal="center"/>
    </xf>
    <xf numFmtId="172" fontId="18" fillId="0" borderId="0" xfId="39" applyNumberFormat="1" applyFont="1" applyFill="1"/>
    <xf numFmtId="43" fontId="0" fillId="7" borderId="0" xfId="39" applyFont="1" applyFill="1" applyAlignment="1">
      <alignment horizontal="right"/>
    </xf>
    <xf numFmtId="0" fontId="0" fillId="7" borderId="0" xfId="0" applyFill="1" applyAlignment="1">
      <alignment horizontal="right"/>
    </xf>
    <xf numFmtId="5" fontId="19" fillId="7" borderId="0" xfId="0" applyNumberFormat="1" applyFont="1" applyFill="1" applyAlignment="1">
      <alignment horizontal="right"/>
    </xf>
    <xf numFmtId="172" fontId="25" fillId="0" borderId="0" xfId="3" applyNumberFormat="1" applyFont="1" applyAlignment="1">
      <alignment horizontal="center"/>
    </xf>
    <xf numFmtId="9" fontId="15" fillId="0" borderId="0" xfId="40" applyFont="1" applyAlignment="1">
      <alignment horizontal="center"/>
    </xf>
    <xf numFmtId="0" fontId="28" fillId="0" borderId="26" xfId="0" applyFont="1" applyBorder="1" applyAlignment="1">
      <alignment horizontal="center"/>
    </xf>
    <xf numFmtId="0" fontId="26" fillId="0" borderId="29" xfId="1" applyFont="1" applyBorder="1"/>
    <xf numFmtId="0" fontId="25" fillId="0" borderId="36" xfId="1" applyFont="1" applyBorder="1" applyAlignment="1">
      <alignment horizontal="center" wrapText="1"/>
    </xf>
    <xf numFmtId="0" fontId="25" fillId="0" borderId="29" xfId="1" applyFont="1" applyBorder="1" applyAlignment="1">
      <alignment horizontal="center" wrapText="1"/>
    </xf>
    <xf numFmtId="0" fontId="25" fillId="0" borderId="0" xfId="1" applyFont="1" applyAlignment="1">
      <alignment horizontal="center" wrapText="1"/>
    </xf>
    <xf numFmtId="172" fontId="25" fillId="0" borderId="7" xfId="3" applyNumberFormat="1" applyFont="1" applyBorder="1" applyAlignment="1">
      <alignment horizontal="center"/>
    </xf>
    <xf numFmtId="172" fontId="25" fillId="0" borderId="0" xfId="3" applyNumberFormat="1" applyFont="1" applyAlignment="1">
      <alignment horizontal="center" wrapText="1"/>
    </xf>
    <xf numFmtId="10" fontId="12" fillId="9" borderId="32" xfId="40" applyNumberFormat="1" applyFont="1" applyFill="1" applyBorder="1" applyAlignment="1">
      <alignment horizontal="center"/>
    </xf>
    <xf numFmtId="0" fontId="15" fillId="14" borderId="0" xfId="0" applyFont="1" applyFill="1"/>
    <xf numFmtId="43" fontId="12" fillId="0" borderId="0" xfId="3" applyFont="1"/>
    <xf numFmtId="0" fontId="12" fillId="0" borderId="32" xfId="0" applyFont="1" applyBorder="1"/>
    <xf numFmtId="172" fontId="15" fillId="0" borderId="0" xfId="39" applyNumberFormat="1" applyFont="1"/>
    <xf numFmtId="165" fontId="0" fillId="0" borderId="0" xfId="40" applyNumberFormat="1" applyFont="1" applyAlignment="1">
      <alignment horizontal="right"/>
    </xf>
    <xf numFmtId="0" fontId="14" fillId="14" borderId="0" xfId="20" applyFont="1" applyFill="1" applyAlignment="1">
      <alignment horizontal="right"/>
    </xf>
    <xf numFmtId="177" fontId="15" fillId="14" borderId="0" xfId="6" applyNumberFormat="1" applyFont="1" applyFill="1"/>
    <xf numFmtId="165" fontId="0" fillId="0" borderId="0" xfId="40" applyNumberFormat="1" applyFont="1"/>
    <xf numFmtId="44" fontId="15" fillId="0" borderId="0" xfId="6" applyFont="1"/>
    <xf numFmtId="165" fontId="15" fillId="0" borderId="0" xfId="24" applyNumberFormat="1" applyFont="1"/>
    <xf numFmtId="44" fontId="15" fillId="12" borderId="0" xfId="6" applyFont="1" applyFill="1"/>
    <xf numFmtId="44" fontId="27" fillId="0" borderId="0" xfId="6" applyFont="1"/>
    <xf numFmtId="9" fontId="33" fillId="0" borderId="0" xfId="40" applyFont="1" applyFill="1" applyAlignment="1">
      <alignment horizontal="right"/>
    </xf>
    <xf numFmtId="174" fontId="25" fillId="0" borderId="20" xfId="1" applyNumberFormat="1" applyFont="1" applyBorder="1" applyAlignment="1">
      <alignment horizontal="center"/>
    </xf>
    <xf numFmtId="174" fontId="25" fillId="0" borderId="25" xfId="1" applyNumberFormat="1" applyFont="1" applyBorder="1" applyAlignment="1">
      <alignment horizontal="center"/>
    </xf>
    <xf numFmtId="14" fontId="25" fillId="0" borderId="21" xfId="1" quotePrefix="1" applyNumberFormat="1" applyFont="1" applyBorder="1" applyAlignment="1">
      <alignment horizontal="center" wrapText="1"/>
    </xf>
    <xf numFmtId="0" fontId="15" fillId="0" borderId="21" xfId="0" applyFont="1" applyBorder="1" applyAlignment="1">
      <alignment horizontal="right"/>
    </xf>
    <xf numFmtId="0" fontId="15" fillId="0" borderId="22" xfId="0" applyFont="1" applyBorder="1" applyAlignment="1">
      <alignment horizontal="right"/>
    </xf>
    <xf numFmtId="0" fontId="15" fillId="0" borderId="9" xfId="0" applyFont="1" applyBorder="1" applyAlignment="1">
      <alignment horizontal="right"/>
    </xf>
    <xf numFmtId="172" fontId="35" fillId="0" borderId="0" xfId="39" applyNumberFormat="1" applyFont="1"/>
    <xf numFmtId="37" fontId="15" fillId="0" borderId="0" xfId="0" applyNumberFormat="1" applyFont="1"/>
    <xf numFmtId="0" fontId="41" fillId="7" borderId="0" xfId="0" applyFont="1" applyFill="1"/>
    <xf numFmtId="43" fontId="41" fillId="0" borderId="0" xfId="0" applyNumberFormat="1" applyFont="1"/>
    <xf numFmtId="17" fontId="0" fillId="0" borderId="0" xfId="0" applyNumberFormat="1" applyAlignment="1">
      <alignment horizontal="left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172" fontId="43" fillId="0" borderId="9" xfId="3" applyNumberFormat="1" applyFont="1" applyFill="1" applyBorder="1" applyAlignment="1">
      <alignment horizontal="right"/>
    </xf>
    <xf numFmtId="43" fontId="0" fillId="0" borderId="0" xfId="39" applyFont="1" applyFill="1"/>
    <xf numFmtId="10" fontId="12" fillId="9" borderId="0" xfId="40" applyNumberFormat="1" applyFont="1" applyFill="1" applyAlignment="1">
      <alignment horizontal="right"/>
    </xf>
    <xf numFmtId="177" fontId="15" fillId="9" borderId="31" xfId="6" applyNumberFormat="1" applyFont="1" applyFill="1" applyBorder="1"/>
    <xf numFmtId="2" fontId="15" fillId="0" borderId="0" xfId="24" applyNumberFormat="1" applyFont="1" applyFill="1" applyBorder="1"/>
    <xf numFmtId="181" fontId="15" fillId="0" borderId="0" xfId="0" applyNumberFormat="1" applyFont="1"/>
    <xf numFmtId="37" fontId="1" fillId="8" borderId="6" xfId="0" applyNumberFormat="1" applyFont="1" applyFill="1" applyBorder="1"/>
    <xf numFmtId="177" fontId="1" fillId="0" borderId="0" xfId="0" applyNumberFormat="1" applyFont="1"/>
    <xf numFmtId="177" fontId="0" fillId="0" borderId="0" xfId="0" applyNumberFormat="1"/>
    <xf numFmtId="172" fontId="0" fillId="6" borderId="0" xfId="39" applyNumberFormat="1" applyFont="1" applyFill="1"/>
    <xf numFmtId="182" fontId="0" fillId="0" borderId="0" xfId="0" applyNumberFormat="1"/>
    <xf numFmtId="183" fontId="12" fillId="0" borderId="0" xfId="0" applyNumberFormat="1" applyFont="1"/>
    <xf numFmtId="177" fontId="15" fillId="0" borderId="0" xfId="0" applyNumberFormat="1" applyFont="1"/>
    <xf numFmtId="172" fontId="12" fillId="0" borderId="0" xfId="39" applyNumberFormat="1" applyFont="1" applyFill="1" applyAlignment="1">
      <alignment horizontal="center"/>
    </xf>
    <xf numFmtId="0" fontId="12" fillId="0" borderId="21" xfId="0" applyFont="1" applyBorder="1" applyAlignment="1">
      <alignment horizontal="center"/>
    </xf>
    <xf numFmtId="172" fontId="12" fillId="0" borderId="22" xfId="3" applyNumberFormat="1" applyFont="1" applyFill="1" applyBorder="1"/>
    <xf numFmtId="43" fontId="15" fillId="7" borderId="0" xfId="39" applyFont="1" applyFill="1"/>
    <xf numFmtId="0" fontId="15" fillId="7" borderId="0" xfId="0" applyFont="1" applyFill="1"/>
    <xf numFmtId="5" fontId="25" fillId="7" borderId="0" xfId="0" applyNumberFormat="1" applyFont="1" applyFill="1"/>
    <xf numFmtId="0" fontId="25" fillId="0" borderId="8" xfId="1" applyFont="1" applyBorder="1" applyAlignment="1">
      <alignment horizontal="center"/>
    </xf>
    <xf numFmtId="14" fontId="25" fillId="0" borderId="4" xfId="1" applyNumberFormat="1" applyFont="1" applyBorder="1" applyAlignment="1">
      <alignment horizontal="center" wrapText="1"/>
    </xf>
    <xf numFmtId="0" fontId="44" fillId="0" borderId="0" xfId="0" applyFont="1"/>
    <xf numFmtId="0" fontId="44" fillId="0" borderId="0" xfId="20" applyFont="1"/>
    <xf numFmtId="184" fontId="12" fillId="0" borderId="0" xfId="0" applyNumberFormat="1" applyFont="1"/>
    <xf numFmtId="185" fontId="12" fillId="0" borderId="0" xfId="0" applyNumberFormat="1" applyFont="1"/>
    <xf numFmtId="172" fontId="12" fillId="0" borderId="0" xfId="39" applyNumberFormat="1" applyFont="1" applyFill="1"/>
    <xf numFmtId="38" fontId="15" fillId="0" borderId="0" xfId="0" applyNumberFormat="1" applyFont="1"/>
    <xf numFmtId="0" fontId="34" fillId="0" borderId="0" xfId="0" applyFont="1"/>
    <xf numFmtId="177" fontId="15" fillId="0" borderId="0" xfId="6" applyNumberFormat="1" applyFont="1" applyFill="1" applyBorder="1"/>
    <xf numFmtId="44" fontId="15" fillId="0" borderId="0" xfId="6" applyFont="1" applyFill="1"/>
    <xf numFmtId="44" fontId="27" fillId="0" borderId="0" xfId="6" applyFont="1" applyFill="1"/>
    <xf numFmtId="0" fontId="27" fillId="0" borderId="0" xfId="0" applyFont="1" applyAlignment="1">
      <alignment wrapText="1"/>
    </xf>
    <xf numFmtId="181" fontId="15" fillId="0" borderId="0" xfId="0" applyNumberFormat="1" applyFont="1" applyAlignment="1">
      <alignment horizontal="center"/>
    </xf>
    <xf numFmtId="6" fontId="0" fillId="0" borderId="0" xfId="0" applyNumberFormat="1"/>
    <xf numFmtId="37" fontId="0" fillId="6" borderId="0" xfId="0" applyNumberFormat="1" applyFill="1"/>
    <xf numFmtId="0" fontId="25" fillId="0" borderId="29" xfId="1" applyFont="1" applyBorder="1" applyAlignment="1">
      <alignment horizontal="right"/>
    </xf>
    <xf numFmtId="0" fontId="25" fillId="0" borderId="30" xfId="1" applyFont="1" applyBorder="1" applyAlignment="1">
      <alignment horizontal="right"/>
    </xf>
    <xf numFmtId="17" fontId="15" fillId="0" borderId="0" xfId="6" applyNumberFormat="1" applyFont="1" applyAlignment="1">
      <alignment horizontal="center"/>
    </xf>
    <xf numFmtId="17" fontId="15" fillId="0" borderId="0" xfId="6" quotePrefix="1" applyNumberFormat="1" applyFont="1" applyAlignment="1">
      <alignment horizontal="center"/>
    </xf>
    <xf numFmtId="44" fontId="15" fillId="0" borderId="0" xfId="0" applyNumberFormat="1" applyFont="1"/>
    <xf numFmtId="165" fontId="25" fillId="0" borderId="40" xfId="22" applyNumberFormat="1" applyFont="1" applyFill="1" applyBorder="1" applyAlignment="1">
      <alignment horizontal="center"/>
    </xf>
    <xf numFmtId="165" fontId="25" fillId="0" borderId="30" xfId="40" applyNumberFormat="1" applyFont="1" applyFill="1" applyBorder="1" applyAlignment="1">
      <alignment horizontal="center"/>
    </xf>
    <xf numFmtId="165" fontId="25" fillId="0" borderId="42" xfId="22" applyNumberFormat="1" applyFont="1" applyFill="1" applyBorder="1" applyAlignment="1">
      <alignment horizontal="center"/>
    </xf>
    <xf numFmtId="165" fontId="25" fillId="0" borderId="25" xfId="40" applyNumberFormat="1" applyFont="1" applyFill="1" applyBorder="1" applyAlignment="1">
      <alignment horizontal="center"/>
    </xf>
    <xf numFmtId="165" fontId="25" fillId="0" borderId="38" xfId="22" applyNumberFormat="1" applyFont="1" applyFill="1" applyBorder="1" applyAlignment="1">
      <alignment horizontal="center"/>
    </xf>
    <xf numFmtId="165" fontId="25" fillId="0" borderId="27" xfId="40" applyNumberFormat="1" applyFont="1" applyFill="1" applyBorder="1" applyAlignment="1">
      <alignment horizontal="center"/>
    </xf>
    <xf numFmtId="0" fontId="15" fillId="0" borderId="7" xfId="0" applyFont="1" applyBorder="1" applyAlignment="1">
      <alignment horizontal="center"/>
    </xf>
    <xf numFmtId="2" fontId="15" fillId="0" borderId="0" xfId="0" applyNumberFormat="1" applyFont="1"/>
    <xf numFmtId="186" fontId="15" fillId="0" borderId="0" xfId="0" applyNumberFormat="1" applyFont="1"/>
    <xf numFmtId="39" fontId="15" fillId="0" borderId="0" xfId="0" applyNumberFormat="1" applyFont="1"/>
    <xf numFmtId="9" fontId="12" fillId="0" borderId="0" xfId="40" applyFont="1"/>
    <xf numFmtId="10" fontId="12" fillId="0" borderId="0" xfId="40" applyNumberFormat="1" applyFont="1"/>
    <xf numFmtId="10" fontId="14" fillId="0" borderId="0" xfId="40" applyNumberFormat="1" applyFont="1"/>
    <xf numFmtId="2" fontId="15" fillId="0" borderId="0" xfId="40" applyNumberFormat="1" applyFont="1" applyBorder="1"/>
    <xf numFmtId="10" fontId="15" fillId="0" borderId="0" xfId="40" applyNumberFormat="1" applyFont="1" applyBorder="1"/>
    <xf numFmtId="43" fontId="12" fillId="0" borderId="0" xfId="0" applyNumberFormat="1" applyFont="1" applyAlignment="1">
      <alignment horizontal="right"/>
    </xf>
    <xf numFmtId="43" fontId="15" fillId="0" borderId="0" xfId="39" applyFont="1"/>
    <xf numFmtId="184" fontId="15" fillId="0" borderId="0" xfId="0" applyNumberFormat="1" applyFont="1"/>
    <xf numFmtId="0" fontId="13" fillId="0" borderId="0" xfId="0" applyFont="1"/>
    <xf numFmtId="0" fontId="25" fillId="11" borderId="4" xfId="1" applyFont="1" applyFill="1" applyBorder="1" applyAlignment="1">
      <alignment horizontal="center"/>
    </xf>
    <xf numFmtId="0" fontId="15" fillId="11" borderId="0" xfId="0" applyFont="1" applyFill="1" applyAlignment="1">
      <alignment horizontal="right"/>
    </xf>
    <xf numFmtId="0" fontId="15" fillId="11" borderId="7" xfId="0" applyFont="1" applyFill="1" applyBorder="1" applyAlignment="1">
      <alignment horizontal="right"/>
    </xf>
    <xf numFmtId="172" fontId="12" fillId="11" borderId="0" xfId="3" applyNumberFormat="1" applyFont="1" applyFill="1"/>
    <xf numFmtId="0" fontId="41" fillId="0" borderId="0" xfId="0" applyFont="1" applyAlignment="1">
      <alignment horizontal="center"/>
    </xf>
    <xf numFmtId="44" fontId="41" fillId="0" borderId="0" xfId="0" applyNumberFormat="1" applyFont="1" applyAlignment="1">
      <alignment horizontal="center"/>
    </xf>
    <xf numFmtId="0" fontId="0" fillId="0" borderId="7" xfId="0" applyBorder="1" applyAlignment="1">
      <alignment horizontal="left" wrapText="1"/>
    </xf>
    <xf numFmtId="3" fontId="41" fillId="0" borderId="0" xfId="0" applyNumberFormat="1" applyFont="1"/>
    <xf numFmtId="0" fontId="38" fillId="0" borderId="0" xfId="0" applyFont="1" applyAlignment="1">
      <alignment vertical="center"/>
    </xf>
    <xf numFmtId="172" fontId="37" fillId="0" borderId="0" xfId="0" applyNumberFormat="1" applyFont="1" applyAlignment="1">
      <alignment vertical="center"/>
    </xf>
    <xf numFmtId="187" fontId="25" fillId="0" borderId="4" xfId="1" applyNumberFormat="1" applyFont="1" applyBorder="1" applyAlignment="1">
      <alignment horizontal="center" wrapText="1"/>
    </xf>
    <xf numFmtId="164" fontId="49" fillId="0" borderId="0" xfId="0" applyNumberFormat="1" applyFont="1" applyAlignment="1">
      <alignment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1" fillId="0" borderId="0" xfId="0" applyFont="1"/>
    <xf numFmtId="0" fontId="0" fillId="0" borderId="8" xfId="0" applyBorder="1" applyAlignment="1">
      <alignment horizontal="left" wrapText="1"/>
    </xf>
    <xf numFmtId="10" fontId="12" fillId="0" borderId="0" xfId="24" applyNumberFormat="1" applyFont="1" applyFill="1" applyAlignment="1">
      <alignment horizontal="center"/>
    </xf>
    <xf numFmtId="10" fontId="12" fillId="0" borderId="0" xfId="40" applyNumberFormat="1" applyFont="1" applyFill="1" applyAlignment="1">
      <alignment horizontal="right"/>
    </xf>
    <xf numFmtId="172" fontId="12" fillId="0" borderId="0" xfId="39" applyNumberFormat="1" applyFont="1" applyFill="1" applyBorder="1" applyAlignment="1">
      <alignment horizontal="center"/>
    </xf>
    <xf numFmtId="10" fontId="12" fillId="0" borderId="0" xfId="25" applyNumberFormat="1" applyFont="1" applyFill="1" applyAlignment="1">
      <alignment horizontal="center"/>
    </xf>
    <xf numFmtId="192" fontId="12" fillId="0" borderId="0" xfId="0" applyNumberFormat="1" applyFont="1" applyAlignment="1">
      <alignment horizontal="center"/>
    </xf>
    <xf numFmtId="192" fontId="12" fillId="0" borderId="0" xfId="0" applyNumberFormat="1" applyFont="1"/>
    <xf numFmtId="193" fontId="15" fillId="0" borderId="0" xfId="0" applyNumberFormat="1" applyFont="1"/>
    <xf numFmtId="192" fontId="15" fillId="0" borderId="0" xfId="0" applyNumberFormat="1" applyFont="1"/>
    <xf numFmtId="43" fontId="12" fillId="0" borderId="0" xfId="0" applyNumberFormat="1" applyFont="1" applyAlignment="1">
      <alignment horizontal="center" wrapText="1"/>
    </xf>
    <xf numFmtId="10" fontId="15" fillId="0" borderId="0" xfId="40" applyNumberFormat="1" applyFont="1" applyFill="1"/>
    <xf numFmtId="184" fontId="15" fillId="0" borderId="0" xfId="40" applyNumberFormat="1" applyFont="1" applyBorder="1"/>
    <xf numFmtId="10" fontId="12" fillId="0" borderId="0" xfId="24" applyNumberFormat="1" applyFont="1" applyFill="1"/>
    <xf numFmtId="0" fontId="12" fillId="0" borderId="35" xfId="0" applyFont="1" applyBorder="1" applyAlignment="1">
      <alignment horizontal="center" wrapText="1"/>
    </xf>
    <xf numFmtId="0" fontId="12" fillId="0" borderId="20" xfId="0" applyFont="1" applyBorder="1" applyAlignment="1">
      <alignment horizontal="center" wrapText="1"/>
    </xf>
    <xf numFmtId="10" fontId="12" fillId="9" borderId="0" xfId="24" applyNumberFormat="1" applyFont="1" applyFill="1" applyBorder="1" applyAlignment="1">
      <alignment horizontal="center"/>
    </xf>
    <xf numFmtId="10" fontId="12" fillId="9" borderId="30" xfId="24" applyNumberFormat="1" applyFont="1" applyFill="1" applyBorder="1" applyAlignment="1">
      <alignment horizontal="center"/>
    </xf>
    <xf numFmtId="10" fontId="12" fillId="9" borderId="32" xfId="24" applyNumberFormat="1" applyFont="1" applyFill="1" applyBorder="1" applyAlignment="1">
      <alignment horizontal="center"/>
    </xf>
    <xf numFmtId="0" fontId="13" fillId="0" borderId="0" xfId="0" applyFont="1" applyAlignment="1">
      <alignment horizontal="center" wrapText="1"/>
    </xf>
    <xf numFmtId="43" fontId="0" fillId="0" borderId="0" xfId="0" applyNumberFormat="1"/>
    <xf numFmtId="9" fontId="0" fillId="0" borderId="0" xfId="40" applyFont="1"/>
    <xf numFmtId="175" fontId="12" fillId="0" borderId="0" xfId="0" applyNumberFormat="1" applyFont="1"/>
    <xf numFmtId="37" fontId="41" fillId="0" borderId="0" xfId="0" applyNumberFormat="1" applyFont="1"/>
    <xf numFmtId="172" fontId="41" fillId="0" borderId="0" xfId="39" applyNumberFormat="1" applyFont="1" applyAlignment="1">
      <alignment horizontal="center"/>
    </xf>
    <xf numFmtId="37" fontId="41" fillId="0" borderId="0" xfId="0" applyNumberFormat="1" applyFont="1" applyAlignment="1">
      <alignment horizontal="center"/>
    </xf>
    <xf numFmtId="194" fontId="41" fillId="0" borderId="0" xfId="0" applyNumberFormat="1" applyFont="1"/>
    <xf numFmtId="194" fontId="0" fillId="0" borderId="0" xfId="0" applyNumberFormat="1"/>
    <xf numFmtId="0" fontId="25" fillId="0" borderId="26" xfId="1" applyFont="1" applyBorder="1" applyAlignment="1">
      <alignment horizontal="right"/>
    </xf>
    <xf numFmtId="172" fontId="0" fillId="0" borderId="0" xfId="39" applyNumberFormat="1" applyFont="1" applyFill="1" applyBorder="1"/>
    <xf numFmtId="173" fontId="0" fillId="0" borderId="0" xfId="35" applyNumberFormat="1" applyFont="1" applyFill="1" applyBorder="1"/>
    <xf numFmtId="49" fontId="16" fillId="0" borderId="7" xfId="20" quotePrefix="1" applyNumberFormat="1" applyFont="1" applyBorder="1" applyAlignment="1">
      <alignment horizontal="right"/>
    </xf>
    <xf numFmtId="0" fontId="52" fillId="0" borderId="0" xfId="0" applyFont="1"/>
    <xf numFmtId="10" fontId="12" fillId="0" borderId="0" xfId="40" applyNumberFormat="1" applyFont="1" applyFill="1" applyAlignment="1">
      <alignment horizontal="center"/>
    </xf>
    <xf numFmtId="0" fontId="15" fillId="0" borderId="36" xfId="0" applyFont="1" applyBorder="1"/>
    <xf numFmtId="172" fontId="12" fillId="0" borderId="0" xfId="39" applyNumberFormat="1" applyFont="1" applyFill="1" applyBorder="1"/>
    <xf numFmtId="173" fontId="12" fillId="0" borderId="0" xfId="35" applyNumberFormat="1" applyFont="1" applyFill="1" applyBorder="1"/>
    <xf numFmtId="176" fontId="53" fillId="0" borderId="0" xfId="42" quotePrefix="1" applyNumberFormat="1" applyFont="1" applyAlignment="1">
      <alignment horizontal="right"/>
    </xf>
    <xf numFmtId="0" fontId="55" fillId="0" borderId="0" xfId="0" applyFont="1"/>
    <xf numFmtId="0" fontId="55" fillId="0" borderId="0" xfId="0" applyFont="1" applyAlignment="1">
      <alignment wrapText="1"/>
    </xf>
    <xf numFmtId="0" fontId="55" fillId="0" borderId="0" xfId="0" applyFont="1" applyAlignment="1">
      <alignment horizontal="center" vertical="top" wrapText="1"/>
    </xf>
    <xf numFmtId="0" fontId="55" fillId="0" borderId="0" xfId="0" applyFont="1" applyAlignment="1">
      <alignment horizontal="center"/>
    </xf>
    <xf numFmtId="0" fontId="15" fillId="0" borderId="4" xfId="0" applyFont="1" applyBorder="1" applyAlignment="1">
      <alignment horizontal="center"/>
    </xf>
    <xf numFmtId="0" fontId="55" fillId="0" borderId="0" xfId="0" applyFont="1" applyAlignment="1">
      <alignment horizontal="right"/>
    </xf>
    <xf numFmtId="1" fontId="55" fillId="0" borderId="0" xfId="0" applyNumberFormat="1" applyFont="1"/>
    <xf numFmtId="165" fontId="56" fillId="0" borderId="0" xfId="40" applyNumberFormat="1" applyFont="1" applyFill="1" applyBorder="1" applyAlignment="1">
      <alignment horizontal="right"/>
    </xf>
    <xf numFmtId="0" fontId="15" fillId="0" borderId="32" xfId="0" applyFont="1" applyBorder="1"/>
    <xf numFmtId="1" fontId="15" fillId="11" borderId="21" xfId="6" applyNumberFormat="1" applyFont="1" applyFill="1" applyBorder="1"/>
    <xf numFmtId="165" fontId="0" fillId="0" borderId="22" xfId="40" applyNumberFormat="1" applyFont="1" applyFill="1" applyBorder="1"/>
    <xf numFmtId="1" fontId="0" fillId="0" borderId="22" xfId="40" applyNumberFormat="1" applyFont="1" applyFill="1" applyBorder="1"/>
    <xf numFmtId="1" fontId="15" fillId="11" borderId="22" xfId="6" applyNumberFormat="1" applyFont="1" applyFill="1" applyBorder="1"/>
    <xf numFmtId="0" fontId="15" fillId="0" borderId="33" xfId="0" applyFont="1" applyBorder="1"/>
    <xf numFmtId="1" fontId="15" fillId="11" borderId="9" xfId="6" applyNumberFormat="1" applyFont="1" applyFill="1" applyBorder="1"/>
    <xf numFmtId="165" fontId="0" fillId="0" borderId="9" xfId="40" applyNumberFormat="1" applyFont="1" applyFill="1" applyBorder="1"/>
    <xf numFmtId="1" fontId="0" fillId="0" borderId="9" xfId="40" applyNumberFormat="1" applyFont="1" applyFill="1" applyBorder="1"/>
    <xf numFmtId="0" fontId="14" fillId="0" borderId="0" xfId="20" quotePrefix="1" applyFont="1" applyAlignment="1">
      <alignment horizontal="right"/>
    </xf>
    <xf numFmtId="180" fontId="2" fillId="0" borderId="0" xfId="62" applyFont="1"/>
    <xf numFmtId="180" fontId="6" fillId="0" borderId="0" xfId="62" applyAlignment="1">
      <alignment horizontal="left"/>
    </xf>
    <xf numFmtId="180" fontId="57" fillId="0" borderId="0" xfId="62" applyFont="1" applyAlignment="1">
      <alignment horizontal="center"/>
    </xf>
    <xf numFmtId="14" fontId="26" fillId="0" borderId="7" xfId="0" applyNumberFormat="1" applyFont="1" applyBorder="1" applyAlignment="1">
      <alignment horizontal="center" wrapText="1"/>
    </xf>
    <xf numFmtId="37" fontId="6" fillId="0" borderId="0" xfId="62" applyNumberFormat="1"/>
    <xf numFmtId="165" fontId="6" fillId="0" borderId="0" xfId="24" applyNumberFormat="1" applyFont="1" applyFill="1" applyBorder="1"/>
    <xf numFmtId="165" fontId="6" fillId="0" borderId="0" xfId="24" applyNumberFormat="1" applyFont="1" applyFill="1" applyBorder="1" applyAlignment="1">
      <alignment horizontal="right"/>
    </xf>
    <xf numFmtId="40" fontId="15" fillId="0" borderId="0" xfId="0" applyNumberFormat="1" applyFont="1"/>
    <xf numFmtId="180" fontId="6" fillId="0" borderId="0" xfId="62"/>
    <xf numFmtId="9" fontId="6" fillId="0" borderId="0" xfId="24" applyFont="1" applyFill="1" applyBorder="1" applyProtection="1"/>
    <xf numFmtId="14" fontId="16" fillId="0" borderId="0" xfId="0" applyNumberFormat="1" applyFont="1" applyAlignment="1">
      <alignment horizontal="center" wrapText="1"/>
    </xf>
    <xf numFmtId="9" fontId="33" fillId="0" borderId="0" xfId="40" applyFont="1" applyFill="1" applyBorder="1" applyAlignment="1">
      <alignment horizontal="right"/>
    </xf>
    <xf numFmtId="10" fontId="12" fillId="0" borderId="0" xfId="40" applyNumberFormat="1" applyFont="1" applyFill="1" applyBorder="1" applyAlignment="1">
      <alignment horizontal="center"/>
    </xf>
    <xf numFmtId="0" fontId="15" fillId="0" borderId="0" xfId="0" applyFont="1" applyAlignment="1">
      <alignment wrapText="1"/>
    </xf>
    <xf numFmtId="0" fontId="15" fillId="0" borderId="0" xfId="0" applyFont="1" applyAlignment="1">
      <alignment horizontal="center" vertical="top" wrapText="1"/>
    </xf>
    <xf numFmtId="0" fontId="15" fillId="0" borderId="30" xfId="0" applyFont="1" applyBorder="1"/>
    <xf numFmtId="0" fontId="15" fillId="0" borderId="1" xfId="0" applyFont="1" applyBorder="1"/>
    <xf numFmtId="165" fontId="0" fillId="0" borderId="0" xfId="40" applyNumberFormat="1" applyFont="1" applyFill="1" applyBorder="1" applyAlignment="1">
      <alignment horizontal="right"/>
    </xf>
    <xf numFmtId="14" fontId="16" fillId="0" borderId="0" xfId="20" quotePrefix="1" applyNumberFormat="1" applyFont="1" applyAlignment="1">
      <alignment horizontal="right"/>
    </xf>
    <xf numFmtId="0" fontId="58" fillId="0" borderId="0" xfId="20" applyFont="1" applyAlignment="1">
      <alignment horizontal="right"/>
    </xf>
    <xf numFmtId="44" fontId="40" fillId="0" borderId="0" xfId="6" applyFont="1"/>
    <xf numFmtId="0" fontId="25" fillId="0" borderId="29" xfId="1" applyFont="1" applyBorder="1"/>
    <xf numFmtId="0" fontId="25" fillId="0" borderId="24" xfId="1" applyFont="1" applyBorder="1"/>
    <xf numFmtId="0" fontId="59" fillId="0" borderId="0" xfId="0" applyFont="1" applyAlignment="1">
      <alignment horizontal="right"/>
    </xf>
    <xf numFmtId="44" fontId="40" fillId="0" borderId="0" xfId="0" applyNumberFormat="1" applyFont="1"/>
    <xf numFmtId="174" fontId="25" fillId="0" borderId="22" xfId="1" applyNumberFormat="1" applyFont="1" applyBorder="1" applyAlignment="1">
      <alignment horizontal="center"/>
    </xf>
    <xf numFmtId="174" fontId="25" fillId="0" borderId="30" xfId="1" applyNumberFormat="1" applyFont="1" applyBorder="1" applyAlignment="1">
      <alignment horizontal="center"/>
    </xf>
    <xf numFmtId="41" fontId="60" fillId="0" borderId="0" xfId="39" applyNumberFormat="1" applyFont="1" applyFill="1" applyBorder="1"/>
    <xf numFmtId="0" fontId="1" fillId="0" borderId="36" xfId="0" applyFont="1" applyBorder="1"/>
    <xf numFmtId="0" fontId="0" fillId="0" borderId="8" xfId="0" applyBorder="1" applyAlignment="1">
      <alignment wrapText="1"/>
    </xf>
    <xf numFmtId="43" fontId="15" fillId="7" borderId="0" xfId="39" applyFont="1" applyFill="1" applyAlignment="1"/>
    <xf numFmtId="0" fontId="15" fillId="7" borderId="0" xfId="0" applyFont="1" applyFill="1" applyAlignment="1">
      <alignment vertical="center"/>
    </xf>
    <xf numFmtId="0" fontId="29" fillId="0" borderId="1" xfId="0" applyFont="1" applyBorder="1" applyAlignment="1">
      <alignment horizontal="left"/>
    </xf>
    <xf numFmtId="44" fontId="15" fillId="0" borderId="4" xfId="0" applyNumberFormat="1" applyFont="1" applyBorder="1"/>
    <xf numFmtId="10" fontId="12" fillId="9" borderId="35" xfId="24" applyNumberFormat="1" applyFont="1" applyFill="1" applyBorder="1" applyAlignment="1">
      <alignment horizontal="center"/>
    </xf>
    <xf numFmtId="10" fontId="12" fillId="9" borderId="31" xfId="24" applyNumberFormat="1" applyFont="1" applyFill="1" applyBorder="1" applyAlignment="1">
      <alignment horizontal="center"/>
    </xf>
    <xf numFmtId="10" fontId="12" fillId="9" borderId="20" xfId="24" applyNumberFormat="1" applyFont="1" applyFill="1" applyBorder="1" applyAlignment="1">
      <alignment horizontal="center"/>
    </xf>
    <xf numFmtId="10" fontId="12" fillId="9" borderId="33" xfId="24" applyNumberFormat="1" applyFont="1" applyFill="1" applyBorder="1" applyAlignment="1">
      <alignment horizontal="center"/>
    </xf>
    <xf numFmtId="10" fontId="12" fillId="9" borderId="7" xfId="24" applyNumberFormat="1" applyFont="1" applyFill="1" applyBorder="1" applyAlignment="1">
      <alignment horizontal="center"/>
    </xf>
    <xf numFmtId="10" fontId="12" fillId="9" borderId="34" xfId="24" applyNumberFormat="1" applyFont="1" applyFill="1" applyBorder="1" applyAlignment="1">
      <alignment horizontal="center"/>
    </xf>
    <xf numFmtId="16" fontId="0" fillId="0" borderId="0" xfId="0" applyNumberFormat="1"/>
    <xf numFmtId="180" fontId="39" fillId="0" borderId="29" xfId="43" applyFont="1" applyBorder="1" applyAlignment="1">
      <alignment vertical="top" wrapText="1"/>
    </xf>
    <xf numFmtId="180" fontId="39" fillId="0" borderId="0" xfId="43" applyFont="1" applyAlignment="1">
      <alignment vertical="top" wrapText="1"/>
    </xf>
    <xf numFmtId="37" fontId="60" fillId="0" borderId="0" xfId="0" applyNumberFormat="1" applyFont="1" applyAlignment="1">
      <alignment horizontal="center"/>
    </xf>
    <xf numFmtId="0" fontId="60" fillId="0" borderId="0" xfId="0" applyFont="1" applyAlignment="1">
      <alignment horizontal="center"/>
    </xf>
    <xf numFmtId="172" fontId="18" fillId="0" borderId="7" xfId="39" applyNumberFormat="1" applyFont="1" applyFill="1" applyBorder="1"/>
    <xf numFmtId="172" fontId="0" fillId="0" borderId="7" xfId="39" applyNumberFormat="1" applyFont="1" applyFill="1" applyBorder="1"/>
    <xf numFmtId="37" fontId="60" fillId="0" borderId="7" xfId="0" applyNumberFormat="1" applyFont="1" applyBorder="1" applyAlignment="1">
      <alignment horizontal="center"/>
    </xf>
    <xf numFmtId="41" fontId="0" fillId="0" borderId="7" xfId="39" applyNumberFormat="1" applyFont="1" applyFill="1" applyBorder="1"/>
    <xf numFmtId="49" fontId="1" fillId="0" borderId="0" xfId="0" applyNumberFormat="1" applyFont="1" applyAlignment="1">
      <alignment horizontal="right"/>
    </xf>
    <xf numFmtId="172" fontId="41" fillId="0" borderId="0" xfId="0" applyNumberFormat="1" applyFont="1"/>
    <xf numFmtId="173" fontId="41" fillId="0" borderId="0" xfId="35" applyNumberFormat="1" applyFont="1"/>
    <xf numFmtId="195" fontId="0" fillId="0" borderId="0" xfId="0" applyNumberFormat="1"/>
    <xf numFmtId="0" fontId="12" fillId="17" borderId="0" xfId="0" applyFont="1" applyFill="1" applyAlignment="1">
      <alignment horizontal="center" wrapText="1"/>
    </xf>
    <xf numFmtId="49" fontId="26" fillId="0" borderId="0" xfId="0" applyNumberFormat="1" applyFont="1" applyAlignment="1">
      <alignment horizontal="center" wrapText="1"/>
    </xf>
    <xf numFmtId="9" fontId="0" fillId="0" borderId="0" xfId="40" applyFont="1" applyFill="1" applyBorder="1"/>
    <xf numFmtId="37" fontId="0" fillId="0" borderId="0" xfId="0" applyNumberFormat="1" applyAlignment="1">
      <alignment wrapText="1"/>
    </xf>
    <xf numFmtId="37" fontId="0" fillId="0" borderId="0" xfId="0" applyNumberFormat="1" applyAlignment="1">
      <alignment horizontal="right"/>
    </xf>
    <xf numFmtId="9" fontId="0" fillId="0" borderId="0" xfId="40" applyFont="1" applyFill="1" applyBorder="1" applyAlignment="1">
      <alignment horizontal="right"/>
    </xf>
    <xf numFmtId="0" fontId="64" fillId="0" borderId="0" xfId="0" applyFont="1" applyAlignment="1">
      <alignment horizontal="left" vertical="center" wrapText="1"/>
    </xf>
    <xf numFmtId="0" fontId="65" fillId="11" borderId="0" xfId="0" applyFont="1" applyFill="1" applyAlignment="1">
      <alignment horizontal="center"/>
    </xf>
    <xf numFmtId="0" fontId="0" fillId="0" borderId="0" xfId="0" applyAlignment="1">
      <alignment horizontal="left" indent="1"/>
    </xf>
    <xf numFmtId="0" fontId="0" fillId="0" borderId="0" xfId="0" applyAlignment="1">
      <alignment horizontal="left" vertical="top" indent="1"/>
    </xf>
    <xf numFmtId="14" fontId="12" fillId="0" borderId="4" xfId="0" applyNumberFormat="1" applyFont="1" applyBorder="1" applyAlignment="1">
      <alignment horizontal="center" wrapText="1"/>
    </xf>
    <xf numFmtId="14" fontId="15" fillId="0" borderId="4" xfId="0" applyNumberFormat="1" applyFont="1" applyBorder="1" applyAlignment="1">
      <alignment horizontal="center"/>
    </xf>
    <xf numFmtId="184" fontId="12" fillId="0" borderId="4" xfId="0" applyNumberFormat="1" applyFont="1" applyBorder="1" applyAlignment="1">
      <alignment horizontal="center" wrapText="1"/>
    </xf>
    <xf numFmtId="0" fontId="12" fillId="0" borderId="4" xfId="0" applyFont="1" applyBorder="1" applyAlignment="1">
      <alignment horizontal="center" wrapText="1"/>
    </xf>
    <xf numFmtId="184" fontId="15" fillId="0" borderId="4" xfId="0" applyNumberFormat="1" applyFont="1" applyBorder="1" applyAlignment="1">
      <alignment horizontal="center"/>
    </xf>
    <xf numFmtId="0" fontId="27" fillId="0" borderId="4" xfId="0" applyFont="1" applyBorder="1"/>
    <xf numFmtId="0" fontId="27" fillId="0" borderId="4" xfId="0" applyFont="1" applyBorder="1" applyAlignment="1">
      <alignment horizontal="center"/>
    </xf>
    <xf numFmtId="0" fontId="27" fillId="0" borderId="7" xfId="0" applyFont="1" applyBorder="1" applyAlignment="1">
      <alignment horizontal="center" wrapText="1"/>
    </xf>
    <xf numFmtId="0" fontId="26" fillId="11" borderId="0" xfId="1" applyFont="1" applyFill="1"/>
    <xf numFmtId="0" fontId="15" fillId="11" borderId="0" xfId="0" applyFont="1" applyFill="1" applyAlignment="1">
      <alignment horizontal="center"/>
    </xf>
    <xf numFmtId="0" fontId="15" fillId="11" borderId="0" xfId="0" applyFont="1" applyFill="1" applyAlignment="1">
      <alignment horizontal="center" vertical="top"/>
    </xf>
    <xf numFmtId="0" fontId="35" fillId="0" borderId="0" xfId="0" applyFont="1"/>
    <xf numFmtId="10" fontId="12" fillId="0" borderId="0" xfId="3" applyNumberFormat="1" applyFont="1"/>
    <xf numFmtId="0" fontId="19" fillId="0" borderId="0" xfId="0" applyFont="1"/>
    <xf numFmtId="5" fontId="2" fillId="0" borderId="0" xfId="38" applyNumberFormat="1" applyFont="1" applyAlignment="1">
      <alignment horizontal="left" vertical="center"/>
    </xf>
    <xf numFmtId="3" fontId="66" fillId="0" borderId="0" xfId="0" applyNumberFormat="1" applyFont="1" applyAlignment="1">
      <alignment horizontal="right"/>
    </xf>
    <xf numFmtId="3" fontId="66" fillId="0" borderId="0" xfId="0" applyNumberFormat="1" applyFont="1"/>
    <xf numFmtId="0" fontId="15" fillId="0" borderId="0" xfId="0" applyFont="1" applyAlignment="1">
      <alignment horizontal="center" vertical="top"/>
    </xf>
    <xf numFmtId="172" fontId="19" fillId="0" borderId="0" xfId="0" applyNumberFormat="1" applyFont="1"/>
    <xf numFmtId="0" fontId="19" fillId="0" borderId="0" xfId="0" applyFont="1" applyAlignment="1">
      <alignment wrapText="1"/>
    </xf>
    <xf numFmtId="172" fontId="19" fillId="0" borderId="0" xfId="39" applyNumberFormat="1" applyFont="1" applyFill="1"/>
    <xf numFmtId="0" fontId="2" fillId="0" borderId="0" xfId="38" applyFont="1" applyAlignment="1">
      <alignment horizontal="left"/>
    </xf>
    <xf numFmtId="196" fontId="0" fillId="0" borderId="0" xfId="0" applyNumberFormat="1"/>
    <xf numFmtId="0" fontId="32" fillId="0" borderId="0" xfId="0" applyFont="1" applyAlignment="1">
      <alignment horizontal="left"/>
    </xf>
    <xf numFmtId="1" fontId="12" fillId="0" borderId="0" xfId="39" applyNumberFormat="1" applyFont="1" applyAlignment="1">
      <alignment horizontal="center"/>
    </xf>
    <xf numFmtId="37" fontId="33" fillId="0" borderId="0" xfId="0" applyNumberFormat="1" applyFont="1" applyAlignment="1">
      <alignment horizontal="center"/>
    </xf>
    <xf numFmtId="9" fontId="33" fillId="11" borderId="0" xfId="40" applyFont="1" applyFill="1" applyAlignment="1">
      <alignment horizontal="center"/>
    </xf>
    <xf numFmtId="0" fontId="33" fillId="0" borderId="0" xfId="0" applyFont="1" applyAlignment="1">
      <alignment horizontal="center"/>
    </xf>
    <xf numFmtId="0" fontId="33" fillId="11" borderId="0" xfId="0" applyFont="1" applyFill="1" applyAlignment="1">
      <alignment horizontal="center"/>
    </xf>
    <xf numFmtId="0" fontId="33" fillId="11" borderId="0" xfId="0" applyFont="1" applyFill="1" applyAlignment="1">
      <alignment horizontal="left"/>
    </xf>
    <xf numFmtId="10" fontId="40" fillId="0" borderId="0" xfId="40" applyNumberFormat="1" applyFont="1"/>
    <xf numFmtId="193" fontId="15" fillId="11" borderId="0" xfId="0" applyNumberFormat="1" applyFont="1" applyFill="1"/>
    <xf numFmtId="193" fontId="40" fillId="0" borderId="0" xfId="0" applyNumberFormat="1" applyFont="1"/>
    <xf numFmtId="193" fontId="40" fillId="0" borderId="0" xfId="0" applyNumberFormat="1" applyFont="1" applyAlignment="1">
      <alignment horizontal="center"/>
    </xf>
    <xf numFmtId="165" fontId="15" fillId="0" borderId="0" xfId="40" applyNumberFormat="1" applyFont="1"/>
    <xf numFmtId="179" fontId="15" fillId="0" borderId="0" xfId="39" applyNumberFormat="1" applyFont="1"/>
    <xf numFmtId="197" fontId="15" fillId="0" borderId="0" xfId="39" applyNumberFormat="1" applyFont="1"/>
    <xf numFmtId="197" fontId="15" fillId="0" borderId="0" xfId="0" applyNumberFormat="1" applyFont="1"/>
    <xf numFmtId="179" fontId="40" fillId="0" borderId="0" xfId="0" applyNumberFormat="1" applyFont="1"/>
    <xf numFmtId="14" fontId="25" fillId="0" borderId="4" xfId="0" applyNumberFormat="1" applyFont="1" applyBorder="1" applyAlignment="1">
      <alignment horizontal="center" wrapText="1"/>
    </xf>
    <xf numFmtId="0" fontId="25" fillId="0" borderId="4" xfId="0" applyFont="1" applyBorder="1" applyAlignment="1">
      <alignment horizontal="center" wrapText="1"/>
    </xf>
    <xf numFmtId="184" fontId="25" fillId="0" borderId="4" xfId="0" applyNumberFormat="1" applyFont="1" applyBorder="1" applyAlignment="1">
      <alignment horizontal="center" wrapText="1"/>
    </xf>
    <xf numFmtId="198" fontId="12" fillId="0" borderId="0" xfId="3" applyNumberFormat="1" applyFont="1" applyFill="1"/>
    <xf numFmtId="198" fontId="12" fillId="9" borderId="0" xfId="0" applyNumberFormat="1" applyFont="1" applyFill="1" applyAlignment="1">
      <alignment horizontal="center"/>
    </xf>
    <xf numFmtId="9" fontId="40" fillId="0" borderId="0" xfId="40" applyFont="1"/>
    <xf numFmtId="165" fontId="40" fillId="0" borderId="29" xfId="22" applyNumberFormat="1" applyFont="1" applyBorder="1" applyAlignment="1">
      <alignment horizontal="center"/>
    </xf>
    <xf numFmtId="0" fontId="40" fillId="0" borderId="0" xfId="0" applyFont="1"/>
    <xf numFmtId="0" fontId="40" fillId="0" borderId="0" xfId="1" applyFont="1" applyAlignment="1">
      <alignment wrapText="1"/>
    </xf>
    <xf numFmtId="165" fontId="60" fillId="0" borderId="0" xfId="40" applyNumberFormat="1" applyFont="1" applyFill="1" applyBorder="1"/>
    <xf numFmtId="3" fontId="40" fillId="0" borderId="0" xfId="0" applyNumberFormat="1" applyFont="1"/>
    <xf numFmtId="3" fontId="40" fillId="0" borderId="0" xfId="0" applyNumberFormat="1" applyFont="1" applyAlignment="1">
      <alignment horizontal="right"/>
    </xf>
    <xf numFmtId="174" fontId="25" fillId="0" borderId="0" xfId="1" applyNumberFormat="1" applyFont="1" applyAlignment="1">
      <alignment horizontal="center"/>
    </xf>
    <xf numFmtId="174" fontId="25" fillId="0" borderId="26" xfId="1" applyNumberFormat="1" applyFont="1" applyBorder="1" applyAlignment="1">
      <alignment horizontal="center"/>
    </xf>
    <xf numFmtId="37" fontId="19" fillId="0" borderId="0" xfId="0" applyNumberFormat="1" applyFont="1"/>
    <xf numFmtId="0" fontId="0" fillId="6" borderId="0" xfId="0" applyFill="1"/>
    <xf numFmtId="14" fontId="1" fillId="0" borderId="1" xfId="0" applyNumberFormat="1" applyFont="1" applyBorder="1"/>
    <xf numFmtId="37" fontId="0" fillId="0" borderId="1" xfId="0" applyNumberFormat="1" applyBorder="1"/>
    <xf numFmtId="0" fontId="1" fillId="0" borderId="8" xfId="0" applyFont="1" applyBorder="1"/>
    <xf numFmtId="172" fontId="0" fillId="0" borderId="7" xfId="0" applyNumberFormat="1" applyBorder="1"/>
    <xf numFmtId="37" fontId="0" fillId="0" borderId="7" xfId="0" applyNumberFormat="1" applyBorder="1"/>
    <xf numFmtId="172" fontId="19" fillId="6" borderId="0" xfId="0" applyNumberFormat="1" applyFont="1" applyFill="1"/>
    <xf numFmtId="0" fontId="0" fillId="6" borderId="0" xfId="0" applyFill="1" applyAlignment="1">
      <alignment wrapText="1"/>
    </xf>
    <xf numFmtId="172" fontId="41" fillId="0" borderId="0" xfId="0" applyNumberFormat="1" applyFont="1" applyAlignment="1">
      <alignment horizontal="center"/>
    </xf>
    <xf numFmtId="6" fontId="1" fillId="0" borderId="7" xfId="0" quotePrefix="1" applyNumberFormat="1" applyFont="1" applyBorder="1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50" fillId="0" borderId="0" xfId="0" applyFont="1"/>
    <xf numFmtId="0" fontId="20" fillId="0" borderId="0" xfId="0" applyFont="1"/>
    <xf numFmtId="0" fontId="20" fillId="0" borderId="0" xfId="0" applyFont="1" applyAlignment="1">
      <alignment horizontal="center"/>
    </xf>
    <xf numFmtId="0" fontId="19" fillId="0" borderId="0" xfId="0" applyFont="1" applyAlignment="1">
      <alignment horizontal="right" vertical="center"/>
    </xf>
    <xf numFmtId="0" fontId="67" fillId="0" borderId="0" xfId="0" applyFont="1"/>
    <xf numFmtId="191" fontId="0" fillId="0" borderId="0" xfId="0" applyNumberFormat="1"/>
    <xf numFmtId="5" fontId="41" fillId="0" borderId="0" xfId="0" applyNumberFormat="1" applyFont="1"/>
    <xf numFmtId="5" fontId="41" fillId="0" borderId="0" xfId="0" applyNumberFormat="1" applyFont="1" applyAlignment="1">
      <alignment horizontal="center"/>
    </xf>
    <xf numFmtId="0" fontId="0" fillId="0" borderId="0" xfId="0" applyAlignment="1">
      <alignment horizontal="left" vertical="center"/>
    </xf>
    <xf numFmtId="191" fontId="19" fillId="0" borderId="0" xfId="0" applyNumberFormat="1" applyFont="1"/>
    <xf numFmtId="0" fontId="0" fillId="0" borderId="7" xfId="0" applyBorder="1" applyAlignment="1">
      <alignment horizontal="center"/>
    </xf>
    <xf numFmtId="178" fontId="68" fillId="0" borderId="0" xfId="0" applyNumberFormat="1" applyFont="1"/>
    <xf numFmtId="178" fontId="0" fillId="0" borderId="0" xfId="0" applyNumberFormat="1" applyAlignment="1">
      <alignment horizontal="center"/>
    </xf>
    <xf numFmtId="9" fontId="51" fillId="0" borderId="0" xfId="40" applyFont="1" applyFill="1"/>
    <xf numFmtId="190" fontId="68" fillId="0" borderId="0" xfId="35" applyNumberFormat="1" applyFont="1" applyFill="1"/>
    <xf numFmtId="190" fontId="0" fillId="0" borderId="0" xfId="0" applyNumberFormat="1"/>
    <xf numFmtId="9" fontId="51" fillId="0" borderId="0" xfId="35" applyNumberFormat="1" applyFont="1" applyFill="1"/>
    <xf numFmtId="9" fontId="0" fillId="0" borderId="0" xfId="35" applyNumberFormat="1" applyFont="1" applyFill="1"/>
    <xf numFmtId="44" fontId="51" fillId="0" borderId="0" xfId="35" applyFont="1" applyFill="1"/>
    <xf numFmtId="9" fontId="0" fillId="0" borderId="0" xfId="40" applyFont="1" applyFill="1" applyAlignment="1">
      <alignment horizontal="center"/>
    </xf>
    <xf numFmtId="165" fontId="0" fillId="0" borderId="0" xfId="40" applyNumberFormat="1" applyFont="1" applyFill="1" applyAlignment="1">
      <alignment horizontal="center"/>
    </xf>
    <xf numFmtId="9" fontId="0" fillId="0" borderId="0" xfId="40" applyFont="1" applyFill="1"/>
    <xf numFmtId="0" fontId="0" fillId="0" borderId="1" xfId="0" quotePrefix="1" applyBorder="1" applyAlignment="1">
      <alignment wrapText="1"/>
    </xf>
    <xf numFmtId="0" fontId="1" fillId="0" borderId="0" xfId="0" applyFont="1" applyAlignment="1">
      <alignment horizontal="center" wrapText="1"/>
    </xf>
    <xf numFmtId="198" fontId="12" fillId="0" borderId="0" xfId="39" applyNumberFormat="1" applyFont="1" applyFill="1" applyAlignment="1">
      <alignment horizontal="center"/>
    </xf>
    <xf numFmtId="198" fontId="12" fillId="0" borderId="0" xfId="0" applyNumberFormat="1" applyFont="1" applyAlignment="1">
      <alignment horizontal="center"/>
    </xf>
    <xf numFmtId="0" fontId="12" fillId="0" borderId="20" xfId="0" applyFont="1" applyBorder="1" applyAlignment="1">
      <alignment horizontal="center"/>
    </xf>
    <xf numFmtId="0" fontId="12" fillId="0" borderId="35" xfId="0" applyFont="1" applyBorder="1" applyAlignment="1">
      <alignment horizontal="center"/>
    </xf>
    <xf numFmtId="172" fontId="12" fillId="0" borderId="32" xfId="3" applyNumberFormat="1" applyFont="1" applyFill="1" applyBorder="1"/>
    <xf numFmtId="172" fontId="12" fillId="0" borderId="30" xfId="3" applyNumberFormat="1" applyFont="1" applyFill="1" applyBorder="1"/>
    <xf numFmtId="165" fontId="0" fillId="0" borderId="0" xfId="40" applyNumberFormat="1" applyFont="1" applyFill="1" applyAlignment="1">
      <alignment horizontal="right"/>
    </xf>
    <xf numFmtId="0" fontId="14" fillId="0" borderId="39" xfId="20" applyFont="1" applyBorder="1" applyAlignment="1">
      <alignment horizontal="center"/>
    </xf>
    <xf numFmtId="0" fontId="54" fillId="0" borderId="0" xfId="0" applyFont="1"/>
    <xf numFmtId="165" fontId="25" fillId="0" borderId="22" xfId="40" applyNumberFormat="1" applyFont="1" applyFill="1" applyBorder="1" applyAlignment="1">
      <alignment horizontal="center"/>
    </xf>
    <xf numFmtId="165" fontId="25" fillId="0" borderId="32" xfId="25" applyNumberFormat="1" applyFont="1" applyFill="1" applyBorder="1" applyAlignment="1">
      <alignment horizontal="center"/>
    </xf>
    <xf numFmtId="165" fontId="40" fillId="0" borderId="29" xfId="22" applyNumberFormat="1" applyFont="1" applyFill="1" applyBorder="1" applyAlignment="1">
      <alignment horizontal="center"/>
    </xf>
    <xf numFmtId="165" fontId="25" fillId="0" borderId="37" xfId="25" applyNumberFormat="1" applyFont="1" applyFill="1" applyBorder="1" applyAlignment="1">
      <alignment horizontal="center"/>
    </xf>
    <xf numFmtId="165" fontId="25" fillId="0" borderId="38" xfId="25" applyNumberFormat="1" applyFont="1" applyFill="1" applyBorder="1" applyAlignment="1">
      <alignment horizontal="center"/>
    </xf>
    <xf numFmtId="0" fontId="27" fillId="0" borderId="29" xfId="0" applyFont="1" applyBorder="1"/>
    <xf numFmtId="0" fontId="25" fillId="0" borderId="41" xfId="1" applyFont="1" applyBorder="1" applyAlignment="1">
      <alignment horizontal="center" wrapText="1"/>
    </xf>
    <xf numFmtId="165" fontId="25" fillId="0" borderId="35" xfId="22" applyNumberFormat="1" applyFont="1" applyFill="1" applyBorder="1" applyAlignment="1">
      <alignment horizontal="center"/>
    </xf>
    <xf numFmtId="165" fontId="25" fillId="0" borderId="32" xfId="22" applyNumberFormat="1" applyFont="1" applyFill="1" applyBorder="1" applyAlignment="1">
      <alignment horizontal="center"/>
    </xf>
    <xf numFmtId="165" fontId="25" fillId="0" borderId="37" xfId="22" applyNumberFormat="1" applyFont="1" applyFill="1" applyBorder="1" applyAlignment="1">
      <alignment horizontal="center"/>
    </xf>
    <xf numFmtId="9" fontId="40" fillId="0" borderId="0" xfId="40" applyFont="1" applyFill="1"/>
    <xf numFmtId="0" fontId="15" fillId="0" borderId="29" xfId="0" applyFont="1" applyBorder="1"/>
    <xf numFmtId="0" fontId="25" fillId="0" borderId="19" xfId="1" applyFont="1" applyBorder="1"/>
    <xf numFmtId="172" fontId="61" fillId="0" borderId="0" xfId="39" applyNumberFormat="1" applyFont="1" applyFill="1" applyBorder="1"/>
    <xf numFmtId="172" fontId="61" fillId="18" borderId="0" xfId="39" applyNumberFormat="1" applyFont="1" applyFill="1" applyBorder="1"/>
    <xf numFmtId="37" fontId="0" fillId="19" borderId="0" xfId="0" applyNumberFormat="1" applyFill="1"/>
    <xf numFmtId="172" fontId="0" fillId="19" borderId="0" xfId="39" applyNumberFormat="1" applyFont="1" applyFill="1"/>
    <xf numFmtId="172" fontId="0" fillId="19" borderId="0" xfId="0" applyNumberFormat="1" applyFill="1"/>
    <xf numFmtId="49" fontId="25" fillId="0" borderId="4" xfId="1" quotePrefix="1" applyNumberFormat="1" applyFont="1" applyBorder="1" applyAlignment="1">
      <alignment horizontal="center"/>
    </xf>
    <xf numFmtId="1" fontId="25" fillId="0" borderId="4" xfId="1" applyNumberFormat="1" applyFont="1" applyBorder="1" applyAlignment="1">
      <alignment horizontal="center"/>
    </xf>
    <xf numFmtId="0" fontId="65" fillId="0" borderId="0" xfId="0" applyFont="1"/>
    <xf numFmtId="0" fontId="15" fillId="15" borderId="0" xfId="0" applyFont="1" applyFill="1" applyAlignment="1">
      <alignment horizontal="center" wrapText="1"/>
    </xf>
    <xf numFmtId="0" fontId="27" fillId="0" borderId="36" xfId="0" applyFont="1" applyBorder="1" applyAlignment="1">
      <alignment horizontal="center"/>
    </xf>
    <xf numFmtId="0" fontId="27" fillId="0" borderId="8" xfId="0" applyFont="1" applyBorder="1" applyAlignment="1">
      <alignment horizontal="center"/>
    </xf>
    <xf numFmtId="0" fontId="27" fillId="16" borderId="10" xfId="0" applyFont="1" applyFill="1" applyBorder="1" applyAlignment="1">
      <alignment horizontal="center"/>
    </xf>
    <xf numFmtId="0" fontId="27" fillId="16" borderId="11" xfId="0" applyFont="1" applyFill="1" applyBorder="1" applyAlignment="1">
      <alignment horizontal="center"/>
    </xf>
    <xf numFmtId="0" fontId="27" fillId="16" borderId="12" xfId="0" applyFont="1" applyFill="1" applyBorder="1" applyAlignment="1">
      <alignment horizontal="center"/>
    </xf>
    <xf numFmtId="0" fontId="25" fillId="0" borderId="29" xfId="1" applyFont="1" applyBorder="1" applyAlignment="1">
      <alignment horizontal="right"/>
    </xf>
    <xf numFmtId="0" fontId="25" fillId="0" borderId="30" xfId="1" applyFont="1" applyBorder="1" applyAlignment="1">
      <alignment horizontal="right"/>
    </xf>
    <xf numFmtId="0" fontId="25" fillId="0" borderId="24" xfId="1" applyFont="1" applyBorder="1" applyAlignment="1">
      <alignment horizontal="right"/>
    </xf>
    <xf numFmtId="0" fontId="25" fillId="0" borderId="25" xfId="1" applyFont="1" applyBorder="1" applyAlignment="1">
      <alignment horizontal="right"/>
    </xf>
    <xf numFmtId="0" fontId="27" fillId="0" borderId="10" xfId="0" applyFont="1" applyBorder="1" applyAlignment="1">
      <alignment horizontal="center"/>
    </xf>
    <xf numFmtId="0" fontId="27" fillId="0" borderId="11" xfId="0" applyFont="1" applyBorder="1" applyAlignment="1">
      <alignment horizontal="center"/>
    </xf>
    <xf numFmtId="0" fontId="27" fillId="0" borderId="12" xfId="0" applyFont="1" applyBorder="1" applyAlignment="1">
      <alignment horizontal="center"/>
    </xf>
    <xf numFmtId="0" fontId="25" fillId="0" borderId="19" xfId="1" applyFont="1" applyBorder="1" applyAlignment="1">
      <alignment horizontal="right"/>
    </xf>
    <xf numFmtId="0" fontId="25" fillId="0" borderId="20" xfId="1" applyFont="1" applyBorder="1" applyAlignment="1">
      <alignment horizontal="right"/>
    </xf>
    <xf numFmtId="0" fontId="25" fillId="0" borderId="0" xfId="1" applyFont="1" applyAlignment="1">
      <alignment horizontal="right"/>
    </xf>
    <xf numFmtId="0" fontId="26" fillId="0" borderId="13" xfId="1" applyFont="1" applyBorder="1" applyAlignment="1">
      <alignment horizontal="center"/>
    </xf>
    <xf numFmtId="0" fontId="26" fillId="0" borderId="14" xfId="1" applyFont="1" applyBorder="1" applyAlignment="1">
      <alignment horizontal="center"/>
    </xf>
    <xf numFmtId="0" fontId="26" fillId="0" borderId="15" xfId="1" applyFont="1" applyBorder="1" applyAlignment="1">
      <alignment horizontal="center"/>
    </xf>
    <xf numFmtId="0" fontId="25" fillId="0" borderId="16" xfId="1" applyFont="1" applyBorder="1" applyAlignment="1">
      <alignment horizontal="right"/>
    </xf>
    <xf numFmtId="0" fontId="25" fillId="0" borderId="4" xfId="1" applyFont="1" applyBorder="1" applyAlignment="1">
      <alignment horizontal="right"/>
    </xf>
    <xf numFmtId="0" fontId="25" fillId="0" borderId="18" xfId="1" applyFont="1" applyBorder="1" applyAlignment="1">
      <alignment horizontal="center"/>
    </xf>
    <xf numFmtId="0" fontId="25" fillId="0" borderId="8" xfId="1" applyFont="1" applyBorder="1" applyAlignment="1">
      <alignment horizontal="center"/>
    </xf>
    <xf numFmtId="0" fontId="25" fillId="0" borderId="31" xfId="1" applyFont="1" applyBorder="1" applyAlignment="1">
      <alignment horizontal="right"/>
    </xf>
    <xf numFmtId="0" fontId="26" fillId="0" borderId="10" xfId="1" applyFont="1" applyBorder="1" applyAlignment="1">
      <alignment horizontal="center"/>
    </xf>
    <xf numFmtId="0" fontId="26" fillId="0" borderId="11" xfId="1" applyFont="1" applyBorder="1" applyAlignment="1">
      <alignment horizontal="center"/>
    </xf>
    <xf numFmtId="0" fontId="26" fillId="0" borderId="12" xfId="1" applyFont="1" applyBorder="1" applyAlignment="1">
      <alignment horizontal="center"/>
    </xf>
    <xf numFmtId="0" fontId="25" fillId="0" borderId="26" xfId="1" applyFont="1" applyBorder="1" applyAlignment="1">
      <alignment horizontal="right"/>
    </xf>
    <xf numFmtId="0" fontId="27" fillId="0" borderId="13" xfId="0" applyFont="1" applyBorder="1" applyAlignment="1">
      <alignment horizontal="center"/>
    </xf>
    <xf numFmtId="0" fontId="27" fillId="0" borderId="14" xfId="0" applyFont="1" applyBorder="1" applyAlignment="1">
      <alignment horizontal="center"/>
    </xf>
    <xf numFmtId="0" fontId="27" fillId="0" borderId="15" xfId="0" applyFont="1" applyBorder="1" applyAlignment="1">
      <alignment horizontal="center"/>
    </xf>
    <xf numFmtId="0" fontId="0" fillId="0" borderId="0" xfId="0" applyAlignment="1">
      <alignment wrapText="1"/>
    </xf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 wrapText="1"/>
    </xf>
    <xf numFmtId="0" fontId="2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wrapText="1"/>
    </xf>
    <xf numFmtId="0" fontId="29" fillId="0" borderId="1" xfId="0" applyFont="1" applyBorder="1" applyAlignment="1">
      <alignment horizontal="left"/>
    </xf>
    <xf numFmtId="0" fontId="23" fillId="0" borderId="1" xfId="0" applyFont="1" applyBorder="1" applyAlignment="1">
      <alignment horizontal="center" wrapText="1"/>
    </xf>
    <xf numFmtId="0" fontId="2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21" fillId="0" borderId="35" xfId="0" applyFont="1" applyBorder="1" applyAlignment="1">
      <alignment horizontal="center" vertical="center"/>
    </xf>
    <xf numFmtId="0" fontId="21" fillId="0" borderId="31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/>
    </xf>
    <xf numFmtId="0" fontId="14" fillId="0" borderId="0" xfId="0" applyFont="1" applyAlignment="1">
      <alignment vertical="center"/>
    </xf>
    <xf numFmtId="0" fontId="32" fillId="0" borderId="32" xfId="0" applyFont="1" applyBorder="1" applyAlignment="1">
      <alignment horizontal="center"/>
    </xf>
    <xf numFmtId="0" fontId="32" fillId="0" borderId="30" xfId="0" applyFont="1" applyBorder="1" applyAlignment="1">
      <alignment horizontal="center"/>
    </xf>
    <xf numFmtId="0" fontId="12" fillId="0" borderId="33" xfId="0" applyFont="1" applyBorder="1" applyAlignment="1">
      <alignment horizontal="center"/>
    </xf>
    <xf numFmtId="0" fontId="12" fillId="0" borderId="34" xfId="0" applyFont="1" applyBorder="1" applyAlignment="1">
      <alignment horizontal="center"/>
    </xf>
    <xf numFmtId="0" fontId="12" fillId="0" borderId="36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26" fillId="0" borderId="0" xfId="1" applyFont="1" applyAlignment="1">
      <alignment horizontal="center"/>
    </xf>
    <xf numFmtId="0" fontId="32" fillId="0" borderId="32" xfId="0" applyFont="1" applyBorder="1" applyAlignment="1">
      <alignment horizontal="center" wrapText="1"/>
    </xf>
    <xf numFmtId="0" fontId="32" fillId="0" borderId="33" xfId="0" applyFont="1" applyBorder="1" applyAlignment="1">
      <alignment horizontal="center" wrapText="1"/>
    </xf>
    <xf numFmtId="0" fontId="15" fillId="0" borderId="36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5" fillId="0" borderId="8" xfId="0" applyFont="1" applyBorder="1" applyAlignment="1">
      <alignment horizontal="center"/>
    </xf>
    <xf numFmtId="0" fontId="12" fillId="0" borderId="7" xfId="0" applyFont="1" applyBorder="1" applyAlignment="1">
      <alignment horizontal="center" wrapText="1"/>
    </xf>
    <xf numFmtId="0" fontId="15" fillId="0" borderId="0" xfId="0" applyFont="1" applyAlignment="1">
      <alignment horizontal="center"/>
    </xf>
    <xf numFmtId="17" fontId="15" fillId="0" borderId="0" xfId="6" applyNumberFormat="1" applyFont="1" applyBorder="1" applyAlignment="1">
      <alignment horizontal="center"/>
    </xf>
    <xf numFmtId="17" fontId="15" fillId="0" borderId="0" xfId="6" quotePrefix="1" applyNumberFormat="1" applyFont="1" applyBorder="1" applyAlignment="1">
      <alignment horizontal="center"/>
    </xf>
    <xf numFmtId="17" fontId="15" fillId="0" borderId="0" xfId="6" applyNumberFormat="1" applyFont="1" applyFill="1" applyBorder="1" applyAlignment="1">
      <alignment horizontal="center"/>
    </xf>
    <xf numFmtId="17" fontId="15" fillId="0" borderId="0" xfId="6" quotePrefix="1" applyNumberFormat="1" applyFont="1" applyFill="1" applyBorder="1" applyAlignment="1">
      <alignment horizontal="center"/>
    </xf>
    <xf numFmtId="0" fontId="15" fillId="0" borderId="33" xfId="0" applyFont="1" applyBorder="1" applyAlignment="1">
      <alignment horizontal="center"/>
    </xf>
    <xf numFmtId="0" fontId="15" fillId="0" borderId="7" xfId="0" applyFont="1" applyBorder="1" applyAlignment="1">
      <alignment horizontal="center"/>
    </xf>
    <xf numFmtId="0" fontId="44" fillId="0" borderId="0" xfId="20" applyFont="1" applyAlignment="1">
      <alignment horizontal="center"/>
    </xf>
    <xf numFmtId="0" fontId="26" fillId="0" borderId="0" xfId="1" applyFont="1" applyAlignment="1">
      <alignment horizontal="right"/>
    </xf>
    <xf numFmtId="0" fontId="34" fillId="0" borderId="7" xfId="0" applyFont="1" applyBorder="1" applyAlignment="1">
      <alignment horizontal="center"/>
    </xf>
    <xf numFmtId="0" fontId="55" fillId="0" borderId="0" xfId="0" applyFont="1" applyAlignment="1">
      <alignment horizontal="center"/>
    </xf>
    <xf numFmtId="0" fontId="15" fillId="0" borderId="36" xfId="0" applyFont="1" applyBorder="1" applyAlignment="1">
      <alignment horizontal="center" vertical="top" wrapText="1"/>
    </xf>
    <xf numFmtId="0" fontId="15" fillId="0" borderId="8" xfId="0" applyFont="1" applyBorder="1" applyAlignment="1">
      <alignment horizontal="center" vertical="top" wrapText="1"/>
    </xf>
    <xf numFmtId="0" fontId="40" fillId="0" borderId="29" xfId="1" applyFont="1" applyBorder="1" applyAlignment="1">
      <alignment horizontal="center" wrapText="1"/>
    </xf>
    <xf numFmtId="0" fontId="40" fillId="0" borderId="23" xfId="1" applyFont="1" applyBorder="1" applyAlignment="1">
      <alignment horizontal="center" wrapText="1"/>
    </xf>
    <xf numFmtId="17" fontId="15" fillId="0" borderId="0" xfId="6" quotePrefix="1" applyNumberFormat="1" applyFont="1" applyFill="1" applyAlignment="1">
      <alignment horizontal="center"/>
    </xf>
    <xf numFmtId="17" fontId="15" fillId="0" borderId="0" xfId="6" applyNumberFormat="1" applyFont="1" applyFill="1" applyAlignment="1">
      <alignment horizontal="center"/>
    </xf>
    <xf numFmtId="17" fontId="15" fillId="0" borderId="0" xfId="6" applyNumberFormat="1" applyFont="1" applyAlignment="1">
      <alignment horizontal="center"/>
    </xf>
    <xf numFmtId="17" fontId="15" fillId="0" borderId="0" xfId="6" quotePrefix="1" applyNumberFormat="1" applyFont="1" applyAlignment="1">
      <alignment horizontal="center"/>
    </xf>
    <xf numFmtId="0" fontId="44" fillId="0" borderId="0" xfId="0" applyFont="1" applyAlignment="1">
      <alignment horizontal="center"/>
    </xf>
    <xf numFmtId="0" fontId="15" fillId="0" borderId="29" xfId="0" applyFont="1" applyBorder="1" applyAlignment="1">
      <alignment horizontal="center"/>
    </xf>
    <xf numFmtId="0" fontId="32" fillId="0" borderId="0" xfId="0" applyFont="1" applyAlignment="1">
      <alignment horizontal="center"/>
    </xf>
  </cellXfs>
  <cellStyles count="71">
    <cellStyle name="_x0010_“+ˆÉ•?pý¤" xfId="56" xr:uid="{AAB2CC73-5E4D-4702-9A54-3B17F4170E9D}"/>
    <cellStyle name="Actual Date" xfId="2" xr:uid="{90A20703-E73F-4FFB-9D41-11B9B8598C31}"/>
    <cellStyle name="Actual Date 2" xfId="57" xr:uid="{5081DE82-2029-4827-9AF9-7B1AE9A73FE2}"/>
    <cellStyle name="Actual Date 2 2" xfId="63" xr:uid="{B67C9283-4392-474F-9FB5-5DBAB6F79502}"/>
    <cellStyle name="Comma" xfId="39" builtinId="3"/>
    <cellStyle name="Comma [0] 2" xfId="48" xr:uid="{162F856C-75E3-4868-B3AC-6EF06F17C4FC}"/>
    <cellStyle name="Comma 2" xfId="3" xr:uid="{A463B59C-A829-4CA9-983F-290777244053}"/>
    <cellStyle name="Comma 3" xfId="47" xr:uid="{0963D63D-5763-4CFE-AD42-240379CC31C8}"/>
    <cellStyle name="Comma 31 2" xfId="36" xr:uid="{6112A572-923D-4AF2-B44E-C0DB9129578D}"/>
    <cellStyle name="Comma 4" xfId="70" xr:uid="{472F506F-A02F-42B6-8D70-7BE8C1BA4F41}"/>
    <cellStyle name="Comma0" xfId="4" xr:uid="{BFA70494-24E7-4EB4-8245-3E92DE30AB79}"/>
    <cellStyle name="Currency" xfId="35" builtinId="4"/>
    <cellStyle name="Currency [0] 2" xfId="46" xr:uid="{70280F9D-97C7-42DD-9BF4-C98DADE21D70}"/>
    <cellStyle name="Currency 2" xfId="6" xr:uid="{C853109E-BA78-4949-AE6E-97FBB2C947A2}"/>
    <cellStyle name="Currency 3" xfId="5" xr:uid="{71193358-ACE2-4128-B76E-A894406DE180}"/>
    <cellStyle name="Currency 4" xfId="45" xr:uid="{B9EED9D9-BAA1-4E8B-B70D-8CFF8975C509}"/>
    <cellStyle name="Currency0" xfId="7" xr:uid="{11C847DE-D199-4798-B8A6-6DF371C1596F}"/>
    <cellStyle name="Date" xfId="8" xr:uid="{55B42165-9C35-400C-8039-99C32BF8F8D1}"/>
    <cellStyle name="Date 2" xfId="58" xr:uid="{8138A17D-8AFB-4CE2-A576-861FB754B1B2}"/>
    <cellStyle name="Fixed" xfId="9" xr:uid="{73C8C8B8-EF3A-48A3-A48A-A4A6A3CEB441}"/>
    <cellStyle name="Fixed 2" xfId="59" xr:uid="{BF0AF9AB-9D8D-48FC-AA77-6CCFE11077C5}"/>
    <cellStyle name="Grey" xfId="10" xr:uid="{B049FF98-EED1-44B0-B326-4132EA93C5E2}"/>
    <cellStyle name="Grey 2" xfId="49" xr:uid="{98622DFE-A551-469F-BD88-EF8AEE3B8ECA}"/>
    <cellStyle name="HEADER" xfId="11" xr:uid="{EADF02B1-8108-4E0E-9DB6-F65EA011F410}"/>
    <cellStyle name="Heading 1 2" xfId="12" xr:uid="{C958FC72-ADC5-4A1B-8837-26CC92340585}"/>
    <cellStyle name="Heading 2 2" xfId="13" xr:uid="{6C11C16C-14DA-433C-B90A-019D9D58FAA5}"/>
    <cellStyle name="Heading1" xfId="14" xr:uid="{D5CB65F7-622F-48D9-BDFE-EA5710CB06E5}"/>
    <cellStyle name="Heading2" xfId="15" xr:uid="{B6C120CA-23B0-46B6-A206-F21EFD627A0E}"/>
    <cellStyle name="HIGHLIGHT" xfId="16" xr:uid="{0FA977AC-6A13-4F7D-B4C6-304F02BAB7E6}"/>
    <cellStyle name="Hyperlink 3" xfId="67" xr:uid="{9A670481-784D-4386-8511-D541DD9F96EC}"/>
    <cellStyle name="Input [yellow]" xfId="17" xr:uid="{483402D1-6D66-4584-B91A-9EFB4E29CD72}"/>
    <cellStyle name="Input [yellow] 2" xfId="50" xr:uid="{3479EC4D-FA0C-44AD-BFB1-E5483485436F}"/>
    <cellStyle name="no dec" xfId="18" xr:uid="{1FFD3759-CFEB-431B-95E2-F9D56114D76C}"/>
    <cellStyle name="Normal" xfId="0" builtinId="0"/>
    <cellStyle name="Normal - Style1" xfId="19" xr:uid="{09AAD6A7-C83A-4809-BC97-D6D075635A0F}"/>
    <cellStyle name="Normal - Style1 2" xfId="51" xr:uid="{A36E7241-7D7A-446A-AE46-897B9848A8A7}"/>
    <cellStyle name="Normal 10" xfId="34" xr:uid="{11F0179F-876F-4C81-8782-FEAE6EA9A44F}"/>
    <cellStyle name="Normal 19" xfId="37" xr:uid="{2E801201-3018-4BBB-869B-19B0A8909CC2}"/>
    <cellStyle name="Normal 2" xfId="1" xr:uid="{FCF77B81-9A51-4CFC-8630-2394A24C8B4C}"/>
    <cellStyle name="Normal 2 10 10" xfId="61" xr:uid="{4110C643-72A2-48D0-AB32-72BED6862E98}"/>
    <cellStyle name="Normal 2 2" xfId="20" xr:uid="{768976F9-6BF3-4C64-A7A2-0699BE302438}"/>
    <cellStyle name="Normal 2 2 2" xfId="66" xr:uid="{AD042F41-ECEB-46F9-9972-79343188A2B9}"/>
    <cellStyle name="Normal 2 2 3" xfId="54" xr:uid="{F097BE2F-C1DF-4808-8B93-136DAFC079D0}"/>
    <cellStyle name="Normal 2 3" xfId="53" xr:uid="{7BDDD26F-CD0D-48AB-AB15-4F2082187FD0}"/>
    <cellStyle name="Normal 2 4" xfId="65" xr:uid="{CEE47971-2CB1-4289-BDA7-46AC65784E98}"/>
    <cellStyle name="Normal 208 5 8" xfId="68" xr:uid="{A46F6EA7-D736-4486-8200-CFEB70001B34}"/>
    <cellStyle name="Normal 3" xfId="21" xr:uid="{1BE115B0-68EE-409A-BE42-7964F3B2186B}"/>
    <cellStyle name="Normal 3 2" xfId="31" xr:uid="{EBD24680-6BB0-4648-B6FB-486BE3B05DA3}"/>
    <cellStyle name="Normal 4" xfId="38" xr:uid="{1BC7C7CD-A29E-49D5-ACE9-28B9AEC0F15E}"/>
    <cellStyle name="Normal 4 2" xfId="55" xr:uid="{294F292F-C751-4760-BBE6-DF7528BFFF64}"/>
    <cellStyle name="Normal 5" xfId="60" xr:uid="{50F6C0A5-95DF-447C-B0B3-342AF1735AC0}"/>
    <cellStyle name="Normal 5 2" xfId="64" xr:uid="{3C9418E6-6645-4025-85D2-2A2A59A4AF5D}"/>
    <cellStyle name="Normal 6" xfId="69" xr:uid="{EC59DD7F-761E-4AF5-936C-C2D6CAA1F3E2}"/>
    <cellStyle name="Normal 9" xfId="32" xr:uid="{74F7FB52-B68E-44BF-B225-318676247797}"/>
    <cellStyle name="Normal_Bill Impacts (UDC and EECC Rates)" xfId="62" xr:uid="{5176955C-BBC6-41AA-92A4-84F6FB4F7F58}"/>
    <cellStyle name="Normal_Effective Rates (1-6-2003)" xfId="41" xr:uid="{2BB44F1E-EE46-452C-B99F-141D84227AFB}"/>
    <cellStyle name="Normal_RD-WP(Combined 1-01-01 filing)" xfId="43" xr:uid="{BB5A44EF-4D99-404D-ABC9-E78DF42F5A40}"/>
    <cellStyle name="Normal_SDGE Tiered ratesmud" xfId="42" xr:uid="{292919E0-12A2-4E43-A1A2-4C24DB3B257A}"/>
    <cellStyle name="Percent" xfId="40" builtinId="5"/>
    <cellStyle name="Percent [2]" xfId="23" xr:uid="{E59307F2-F086-4441-9673-C73345619B92}"/>
    <cellStyle name="Percent 2" xfId="24" xr:uid="{53FD8FB0-DE16-440B-8091-1A5F721D0797}"/>
    <cellStyle name="Percent 3" xfId="25" xr:uid="{FD09ACED-468E-42F6-A1AA-5A76707CDC8A}"/>
    <cellStyle name="Percent 4" xfId="33" xr:uid="{75FC7505-8CA7-4DC6-AF7E-0A549648BDAB}"/>
    <cellStyle name="Percent 5" xfId="22" xr:uid="{FDA81B20-6FA8-49F6-A9CF-1116F234E27E}"/>
    <cellStyle name="Percent 6" xfId="44" xr:uid="{E63A8815-2CE5-4B23-BCD9-1050A93745E5}"/>
    <cellStyle name="Total 2" xfId="26" xr:uid="{B7044CB5-68EF-42DF-AE5D-9CDC42788CD9}"/>
    <cellStyle name="Unprot" xfId="27" xr:uid="{C5877B4C-C00B-4575-97C3-8AFFB3689A95}"/>
    <cellStyle name="Unprot 2" xfId="52" xr:uid="{C0BB8D62-0188-49C7-A43C-A149C87B528C}"/>
    <cellStyle name="Unprot$" xfId="28" xr:uid="{67D3E91F-4980-4407-9928-2E00A0F61904}"/>
    <cellStyle name="Unprot_07-2008 CSI Update v1.5 - FINAL" xfId="29" xr:uid="{12952277-79F8-44C2-A6A3-D712ABB4C91F}"/>
    <cellStyle name="Unprotect" xfId="30" xr:uid="{B510A288-A05D-40A2-AD64-2906F1437A0A}"/>
  </cellStyles>
  <dxfs count="17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BDFFDE"/>
      <color rgb="FF99FFCC"/>
      <color rgb="FFEFE7FD"/>
      <color rgb="FFAFFFFF"/>
      <color rgb="FF66FFFF"/>
      <color rgb="FFCC99FF"/>
      <color rgb="FF99FF99"/>
      <color rgb="FFFFE5FF"/>
      <color rgb="FFFF99FF"/>
      <color rgb="FFE6D9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6350</xdr:colOff>
      <xdr:row>9</xdr:row>
      <xdr:rowOff>0</xdr:rowOff>
    </xdr:from>
    <xdr:to>
      <xdr:col>5</xdr:col>
      <xdr:colOff>12700</xdr:colOff>
      <xdr:row>16</xdr:row>
      <xdr:rowOff>31750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22141E9F-9D49-7891-1F58-C2F7CD113892}"/>
            </a:ext>
          </a:extLst>
        </xdr:cNvPr>
        <xdr:cNvSpPr txBox="1"/>
      </xdr:nvSpPr>
      <xdr:spPr>
        <a:xfrm>
          <a:off x="2076450" y="1701800"/>
          <a:ext cx="10331450" cy="1320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1)</a:t>
          </a:r>
          <a:r>
            <a:rPr lang="en-US"/>
            <a:t> </a:t>
          </a:r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 Quarterly Tracker, as developed per the Affordability OIR and used across the California IOUs, performs high-level rate and bill calculation estimates which will not replicate rate or bill impacts that match SDG&amp;E’s modeling used for CPUC/FERC filings and implementation.</a:t>
          </a:r>
          <a:b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br>
            <a:rPr lang="en-US"/>
          </a:br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2)</a:t>
          </a:r>
          <a:r>
            <a:rPr lang="en-US"/>
            <a:t> </a:t>
          </a:r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Different rate components use simplified allocations that may not reflect actual revenue allocation and rate design.</a:t>
          </a:r>
          <a:r>
            <a:rPr lang="en-US"/>
            <a:t> </a:t>
          </a:r>
          <a:br>
            <a:rPr lang="en-US"/>
          </a:br>
          <a:br>
            <a:rPr lang="en-US"/>
          </a:br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3)</a:t>
          </a:r>
          <a:r>
            <a:rPr lang="en-US"/>
            <a:t> </a:t>
          </a:r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Forecasts may be held constant in outer years if an application has not yet been filed requesting a change, but it is not expected to roll-off. For example, the ERRA Application forecasts for the current year</a:t>
          </a:r>
          <a:r>
            <a:rPr lang="en-US" sz="1100" b="0" i="0" u="none" strike="sngStrike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are held constant over the next four</a:t>
          </a:r>
          <a:r>
            <a:rPr lang="en-US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years</a:t>
          </a:r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and will be updated as new ERRA Applications are filed.</a:t>
          </a:r>
          <a:r>
            <a:rPr lang="en-US"/>
            <a:t> </a:t>
          </a:r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011D80-63B9-4E40-9FE6-558C04A1579E}">
  <dimension ref="D8:E11"/>
  <sheetViews>
    <sheetView tabSelected="1" workbookViewId="0"/>
  </sheetViews>
  <sheetFormatPr defaultRowHeight="15"/>
  <cols>
    <col min="4" max="4" width="3.5703125" style="418" customWidth="1"/>
    <col min="5" max="5" width="150.5703125" customWidth="1"/>
  </cols>
  <sheetData>
    <row r="8" spans="4:5" ht="18.75">
      <c r="E8" s="417" t="s">
        <v>459</v>
      </c>
    </row>
    <row r="9" spans="4:5">
      <c r="D9" s="419"/>
      <c r="E9" s="416"/>
    </row>
    <row r="10" spans="4:5">
      <c r="D10" s="419"/>
      <c r="E10" s="416"/>
    </row>
    <row r="11" spans="4:5">
      <c r="D11" s="419"/>
      <c r="E11" s="416"/>
    </row>
  </sheetData>
  <pageMargins left="0.7" right="0.7" top="0.75" bottom="0.75" header="0.3" footer="0.3"/>
  <headerFooter>
    <oddFooter xml:space="preserve">&amp;C_x000D_&amp;1#&amp;"Calibri"&amp;12&amp;K000000 Public 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D84E4C-BF02-4908-B8DF-216621CCE212}">
  <sheetPr codeName="Sheet5"/>
  <dimension ref="B1:X107"/>
  <sheetViews>
    <sheetView zoomScaleNormal="100" workbookViewId="0"/>
  </sheetViews>
  <sheetFormatPr defaultColWidth="8.85546875" defaultRowHeight="15"/>
  <cols>
    <col min="1" max="1" width="5.5703125" style="6" customWidth="1"/>
    <col min="2" max="2" width="25" style="6" customWidth="1"/>
    <col min="3" max="3" width="21.28515625" style="6" customWidth="1"/>
    <col min="4" max="6" width="16.85546875" style="6" customWidth="1"/>
    <col min="7" max="7" width="18.28515625" style="6" customWidth="1"/>
    <col min="8" max="8" width="18.7109375" style="6" customWidth="1"/>
    <col min="9" max="10" width="16.85546875" style="6" customWidth="1"/>
    <col min="11" max="11" width="11.140625" style="6" customWidth="1"/>
    <col min="12" max="12" width="17" style="6" customWidth="1"/>
    <col min="13" max="13" width="15.7109375" style="6" customWidth="1"/>
    <col min="14" max="17" width="13.42578125" style="6" customWidth="1"/>
    <col min="18" max="19" width="15.85546875" style="6" customWidth="1"/>
    <col min="20" max="24" width="15.5703125" style="6" customWidth="1"/>
    <col min="25" max="16384" width="8.85546875" style="6"/>
  </cols>
  <sheetData>
    <row r="1" spans="2:20">
      <c r="B1" s="428" t="s">
        <v>125</v>
      </c>
      <c r="G1" s="41" t="s">
        <v>126</v>
      </c>
      <c r="H1" s="42"/>
      <c r="I1" s="42"/>
      <c r="L1" s="41" t="s">
        <v>467</v>
      </c>
      <c r="N1" s="41"/>
      <c r="O1" s="42"/>
      <c r="P1" s="42"/>
    </row>
    <row r="2" spans="2:20">
      <c r="B2" s="42"/>
      <c r="C2" s="43" t="s">
        <v>532</v>
      </c>
      <c r="D2" s="287">
        <v>2029</v>
      </c>
      <c r="E2" s="42"/>
      <c r="G2" s="42" t="s">
        <v>127</v>
      </c>
      <c r="H2" s="44"/>
      <c r="I2" s="537" t="s">
        <v>511</v>
      </c>
      <c r="L2" s="6" t="s">
        <v>503</v>
      </c>
    </row>
    <row r="3" spans="2:20">
      <c r="B3" s="45"/>
      <c r="C3" s="46" t="s">
        <v>128</v>
      </c>
      <c r="D3" s="287" t="s">
        <v>227</v>
      </c>
      <c r="G3" s="42" t="s">
        <v>130</v>
      </c>
      <c r="H3" s="44"/>
      <c r="I3" s="538">
        <f>IF($D$2=2025,2025,2026)</f>
        <v>2026</v>
      </c>
      <c r="L3" s="6" t="s">
        <v>469</v>
      </c>
    </row>
    <row r="4" spans="2:20">
      <c r="G4" s="45" t="s">
        <v>134</v>
      </c>
      <c r="I4" s="53">
        <v>5</v>
      </c>
      <c r="J4" s="45" t="s">
        <v>135</v>
      </c>
      <c r="L4" s="6" t="s">
        <v>464</v>
      </c>
    </row>
    <row r="5" spans="2:20">
      <c r="F5" s="48"/>
      <c r="G5" s="45" t="s">
        <v>136</v>
      </c>
      <c r="I5" s="53">
        <v>7</v>
      </c>
      <c r="J5" s="45" t="s">
        <v>135</v>
      </c>
      <c r="L5" s="425"/>
      <c r="M5" s="541" t="s">
        <v>465</v>
      </c>
      <c r="N5" s="542"/>
      <c r="O5" s="541" t="s">
        <v>466</v>
      </c>
      <c r="P5" s="542"/>
    </row>
    <row r="6" spans="2:20" ht="30">
      <c r="B6" s="49" t="s">
        <v>132</v>
      </c>
      <c r="C6" s="49"/>
      <c r="D6" s="427" t="s">
        <v>470</v>
      </c>
      <c r="E6" s="427" t="s">
        <v>133</v>
      </c>
      <c r="G6" s="45" t="s">
        <v>468</v>
      </c>
      <c r="I6" s="390">
        <f>IF($I$8="N",0,'Sales Allocations &amp; CCC'!$R$3)</f>
        <v>-81.37725457534664</v>
      </c>
      <c r="J6" s="45" t="s">
        <v>188</v>
      </c>
      <c r="L6" s="426" t="s">
        <v>131</v>
      </c>
      <c r="M6" s="426" t="s">
        <v>196</v>
      </c>
      <c r="N6" s="426" t="s">
        <v>197</v>
      </c>
      <c r="O6" s="426" t="s">
        <v>196</v>
      </c>
      <c r="P6" s="426" t="s">
        <v>197</v>
      </c>
    </row>
    <row r="7" spans="2:20">
      <c r="B7" t="s">
        <v>352</v>
      </c>
      <c r="D7" s="430" t="s">
        <v>26</v>
      </c>
      <c r="E7" s="48" t="s">
        <v>491</v>
      </c>
      <c r="F7" s="51"/>
      <c r="G7" s="45"/>
      <c r="I7" s="390">
        <f>IF($I$8="N",0,IF($D$2=2025,'Sales Allocations &amp; CCC'!$R$3,'Sales Allocations &amp; CCC'!$R$4))</f>
        <v>-53.906531876469231</v>
      </c>
      <c r="J7" s="45" t="s">
        <v>178</v>
      </c>
      <c r="L7" s="53" t="s">
        <v>153</v>
      </c>
      <c r="M7" s="165">
        <f>IF($D$3="ALL",SUMPRODUCT('Res Bill Impact'!Q22:Q25,'Res Bill Impact'!U22:U25),VLOOKUP($D$3,'Res Bill Impact'!$P$22:$V$25,2,FALSE))</f>
        <v>342.91891800000002</v>
      </c>
      <c r="N7" s="166">
        <f>IF($D$3="ALL",SUMPRODUCT('Res Bill Impact'!R22:R25,'Res Bill Impact'!U22:U25),VLOOKUP(D$3,'Res Bill Impact'!$P$22:$V$25,3,FALSE))</f>
        <v>303.58623299999999</v>
      </c>
      <c r="O7" s="165">
        <f>IF($D$3="ALL",SUMPRODUCT('Res Bill Impact'!Q31:Q34,'Res Bill Impact'!U31:U34),VLOOKUP($D$3,'Res Bill Impact'!$P$31:$V$34,2,FALSE))</f>
        <v>293.18844799999999</v>
      </c>
      <c r="P7" s="166">
        <f>IF($D$3="ALL",SUMPRODUCT('Res Bill Impact'!R31:R34,'Res Bill Impact'!U31:U34),VLOOKUP(D$3,'Res Bill Impact'!$P$31:$V$34,3,FALSE))</f>
        <v>272.42403400000001</v>
      </c>
    </row>
    <row r="8" spans="2:20">
      <c r="B8" s="6" t="s">
        <v>529</v>
      </c>
      <c r="C8" s="50"/>
      <c r="D8" s="429" t="s">
        <v>26</v>
      </c>
      <c r="E8" s="48" t="s">
        <v>491</v>
      </c>
      <c r="F8" s="51"/>
      <c r="H8" s="52" t="s">
        <v>471</v>
      </c>
      <c r="I8" s="343" t="s">
        <v>26</v>
      </c>
      <c r="J8" s="45"/>
      <c r="L8" s="53" t="s">
        <v>154</v>
      </c>
      <c r="M8" s="166">
        <f>IF($D$3="ALL",SUMPRODUCT('Res Bill Impact'!S22:S25,'Res Bill Impact'!V22:V25),VLOOKUP($D$3,'Res Bill Impact'!$P$22:$V$25,4,FALSE))</f>
        <v>335.11797200000001</v>
      </c>
      <c r="N8" s="166">
        <f>IF($D$3="ALL",SUMPRODUCT('Res Bill Impact'!T22:T25,'Res Bill Impact'!V22:V25),VLOOKUP($D$3,'Res Bill Impact'!$P$22:$V$25,5,FALSE))</f>
        <v>296.54197699999997</v>
      </c>
      <c r="O8" s="166">
        <f>IF($D$3="ALL",SUMPRODUCT('Res Bill Impact'!S31:S34,'Res Bill Impact'!V31:V34),VLOOKUP($D$3,'Res Bill Impact'!$P$31:$V$34,4,FALSE))</f>
        <v>300.67371600000001</v>
      </c>
      <c r="P8" s="166">
        <f>IF($D$3="ALL",SUMPRODUCT('Res Bill Impact'!T31:T34,'Res Bill Impact'!V31:V34),VLOOKUP($D$3,'Res Bill Impact'!$P$31:$V$34,5,FALSE))</f>
        <v>283.19878299999999</v>
      </c>
    </row>
    <row r="9" spans="2:20">
      <c r="B9" s="6" t="s">
        <v>101</v>
      </c>
      <c r="D9" s="429" t="s">
        <v>26</v>
      </c>
      <c r="E9" s="48" t="s">
        <v>508</v>
      </c>
      <c r="F9" s="51"/>
      <c r="H9" s="52" t="s">
        <v>462</v>
      </c>
      <c r="I9" s="53">
        <v>400</v>
      </c>
      <c r="J9" s="45"/>
    </row>
    <row r="10" spans="2:20">
      <c r="B10" s="6" t="s">
        <v>507</v>
      </c>
      <c r="D10" s="429" t="s">
        <v>26</v>
      </c>
      <c r="E10" s="48" t="s">
        <v>509</v>
      </c>
      <c r="F10" s="51"/>
      <c r="G10" s="540" t="s">
        <v>463</v>
      </c>
      <c r="H10" s="540"/>
      <c r="T10" s="45"/>
    </row>
    <row r="11" spans="2:20">
      <c r="B11" s="6" t="s">
        <v>514</v>
      </c>
      <c r="D11" s="429" t="s">
        <v>26</v>
      </c>
      <c r="E11" s="48">
        <v>2026</v>
      </c>
      <c r="F11" s="51"/>
      <c r="G11" s="540"/>
      <c r="H11" s="540"/>
    </row>
    <row r="12" spans="2:20">
      <c r="B12" s="6" t="s">
        <v>518</v>
      </c>
      <c r="D12" s="429" t="s">
        <v>26</v>
      </c>
      <c r="E12" s="48" t="s">
        <v>531</v>
      </c>
      <c r="F12" s="51"/>
      <c r="G12" s="540"/>
      <c r="H12" s="540"/>
    </row>
    <row r="13" spans="2:20">
      <c r="B13" s="6" t="s">
        <v>512</v>
      </c>
      <c r="D13" s="429" t="s">
        <v>26</v>
      </c>
      <c r="E13" s="48" t="s">
        <v>513</v>
      </c>
      <c r="F13" s="51"/>
    </row>
    <row r="14" spans="2:20">
      <c r="B14" s="6" t="s">
        <v>540</v>
      </c>
      <c r="C14" s="50"/>
      <c r="D14" s="429" t="s">
        <v>26</v>
      </c>
      <c r="E14" s="48">
        <v>2026</v>
      </c>
      <c r="F14" s="51"/>
    </row>
    <row r="15" spans="2:20">
      <c r="B15" s="6" t="s">
        <v>492</v>
      </c>
      <c r="C15" s="50"/>
      <c r="D15" s="429" t="s">
        <v>26</v>
      </c>
      <c r="E15" s="48">
        <v>2026</v>
      </c>
      <c r="F15" s="51"/>
    </row>
    <row r="16" spans="2:20">
      <c r="C16" s="50"/>
      <c r="D16" s="437"/>
      <c r="E16" s="48"/>
      <c r="F16" s="51"/>
    </row>
    <row r="17" spans="2:24">
      <c r="C17" s="50"/>
      <c r="D17" s="437"/>
      <c r="E17" s="48"/>
      <c r="F17" s="51"/>
    </row>
    <row r="18" spans="2:24">
      <c r="C18" s="50"/>
      <c r="D18" s="437"/>
      <c r="E18" s="48"/>
      <c r="F18" s="51"/>
    </row>
    <row r="19" spans="2:24">
      <c r="C19" s="50"/>
      <c r="D19" s="437"/>
      <c r="E19" s="48"/>
      <c r="F19" s="51"/>
    </row>
    <row r="20" spans="2:24">
      <c r="C20" s="50"/>
      <c r="D20" s="437"/>
      <c r="E20" s="48"/>
      <c r="F20" s="51"/>
    </row>
    <row r="21" spans="2:24">
      <c r="C21" s="50"/>
      <c r="D21" s="437"/>
      <c r="E21" s="48"/>
      <c r="F21" s="51"/>
    </row>
    <row r="22" spans="2:24">
      <c r="C22" s="50"/>
      <c r="D22" s="437"/>
      <c r="E22" s="48"/>
      <c r="F22" s="51"/>
    </row>
    <row r="23" spans="2:24">
      <c r="C23" s="50"/>
      <c r="D23" s="437"/>
      <c r="E23" s="48"/>
      <c r="F23" s="51"/>
      <c r="M23" s="45"/>
    </row>
    <row r="24" spans="2:24">
      <c r="C24" s="50"/>
      <c r="D24" s="437"/>
      <c r="E24" s="48"/>
      <c r="F24" s="51"/>
      <c r="M24" s="45"/>
    </row>
    <row r="25" spans="2:24">
      <c r="C25" s="50"/>
      <c r="D25" s="437"/>
      <c r="E25" s="48"/>
      <c r="F25" s="51"/>
      <c r="J25" s="45"/>
      <c r="M25" s="45"/>
    </row>
    <row r="26" spans="2:24">
      <c r="C26" s="50"/>
      <c r="D26" s="48"/>
      <c r="E26" s="48"/>
      <c r="F26" s="51"/>
      <c r="J26" s="45"/>
      <c r="M26" s="45"/>
    </row>
    <row r="27" spans="2:24">
      <c r="B27" s="41" t="s">
        <v>137</v>
      </c>
    </row>
    <row r="28" spans="2:24" ht="15.75" thickBot="1">
      <c r="D28" s="54" t="s">
        <v>138</v>
      </c>
      <c r="E28" s="54" t="s">
        <v>139</v>
      </c>
      <c r="F28" s="54" t="s">
        <v>140</v>
      </c>
      <c r="G28" s="54" t="s">
        <v>141</v>
      </c>
      <c r="H28" s="54" t="s">
        <v>142</v>
      </c>
      <c r="I28" s="54" t="s">
        <v>143</v>
      </c>
      <c r="J28" s="54" t="s">
        <v>144</v>
      </c>
      <c r="N28" s="54" t="s">
        <v>138</v>
      </c>
      <c r="O28" s="54" t="s">
        <v>139</v>
      </c>
      <c r="P28" s="54" t="s">
        <v>140</v>
      </c>
      <c r="Q28" s="54" t="s">
        <v>141</v>
      </c>
      <c r="R28" s="54" t="s">
        <v>142</v>
      </c>
      <c r="S28" s="54" t="s">
        <v>143</v>
      </c>
      <c r="T28" s="54" t="s">
        <v>144</v>
      </c>
    </row>
    <row r="29" spans="2:24">
      <c r="B29" s="564" t="s">
        <v>145</v>
      </c>
      <c r="C29" s="565"/>
      <c r="D29" s="565"/>
      <c r="E29" s="565"/>
      <c r="F29" s="565"/>
      <c r="G29" s="565"/>
      <c r="H29" s="565"/>
      <c r="I29" s="565"/>
      <c r="J29" s="566"/>
      <c r="L29" s="556" t="s">
        <v>146</v>
      </c>
      <c r="M29" s="557"/>
      <c r="N29" s="557"/>
      <c r="O29" s="557"/>
      <c r="P29" s="557"/>
      <c r="Q29" s="557"/>
      <c r="R29" s="557"/>
      <c r="S29" s="557"/>
      <c r="T29" s="558"/>
    </row>
    <row r="30" spans="2:24" ht="30">
      <c r="B30" s="559" t="s">
        <v>147</v>
      </c>
      <c r="C30" s="560"/>
      <c r="D30" s="55" t="s">
        <v>515</v>
      </c>
      <c r="E30" s="180" t="str">
        <f>I2</f>
        <v>6/1/25</v>
      </c>
      <c r="F30" s="56" t="str">
        <f>$D$2&amp;" Authorized"</f>
        <v>2029 Authorized</v>
      </c>
      <c r="G30" s="56" t="str">
        <f>$D$2&amp;" w/Pending"</f>
        <v>2029 w/Pending</v>
      </c>
      <c r="H30" s="297" t="str">
        <f>_xlfn.TEXTJOIN(" ",TRUE,"% Change over",D30)</f>
        <v>% Change over 2/1/2025</v>
      </c>
      <c r="I30" s="297" t="str">
        <f>_xlfn.TEXTJOIN(" ",TRUE,"% Change over",E30)</f>
        <v>% Change over 6/1/25</v>
      </c>
      <c r="J30" s="57" t="s">
        <v>148</v>
      </c>
      <c r="L30" s="561" t="s">
        <v>147</v>
      </c>
      <c r="M30" s="562"/>
      <c r="N30" s="217" t="str">
        <f>$D$30</f>
        <v>2/1/2025</v>
      </c>
      <c r="O30" s="180" t="str">
        <f>$E$30</f>
        <v>6/1/25</v>
      </c>
      <c r="P30" s="56" t="str">
        <f>$D$2&amp;" Authorized"</f>
        <v>2029 Authorized</v>
      </c>
      <c r="Q30" s="56" t="str">
        <f>$D$2&amp;" w/Pending"</f>
        <v>2029 w/Pending</v>
      </c>
      <c r="R30" s="56" t="str">
        <f>$H$30</f>
        <v>% Change over 2/1/2025</v>
      </c>
      <c r="S30" s="56" t="str">
        <f>$I$30</f>
        <v>% Change over 6/1/25</v>
      </c>
      <c r="T30" s="57" t="s">
        <v>148</v>
      </c>
    </row>
    <row r="31" spans="2:24">
      <c r="B31" s="553" t="s">
        <v>149</v>
      </c>
      <c r="C31" s="554"/>
      <c r="D31" s="471">
        <f>IF($I$8="Y",'SAR and RAR'!AC26,'SAR and RAR'!AE26)</f>
        <v>35.887999999999998</v>
      </c>
      <c r="E31" s="58">
        <f>'SAR and RAR'!H24</f>
        <v>37.777000000000001</v>
      </c>
      <c r="F31" s="58">
        <f>'SAR and RAR'!I24</f>
        <v>41.527766275097839</v>
      </c>
      <c r="G31" s="58">
        <f>'SAR and RAR'!J24</f>
        <v>45.013683128359304</v>
      </c>
      <c r="H31" s="59">
        <f>$G31/D31-1</f>
        <v>0.25428229849418482</v>
      </c>
      <c r="I31" s="59">
        <f t="shared" ref="H31:J33" si="0">$G31/E31-1</f>
        <v>0.19156320322840092</v>
      </c>
      <c r="J31" s="60">
        <f t="shared" si="0"/>
        <v>8.3941833764167528E-2</v>
      </c>
      <c r="K31" s="454"/>
      <c r="L31" s="553" t="s">
        <v>150</v>
      </c>
      <c r="M31" s="563"/>
      <c r="N31" s="58">
        <v>34.422815973627038</v>
      </c>
      <c r="O31" s="215">
        <f>'SAR and RAR'!S24</f>
        <v>36.233247053260584</v>
      </c>
      <c r="P31" s="58">
        <f>'SAR and RAR'!T24</f>
        <v>39.664902622967489</v>
      </c>
      <c r="Q31" s="58">
        <f>'SAR and RAR'!U24</f>
        <v>44.242326516094359</v>
      </c>
      <c r="R31" s="59">
        <f>$Q31/N31-1</f>
        <v>0.2852616866089781</v>
      </c>
      <c r="S31" s="59">
        <f>$Q31/O31-1</f>
        <v>0.22104227785770725</v>
      </c>
      <c r="T31" s="60">
        <f>$Q31/P31-1</f>
        <v>0.11540237314174995</v>
      </c>
      <c r="U31" s="154"/>
      <c r="V31" s="154"/>
      <c r="W31" s="154"/>
      <c r="X31" s="154"/>
    </row>
    <row r="32" spans="2:24">
      <c r="B32" s="263"/>
      <c r="C32" s="264" t="s">
        <v>431</v>
      </c>
      <c r="D32" s="471">
        <f>IF($I$8="Y",'SAR and RAR (TOU-A)'!AC26,'SAR and RAR (TOU-A)'!AE26)</f>
        <v>36.731000000000002</v>
      </c>
      <c r="E32" s="382">
        <f>'SAR and RAR (TOU-A)'!H24</f>
        <v>37.375</v>
      </c>
      <c r="F32" s="382">
        <f>'SAR and RAR (TOU-A)'!I24</f>
        <v>41.353532516807078</v>
      </c>
      <c r="G32" s="382">
        <f>'SAR and RAR (TOU-A)'!J24</f>
        <v>43.656195954373288</v>
      </c>
      <c r="H32" s="59">
        <f t="shared" si="0"/>
        <v>0.18853818176399462</v>
      </c>
      <c r="I32" s="59">
        <f t="shared" si="0"/>
        <v>0.16805875463206132</v>
      </c>
      <c r="J32" s="60">
        <f t="shared" si="0"/>
        <v>5.5682387874127937E-2</v>
      </c>
      <c r="K32" s="454"/>
      <c r="L32" s="263"/>
      <c r="M32" s="43" t="s">
        <v>431</v>
      </c>
      <c r="N32" s="382">
        <v>35.762671999002876</v>
      </c>
      <c r="O32" s="383">
        <f>'SAR and RAR (TOU-A)'!S24</f>
        <v>36.161311285846644</v>
      </c>
      <c r="P32" s="382">
        <f>'SAR and RAR (TOU-A)'!T24</f>
        <v>39.993409544501674</v>
      </c>
      <c r="Q32" s="382">
        <f>'SAR and RAR (TOU-A)'!U24</f>
        <v>43.093175683774767</v>
      </c>
      <c r="R32" s="59">
        <f t="shared" ref="R32:T33" si="1">$Q32/N32-1</f>
        <v>0.20497639787587119</v>
      </c>
      <c r="S32" s="59">
        <f t="shared" si="1"/>
        <v>0.1916928383247325</v>
      </c>
      <c r="T32" s="60">
        <f>$Q32/P32-1</f>
        <v>7.7506923630102253E-2</v>
      </c>
      <c r="U32" s="154"/>
      <c r="V32" s="154"/>
      <c r="W32" s="154"/>
      <c r="X32" s="154"/>
    </row>
    <row r="33" spans="2:24" ht="15.75" thickBot="1">
      <c r="B33" s="548" t="s">
        <v>151</v>
      </c>
      <c r="C33" s="549"/>
      <c r="D33" s="472">
        <f>IF($I$8="Y",'SAR and RAR'!AC27,'SAR and RAR'!AE27)</f>
        <v>34.025999999999996</v>
      </c>
      <c r="E33" s="61">
        <f>'SAR and RAR'!H25</f>
        <v>35.430999999999997</v>
      </c>
      <c r="F33" s="61">
        <f>'SAR and RAR'!I25</f>
        <v>39.079654180243196</v>
      </c>
      <c r="G33" s="61">
        <f>'SAR and RAR'!J25</f>
        <v>41.022652121412222</v>
      </c>
      <c r="H33" s="62">
        <f t="shared" si="0"/>
        <v>0.20562664202116698</v>
      </c>
      <c r="I33" s="62">
        <f t="shared" si="0"/>
        <v>0.1578180723494178</v>
      </c>
      <c r="J33" s="63">
        <f t="shared" si="0"/>
        <v>4.9718913381564978E-2</v>
      </c>
      <c r="K33" s="454"/>
      <c r="L33" s="548" t="s">
        <v>152</v>
      </c>
      <c r="M33" s="567"/>
      <c r="N33" s="61">
        <v>32.875275336408137</v>
      </c>
      <c r="O33" s="216">
        <f>'SAR and RAR'!S25</f>
        <v>34.280275336408138</v>
      </c>
      <c r="P33" s="61">
        <f>'SAR and RAR'!T25</f>
        <v>37.773152360357642</v>
      </c>
      <c r="Q33" s="61">
        <f>'SAR and RAR'!U25</f>
        <v>40.481833417534439</v>
      </c>
      <c r="R33" s="62">
        <f t="shared" si="1"/>
        <v>0.2313762547473579</v>
      </c>
      <c r="S33" s="62">
        <f t="shared" si="1"/>
        <v>0.18090747580839284</v>
      </c>
      <c r="T33" s="63">
        <f t="shared" si="1"/>
        <v>7.1709160817075901E-2</v>
      </c>
      <c r="U33" s="154"/>
      <c r="V33" s="154"/>
      <c r="W33" s="154"/>
      <c r="X33" s="154"/>
    </row>
    <row r="34" spans="2:24">
      <c r="E34" s="64"/>
      <c r="F34" s="64"/>
      <c r="G34" s="64"/>
      <c r="O34" s="64"/>
      <c r="P34" s="64"/>
      <c r="Q34" s="64"/>
    </row>
    <row r="35" spans="2:24" ht="15.75" thickBot="1">
      <c r="E35" s="64"/>
      <c r="F35" s="64"/>
      <c r="G35" s="64"/>
      <c r="O35" s="64"/>
      <c r="P35" s="64"/>
      <c r="Q35" s="64"/>
    </row>
    <row r="36" spans="2:24">
      <c r="B36" s="550" t="s">
        <v>284</v>
      </c>
      <c r="C36" s="551"/>
      <c r="D36" s="551"/>
      <c r="E36" s="551"/>
      <c r="F36" s="551"/>
      <c r="G36" s="551"/>
      <c r="H36" s="551"/>
      <c r="I36" s="551"/>
      <c r="J36" s="552"/>
      <c r="L36" s="550" t="s">
        <v>287</v>
      </c>
      <c r="M36" s="551"/>
      <c r="N36" s="551"/>
      <c r="O36" s="551"/>
      <c r="P36" s="551"/>
      <c r="Q36" s="551"/>
      <c r="R36" s="551"/>
      <c r="S36" s="551"/>
      <c r="T36" s="552"/>
    </row>
    <row r="37" spans="2:24" ht="30">
      <c r="B37" s="65"/>
      <c r="C37" s="66"/>
      <c r="D37" s="55" t="str">
        <f>$D$30</f>
        <v>2/1/2025</v>
      </c>
      <c r="E37" s="180" t="str">
        <f>$E$30</f>
        <v>6/1/25</v>
      </c>
      <c r="F37" s="56" t="str">
        <f>$D$2&amp;" Authorized"</f>
        <v>2029 Authorized</v>
      </c>
      <c r="G37" s="56" t="str">
        <f>$D$2&amp;" w/Pending"</f>
        <v>2029 w/Pending</v>
      </c>
      <c r="H37" s="56" t="str">
        <f>$H$30</f>
        <v>% Change over 2/1/2025</v>
      </c>
      <c r="I37" s="56" t="str">
        <f>$I$30</f>
        <v>% Change over 6/1/25</v>
      </c>
      <c r="J37" s="57" t="s">
        <v>148</v>
      </c>
      <c r="L37" s="65"/>
      <c r="M37" s="66"/>
      <c r="N37" s="55" t="str">
        <f>$D$30</f>
        <v>2/1/2025</v>
      </c>
      <c r="O37" s="180" t="str">
        <f>$E$30</f>
        <v>6/1/25</v>
      </c>
      <c r="P37" s="56" t="str">
        <f>$D$2&amp;" Authorized"</f>
        <v>2029 Authorized</v>
      </c>
      <c r="Q37" s="56" t="str">
        <f>$D$2&amp;" w/Pending"</f>
        <v>2029 w/Pending</v>
      </c>
      <c r="R37" s="56" t="str">
        <f>$H$30</f>
        <v>% Change over 2/1/2025</v>
      </c>
      <c r="S37" s="56" t="str">
        <f>$I$30</f>
        <v>% Change over 6/1/25</v>
      </c>
      <c r="T37" s="57" t="s">
        <v>148</v>
      </c>
    </row>
    <row r="38" spans="2:24">
      <c r="B38" s="546" t="s">
        <v>153</v>
      </c>
      <c r="C38" s="547"/>
      <c r="D38" s="161">
        <f>((D44*5)+(D50*7)+(I6*2))/12</f>
        <v>116.89568534101353</v>
      </c>
      <c r="E38" s="161">
        <f>((E44*5)+(E50*7)+(I6*2))/12</f>
        <v>122.73307170168799</v>
      </c>
      <c r="F38" s="162">
        <f>((F44*5)+(F50*7)+(I7*2))/12</f>
        <v>140.8922982398974</v>
      </c>
      <c r="G38" s="162">
        <f>((G44*5)+(G50*7)+(I7*2))/12</f>
        <v>147.62333820133631</v>
      </c>
      <c r="H38" s="67">
        <f t="shared" ref="H38:I40" si="2">$G38/D38-1</f>
        <v>0.26286387534905709</v>
      </c>
      <c r="I38" s="68">
        <f t="shared" si="2"/>
        <v>0.20279999640313728</v>
      </c>
      <c r="J38" s="69">
        <f>$G38/F38-1</f>
        <v>4.7774364145710457E-2</v>
      </c>
      <c r="K38" s="454"/>
      <c r="L38" s="546" t="s">
        <v>153</v>
      </c>
      <c r="M38" s="547"/>
      <c r="N38" s="161">
        <f>((N44*5)+(N50*7)+(I6*2))/12</f>
        <v>103.59243731645124</v>
      </c>
      <c r="O38" s="161">
        <f>((O44*5)+(O50*7)+(I6*2))/12</f>
        <v>108.83479289393846</v>
      </c>
      <c r="P38" s="162">
        <f>((P44*5)+(P50*7)+(I7*2))/12</f>
        <v>125.60967079571473</v>
      </c>
      <c r="Q38" s="162">
        <f>((Q44*5)+(Q50*7)+(I7*2))/12</f>
        <v>131.65458588337421</v>
      </c>
      <c r="R38" s="67">
        <f t="shared" ref="R38:T40" si="3">$Q38/N38-1</f>
        <v>0.27088993457311483</v>
      </c>
      <c r="S38" s="67">
        <f t="shared" si="3"/>
        <v>0.20967369333512731</v>
      </c>
      <c r="T38" s="268">
        <f t="shared" si="3"/>
        <v>4.8124599398804424E-2</v>
      </c>
    </row>
    <row r="39" spans="2:24">
      <c r="B39" s="546" t="s">
        <v>154</v>
      </c>
      <c r="C39" s="547"/>
      <c r="D39" s="161">
        <f>((D45*5)+(D51*7)+(I6*2))/12</f>
        <v>65.666347960322213</v>
      </c>
      <c r="E39" s="161">
        <f>((E45*5)+(E51*7)+(I6*2))/12</f>
        <v>69.370839363084727</v>
      </c>
      <c r="F39" s="162">
        <f>((F45*5)+(F51*7)+(I7*2))/12</f>
        <v>82.203540135828277</v>
      </c>
      <c r="G39" s="162">
        <f>((G45*5)+(G51*7)+(I7*2))/12</f>
        <v>86.294593519948265</v>
      </c>
      <c r="H39" s="67">
        <f t="shared" si="2"/>
        <v>0.31413724381459929</v>
      </c>
      <c r="I39" s="67">
        <f t="shared" si="2"/>
        <v>0.24396063695128656</v>
      </c>
      <c r="J39" s="69">
        <f>$G39/F39-1</f>
        <v>4.9767362541323301E-2</v>
      </c>
      <c r="K39" s="454"/>
      <c r="L39" s="546" t="s">
        <v>154</v>
      </c>
      <c r="M39" s="547"/>
      <c r="N39" s="161">
        <f>((N45*5)+(N51*7)+(I6*2))/12</f>
        <v>61.931634958045557</v>
      </c>
      <c r="O39" s="161">
        <f>((O45*5)+(O51*7)+(I6*2))/12</f>
        <v>65.458104287149723</v>
      </c>
      <c r="P39" s="162">
        <f>((P45*5)+(P51*7)+(I7*2))/12</f>
        <v>77.901967314345526</v>
      </c>
      <c r="Q39" s="162">
        <f>((Q45*5)+(Q51*7)+(I7*2))/12</f>
        <v>81.800301001950345</v>
      </c>
      <c r="R39" s="67">
        <f t="shared" si="3"/>
        <v>0.3208161072667377</v>
      </c>
      <c r="S39" s="67">
        <f t="shared" si="3"/>
        <v>0.24965887559332822</v>
      </c>
      <c r="T39" s="69">
        <f t="shared" si="3"/>
        <v>5.0041530682716662E-2</v>
      </c>
    </row>
    <row r="40" spans="2:24" ht="15.75" thickBot="1">
      <c r="B40" s="548" t="s">
        <v>113</v>
      </c>
      <c r="C40" s="549"/>
      <c r="D40" s="163">
        <f>((D46*5)+(D52*7)+(I6*2))/12</f>
        <v>105.45587259465425</v>
      </c>
      <c r="E40" s="163">
        <f>((E46*5)+(E52*7)+(I6*2))/12</f>
        <v>110.81697094978909</v>
      </c>
      <c r="F40" s="164">
        <f>((F46*5)+(F52*7)+(I7*2))/12</f>
        <v>127.78675291461325</v>
      </c>
      <c r="G40" s="164">
        <f>((G46*5)+(G52*7)+(I7*2))/12</f>
        <v>133.92826832544156</v>
      </c>
      <c r="H40" s="70">
        <f t="shared" si="2"/>
        <v>0.2699934582138257</v>
      </c>
      <c r="I40" s="70">
        <f t="shared" si="2"/>
        <v>0.20855377274410558</v>
      </c>
      <c r="J40" s="71">
        <f>$G40/F40-1</f>
        <v>4.8060657859677169E-2</v>
      </c>
      <c r="K40" s="454"/>
      <c r="L40" s="548" t="s">
        <v>113</v>
      </c>
      <c r="M40" s="549"/>
      <c r="N40" s="163">
        <f>((N46*5)+(N52*7)+(I6*2))/12</f>
        <v>94.289334793347493</v>
      </c>
      <c r="O40" s="163">
        <f>((O46*5)+(O52*7)+(I6*2))/12</f>
        <v>99.148522866057377</v>
      </c>
      <c r="P40" s="164">
        <f>((P46*5)+(P52*7)+(I7*2))/12</f>
        <v>114.95625963932923</v>
      </c>
      <c r="Q40" s="164">
        <f>((Q46*5)+(Q52*7)+(I7*2))/12</f>
        <v>120.52183045831386</v>
      </c>
      <c r="R40" s="70">
        <f t="shared" si="3"/>
        <v>0.27821275568928061</v>
      </c>
      <c r="S40" s="70">
        <f t="shared" si="3"/>
        <v>0.21556859320163846</v>
      </c>
      <c r="T40" s="71">
        <f t="shared" si="3"/>
        <v>4.8414682562275324E-2</v>
      </c>
    </row>
    <row r="41" spans="2:24" ht="15.75" thickBot="1">
      <c r="D41" s="464"/>
      <c r="E41" s="464"/>
      <c r="F41" s="464"/>
      <c r="G41" s="464"/>
      <c r="N41" s="464"/>
      <c r="O41" s="464"/>
      <c r="P41" s="464"/>
      <c r="Q41" s="464"/>
    </row>
    <row r="42" spans="2:24">
      <c r="B42" s="550" t="s">
        <v>285</v>
      </c>
      <c r="C42" s="551"/>
      <c r="D42" s="551"/>
      <c r="E42" s="551"/>
      <c r="F42" s="551"/>
      <c r="G42" s="551"/>
      <c r="H42" s="551"/>
      <c r="I42" s="551"/>
      <c r="J42" s="552"/>
      <c r="L42" s="550" t="s">
        <v>288</v>
      </c>
      <c r="M42" s="551"/>
      <c r="N42" s="551"/>
      <c r="O42" s="551"/>
      <c r="P42" s="551"/>
      <c r="Q42" s="551"/>
      <c r="R42" s="551"/>
      <c r="S42" s="551"/>
      <c r="T42" s="552"/>
    </row>
    <row r="43" spans="2:24" ht="30">
      <c r="B43" s="65"/>
      <c r="C43" s="66"/>
      <c r="D43" s="55" t="str">
        <f>$D$30</f>
        <v>2/1/2025</v>
      </c>
      <c r="E43" s="180" t="str">
        <f>$E$30</f>
        <v>6/1/25</v>
      </c>
      <c r="F43" s="56" t="str">
        <f>$D$2&amp;" Authorized"</f>
        <v>2029 Authorized</v>
      </c>
      <c r="G43" s="56" t="str">
        <f>$D$2&amp;" w/Pending"</f>
        <v>2029 w/Pending</v>
      </c>
      <c r="H43" s="56" t="str">
        <f>$H$30</f>
        <v>% Change over 2/1/2025</v>
      </c>
      <c r="I43" s="56" t="str">
        <f>$I$30</f>
        <v>% Change over 6/1/25</v>
      </c>
      <c r="J43" s="57" t="s">
        <v>148</v>
      </c>
      <c r="L43" s="65"/>
      <c r="M43" s="66"/>
      <c r="N43" s="55" t="str">
        <f>$D$30</f>
        <v>2/1/2025</v>
      </c>
      <c r="O43" s="180" t="str">
        <f>$E$30</f>
        <v>6/1/25</v>
      </c>
      <c r="P43" s="56" t="str">
        <f>$D$2&amp;" Authorized"</f>
        <v>2029 Authorized</v>
      </c>
      <c r="Q43" s="56" t="str">
        <f>$D$2&amp;" w/Pending"</f>
        <v>2029 w/Pending</v>
      </c>
      <c r="R43" s="56" t="str">
        <f>$H$30</f>
        <v>% Change over 2/1/2025</v>
      </c>
      <c r="S43" s="56" t="str">
        <f>$I$30</f>
        <v>% Change over 6/1/25</v>
      </c>
      <c r="T43" s="57" t="s">
        <v>148</v>
      </c>
    </row>
    <row r="44" spans="2:24">
      <c r="B44" s="546" t="s">
        <v>153</v>
      </c>
      <c r="C44" s="547"/>
      <c r="D44" s="161">
        <f>IF($D$3="All",'Res Bill Impact'!$C$47,(VLOOKUP($D$3,'Res Bill Impact'!$B$43:$J$46,2,FALSE)))</f>
        <v>139.81320210885468</v>
      </c>
      <c r="E44" s="161">
        <f>IF($D$3="All",'Res Bill Impact'!$E$47,(VLOOKUP($D$3,'Res Bill Impact'!$B$43:$J$46,4,FALSE)))</f>
        <v>146.06916317517758</v>
      </c>
      <c r="F44" s="162">
        <f>IF($D$3="All",'Res Bill Impact'!$G$47,(VLOOKUP($D$3,'Res Bill Impact'!$B$43:$J$46,6,FALSE)))</f>
        <v>160.62375667932207</v>
      </c>
      <c r="G44" s="162">
        <f>IF($D$3="All",'Res Bill Impact'!$I$47,(VLOOKUP($D$3,'Res Bill Impact'!$B$43:$J$46,8,FALSE)))</f>
        <v>167.83745153054997</v>
      </c>
      <c r="H44" s="67">
        <f t="shared" ref="H44:I46" si="4">$G44/D44-1</f>
        <v>0.20044065223451768</v>
      </c>
      <c r="I44" s="67">
        <f t="shared" si="4"/>
        <v>0.14902726819394552</v>
      </c>
      <c r="J44" s="69">
        <f>$G44/F44-1</f>
        <v>4.4910510128521652E-2</v>
      </c>
      <c r="K44" s="454"/>
      <c r="L44" s="546" t="s">
        <v>153</v>
      </c>
      <c r="M44" s="547"/>
      <c r="N44" s="161">
        <f>IF($D$3="All",'Res Bill Impact'!$N$47,(VLOOKUP($D$3,'Res Bill Impact'!$M$43:$U$46,2,FALSE)))</f>
        <v>125.67282316772021</v>
      </c>
      <c r="O44" s="161">
        <f>IF($D$3="All",'Res Bill Impact'!$P$47,(VLOOKUP($D$3,'Res Bill Impact'!$M$43:$U$46,4,FALSE)))</f>
        <v>131.29661075776258</v>
      </c>
      <c r="P44" s="162">
        <f>IF($D$3="All",'Res Bill Impact'!$R$47,(VLOOKUP($D$3,'Res Bill Impact'!$M$43:$U$46,6,FALSE)))</f>
        <v>144.38044255578077</v>
      </c>
      <c r="Q44" s="162">
        <f>IF($D$3="All",'Res Bill Impact'!$T$47,(VLOOKUP($D$3,'Res Bill Impact'!$M$43:$U$46,8,FALSE)))</f>
        <v>150.8651836135657</v>
      </c>
      <c r="R44" s="67">
        <f t="shared" ref="R44:T46" si="5">$Q44/N44-1</f>
        <v>0.20045989109534301</v>
      </c>
      <c r="S44" s="67">
        <f t="shared" si="5"/>
        <v>0.14904095957135111</v>
      </c>
      <c r="T44" s="67">
        <f t="shared" si="5"/>
        <v>4.4914262229661661E-2</v>
      </c>
    </row>
    <row r="45" spans="2:24">
      <c r="B45" s="546" t="s">
        <v>154</v>
      </c>
      <c r="C45" s="547"/>
      <c r="D45" s="161">
        <f>IF($D$3="All",'Res Bill Impact'!$C$57,(VLOOKUP($D$3,'Res Bill Impact'!$B$53:$J$56,2,FALSE)))</f>
        <v>84.932298823679986</v>
      </c>
      <c r="E45" s="161">
        <f>IF($D$3="All",'Res Bill Impact'!$E$57,(VLOOKUP($D$3,'Res Bill Impact'!$B$53:$J$56,4,FALSE)))</f>
        <v>88.90344679188</v>
      </c>
      <c r="F45" s="162">
        <f>IF($D$3="All",'Res Bill Impact'!$G$57,(VLOOKUP($D$3,'Res Bill Impact'!$B$53:$J$56,6,FALSE)))</f>
        <v>97.751850688111631</v>
      </c>
      <c r="G45" s="162">
        <f>IF($D$3="All",'Res Bill Impact'!$I$57,(VLOOKUP($D$3,'Res Bill Impact'!$B$53:$J$56,8,FALSE)))</f>
        <v>102.13738612815365</v>
      </c>
      <c r="H45" s="67">
        <f t="shared" si="4"/>
        <v>0.20257413896439491</v>
      </c>
      <c r="I45" s="67">
        <f t="shared" si="4"/>
        <v>0.14885743819644981</v>
      </c>
      <c r="J45" s="69">
        <f>$G45/F45-1</f>
        <v>4.486396328223563E-2</v>
      </c>
      <c r="K45" s="454"/>
      <c r="L45" s="546" t="s">
        <v>154</v>
      </c>
      <c r="M45" s="547"/>
      <c r="N45" s="161">
        <f>IF($D$3="All",'Res Bill Impact'!$N$57,(VLOOKUP($D$3,'Res Bill Impact'!$M$53:$U$56,2,FALSE)))</f>
        <v>80.703366340519992</v>
      </c>
      <c r="O45" s="161">
        <f>IF($D$3="All",'Res Bill Impact'!$P$57,(VLOOKUP($D$3,'Res Bill Impact'!$M$53:$U$56,4,FALSE)))</f>
        <v>84.468624920400003</v>
      </c>
      <c r="P45" s="162">
        <f>IF($D$3="All",'Res Bill Impact'!$R$57,(VLOOKUP($D$3,'Res Bill Impact'!$M$53:$U$56,6,FALSE)))</f>
        <v>92.877054554519731</v>
      </c>
      <c r="Q45" s="162">
        <f>IF($D$3="All",'Res Bill Impact'!$T$57,(VLOOKUP($D$3,'Res Bill Impact'!$M$53:$U$56,8,FALSE)))</f>
        <v>97.044525500464701</v>
      </c>
      <c r="R45" s="67">
        <f t="shared" si="5"/>
        <v>0.20248423208264676</v>
      </c>
      <c r="S45" s="67">
        <f t="shared" si="5"/>
        <v>0.14888250627870114</v>
      </c>
      <c r="T45" s="69">
        <f t="shared" si="5"/>
        <v>4.4870834523489611E-2</v>
      </c>
    </row>
    <row r="46" spans="2:24" ht="15.75" thickBot="1">
      <c r="B46" s="548" t="s">
        <v>113</v>
      </c>
      <c r="C46" s="549"/>
      <c r="D46" s="163">
        <f>D44*(1-'SAR and RAR'!$AD$16)+D45*'SAR and RAR'!$AD$16</f>
        <v>127.55797319054969</v>
      </c>
      <c r="E46" s="163">
        <f>E44*(1-'SAR and RAR'!$AD$16)+E45*'SAR and RAR'!$AD$16</f>
        <v>133.30372203591958</v>
      </c>
      <c r="F46" s="163">
        <f>F44*(1-'SAR and RAR'!$AD$16)+F45*'SAR and RAR'!$AD$16</f>
        <v>146.5840897946741</v>
      </c>
      <c r="G46" s="163">
        <f>G44*(1-'SAR and RAR'!$AD$16)+G45*'SAR and RAR'!$AD$16</f>
        <v>153.16623999326683</v>
      </c>
      <c r="H46" s="70">
        <f t="shared" si="4"/>
        <v>0.2007578684592517</v>
      </c>
      <c r="I46" s="70">
        <f t="shared" si="4"/>
        <v>0.14900197574374685</v>
      </c>
      <c r="J46" s="71">
        <f>$G46/F46-1</f>
        <v>4.4903578606741101E-2</v>
      </c>
      <c r="K46" s="454"/>
      <c r="L46" s="548" t="s">
        <v>113</v>
      </c>
      <c r="M46" s="549"/>
      <c r="N46" s="163">
        <f>N44*(1-'SAR and RAR'!$AD$16)+N45*'SAR and RAR'!$AD$16</f>
        <v>115.63087861579723</v>
      </c>
      <c r="O46" s="163">
        <f>O44*(1-'SAR and RAR'!$AD$16)+O45*'SAR and RAR'!$AD$16</f>
        <v>120.83964573227894</v>
      </c>
      <c r="P46" s="163">
        <f>P44*(1-'SAR and RAR'!$AD$16)+P45*'SAR and RAR'!$AD$16</f>
        <v>132.87943269185891</v>
      </c>
      <c r="Q46" s="163">
        <f>Q44*(1-'SAR and RAR'!$AD$16)+Q45*'SAR and RAR'!$AD$16</f>
        <v>138.84671368637595</v>
      </c>
      <c r="R46" s="70">
        <f t="shared" si="5"/>
        <v>0.20077539277131318</v>
      </c>
      <c r="S46" s="70">
        <f t="shared" si="5"/>
        <v>0.14901622596603592</v>
      </c>
      <c r="T46" s="71">
        <f t="shared" si="5"/>
        <v>4.4907483977259854E-2</v>
      </c>
    </row>
    <row r="47" spans="2:24" ht="15.75" thickBot="1">
      <c r="D47" s="464"/>
      <c r="E47" s="464"/>
      <c r="F47" s="464"/>
      <c r="G47" s="464"/>
      <c r="N47" s="464"/>
      <c r="O47" s="464"/>
      <c r="P47" s="464"/>
      <c r="Q47" s="464"/>
    </row>
    <row r="48" spans="2:24">
      <c r="B48" s="550" t="s">
        <v>286</v>
      </c>
      <c r="C48" s="551"/>
      <c r="D48" s="551"/>
      <c r="E48" s="551"/>
      <c r="F48" s="551"/>
      <c r="G48" s="551"/>
      <c r="H48" s="551"/>
      <c r="I48" s="551"/>
      <c r="J48" s="552"/>
      <c r="L48" s="550" t="s">
        <v>293</v>
      </c>
      <c r="M48" s="551"/>
      <c r="N48" s="551"/>
      <c r="O48" s="551"/>
      <c r="P48" s="551"/>
      <c r="Q48" s="551"/>
      <c r="R48" s="551"/>
      <c r="S48" s="551"/>
      <c r="T48" s="552"/>
    </row>
    <row r="49" spans="2:20" ht="30">
      <c r="B49" s="65"/>
      <c r="C49" s="66"/>
      <c r="D49" s="55" t="str">
        <f>$D$30</f>
        <v>2/1/2025</v>
      </c>
      <c r="E49" s="180" t="str">
        <f>$E$30</f>
        <v>6/1/25</v>
      </c>
      <c r="F49" s="56" t="str">
        <f>$D$2&amp;" Authorized"</f>
        <v>2029 Authorized</v>
      </c>
      <c r="G49" s="56" t="str">
        <f>$D$2&amp;" w/Pending"</f>
        <v>2029 w/Pending</v>
      </c>
      <c r="H49" s="56" t="str">
        <f>$H$30</f>
        <v>% Change over 2/1/2025</v>
      </c>
      <c r="I49" s="56" t="str">
        <f>$I$30</f>
        <v>% Change over 6/1/25</v>
      </c>
      <c r="J49" s="57" t="s">
        <v>148</v>
      </c>
      <c r="L49" s="65"/>
      <c r="M49" s="66"/>
      <c r="N49" s="55" t="str">
        <f>$D$30</f>
        <v>2/1/2025</v>
      </c>
      <c r="O49" s="180" t="str">
        <f>$E$30</f>
        <v>6/1/25</v>
      </c>
      <c r="P49" s="56" t="str">
        <f>$D$2&amp;" Authorized"</f>
        <v>2029 Authorized</v>
      </c>
      <c r="Q49" s="56" t="str">
        <f>$D$2&amp;" w/Pending"</f>
        <v>2029 w/Pending</v>
      </c>
      <c r="R49" s="56" t="str">
        <f>$H$30</f>
        <v>% Change over 2/1/2025</v>
      </c>
      <c r="S49" s="56" t="str">
        <f>$I$30</f>
        <v>% Change over 6/1/25</v>
      </c>
      <c r="T49" s="57" t="s">
        <v>148</v>
      </c>
    </row>
    <row r="50" spans="2:20">
      <c r="B50" s="546" t="s">
        <v>153</v>
      </c>
      <c r="C50" s="547"/>
      <c r="D50" s="161">
        <f>IF($D$3="All",'Res Bill Impact'!$D$47,(VLOOKUP($D$3,'Res Bill Impact'!$B$43:$J$46,3,FALSE)))</f>
        <v>123.77667467122605</v>
      </c>
      <c r="E50" s="161">
        <f>IF($D$3="All",'Res Bill Impact'!$F$47,(VLOOKUP($D$3,'Res Bill Impact'!$B$43:$J$46,5,FALSE)))</f>
        <v>129.31507909929448</v>
      </c>
      <c r="F50" s="162">
        <f>IF($D$3="All",'Res Bill Impact'!$H$47,(VLOOKUP($D$3,'Res Bill Impact'!$B$43:$J$46,7,FALSE)))</f>
        <v>142.20026560501387</v>
      </c>
      <c r="G50" s="162">
        <f>IF($D$3="All",'Res Bill Impact'!$J$47,(VLOOKUP($D$3,'Res Bill Impact'!$B$43:$J$46,9,FALSE)))</f>
        <v>148.58655207374633</v>
      </c>
      <c r="H50" s="67">
        <f t="shared" ref="H50:I52" si="6">$G50/D50-1</f>
        <v>0.2004406522345179</v>
      </c>
      <c r="I50" s="67">
        <f t="shared" si="6"/>
        <v>0.14902726819394574</v>
      </c>
      <c r="J50" s="69">
        <f>$G50/F50-1</f>
        <v>4.4910510128521874E-2</v>
      </c>
      <c r="K50" s="454"/>
      <c r="L50" s="546" t="s">
        <v>153</v>
      </c>
      <c r="M50" s="547"/>
      <c r="N50" s="161">
        <f>IF($D$3="All",'Res Bill Impact'!$O$47,(VLOOKUP($D$3,'Res Bill Impact'!$M$43:$U$46,3,FALSE)))</f>
        <v>111.07137730135815</v>
      </c>
      <c r="O50" s="161">
        <f>IF($D$3="All",'Res Bill Impact'!$Q$47,(VLOOKUP($D$3,'Res Bill Impact'!$M$43:$U$46,5,FALSE)))</f>
        <v>116.04128144130598</v>
      </c>
      <c r="P50" s="162">
        <f>IF($D$3="All",'Res Bill Impact'!$S$47,(VLOOKUP($D$3,'Res Bill Impact'!$M$43:$U$46,7,FALSE)))</f>
        <v>127.60384293180164</v>
      </c>
      <c r="Q50" s="162">
        <f>IF($D$3="All",'Res Bill Impact'!$U$47,(VLOOKUP($D$3,'Res Bill Impact'!$M$43:$U$46,9,FALSE)))</f>
        <v>133.33459661222861</v>
      </c>
      <c r="R50" s="67">
        <f t="shared" ref="R50:T52" si="7">$Q50/N50-1</f>
        <v>0.2004406522345179</v>
      </c>
      <c r="S50" s="67">
        <f t="shared" si="7"/>
        <v>0.14902726819394552</v>
      </c>
      <c r="T50" s="268">
        <f t="shared" si="7"/>
        <v>4.4910510128521652E-2</v>
      </c>
    </row>
    <row r="51" spans="2:20">
      <c r="B51" s="546" t="s">
        <v>154</v>
      </c>
      <c r="C51" s="547"/>
      <c r="D51" s="161">
        <f>IF($D$3="All",'Res Bill Impact'!$D$57,(VLOOKUP($D$3,'Res Bill Impact'!$B$53:$J$56,3,FALSE)))</f>
        <v>75.15559865087998</v>
      </c>
      <c r="E51" s="161">
        <f>IF($D$3="All",'Res Bill Impact'!$F$57,(VLOOKUP($D$3,'Res Bill Impact'!$B$53:$J$56,5,FALSE)))</f>
        <v>78.669621078329982</v>
      </c>
      <c r="F51" s="162">
        <f>IF($D$3="All",'Res Bill Impact'!$H$57,(VLOOKUP($D$3,'Res Bill Impact'!$B$53:$J$56,7,FALSE)))</f>
        <v>86.499470277474202</v>
      </c>
      <c r="G51" s="162">
        <f>IF($D$3="All",'Res Bill Impact'!$J$57,(VLOOKUP($D$3,'Res Bill Impact'!$B$53:$J$56,9,FALSE)))</f>
        <v>90.380179335935637</v>
      </c>
      <c r="H51" s="67">
        <f t="shared" si="6"/>
        <v>0.20257413896439491</v>
      </c>
      <c r="I51" s="67">
        <f t="shared" si="6"/>
        <v>0.14885743819645003</v>
      </c>
      <c r="J51" s="69">
        <f>$G51/F51-1</f>
        <v>4.486396328223563E-2</v>
      </c>
      <c r="K51" s="454"/>
      <c r="L51" s="546" t="s">
        <v>154</v>
      </c>
      <c r="M51" s="547"/>
      <c r="N51" s="161">
        <f>IF($D$3="All",'Res Bill Impact'!$O$57,(VLOOKUP($D$3,'Res Bill Impact'!$M$53:$U$56,3,FALSE)))</f>
        <v>71.77389956351999</v>
      </c>
      <c r="O51" s="161">
        <f>IF($D$3="All",'Res Bill Impact'!$Q$57,(VLOOKUP($D$3,'Res Bill Impact'!$M$53:$U$56,5,FALSE)))</f>
        <v>75.129805142069998</v>
      </c>
      <c r="P51" s="162">
        <f>IF($D$3="All",'Res Bill Impact'!$S$57,(VLOOKUP($D$3,'Res Bill Impact'!$M$53:$U$56,7,FALSE)))</f>
        <v>82.607342678926585</v>
      </c>
      <c r="Q51" s="162">
        <f>IF($D$3="All",'Res Bill Impact'!$U$57,(VLOOKUP($D$3,'Res Bill Impact'!$M$53:$U$56,9,FALSE)))</f>
        <v>86.313435467717014</v>
      </c>
      <c r="R51" s="67">
        <f t="shared" si="7"/>
        <v>0.20257413896439491</v>
      </c>
      <c r="S51" s="67">
        <f t="shared" si="7"/>
        <v>0.14885743819645003</v>
      </c>
      <c r="T51" s="69">
        <f t="shared" si="7"/>
        <v>4.4863963282235853E-2</v>
      </c>
    </row>
    <row r="52" spans="2:20" ht="15.75" thickBot="1">
      <c r="B52" s="548" t="s">
        <v>113</v>
      </c>
      <c r="C52" s="549"/>
      <c r="D52" s="163">
        <f>D50*(1-'SAR and RAR'!$AD$16)+D51*'SAR and RAR'!$AD$16</f>
        <v>112.91930204768516</v>
      </c>
      <c r="E52" s="163">
        <f>E50*(1-'SAR and RAR'!$AD$16)+E51*'SAR and RAR'!$AD$16</f>
        <v>118.0056500526521</v>
      </c>
      <c r="F52" s="163">
        <f>F50*(1-'SAR and RAR'!$AD$16)+F51*'SAR and RAR'!$AD$16</f>
        <v>129.76194996498955</v>
      </c>
      <c r="G52" s="163">
        <f>G50*(1-'SAR and RAR'!$AD$16)+G51*'SAR and RAR'!$AD$16</f>
        <v>135.58872624170044</v>
      </c>
      <c r="H52" s="70">
        <f t="shared" si="6"/>
        <v>0.2007577427678584</v>
      </c>
      <c r="I52" s="70">
        <f t="shared" si="6"/>
        <v>0.14900198576257218</v>
      </c>
      <c r="J52" s="71">
        <f>$G52/F52-1</f>
        <v>4.4903581352491839E-2</v>
      </c>
      <c r="K52" s="454"/>
      <c r="L52" s="548" t="s">
        <v>113</v>
      </c>
      <c r="M52" s="549"/>
      <c r="N52" s="163">
        <f>N50*(1-'SAR and RAR'!$AD$16)+N51*'SAR and RAR'!$AD$16</f>
        <v>102.29601908455385</v>
      </c>
      <c r="O52" s="163">
        <f>O50*(1-'SAR and RAR'!$AD$16)+O51*'SAR and RAR'!$AD$16</f>
        <v>106.90550784028389</v>
      </c>
      <c r="P52" s="163">
        <f>P50*(1-'SAR and RAR'!$AD$16)+P51*'SAR and RAR'!$AD$16</f>
        <v>117.55585942365636</v>
      </c>
      <c r="Q52" s="163">
        <f>Q50*(1-'SAR and RAR'!$AD$16)+Q51*'SAR and RAR'!$AD$16</f>
        <v>122.834494402975</v>
      </c>
      <c r="R52" s="70">
        <f t="shared" si="7"/>
        <v>0.20077492264332264</v>
      </c>
      <c r="S52" s="70">
        <f t="shared" si="7"/>
        <v>0.14900061638067252</v>
      </c>
      <c r="T52" s="71">
        <f t="shared" si="7"/>
        <v>4.4903206060491696E-2</v>
      </c>
    </row>
    <row r="53" spans="2:20" ht="15.75" thickBot="1">
      <c r="D53" s="464"/>
      <c r="E53" s="464"/>
      <c r="F53" s="464"/>
      <c r="G53" s="464"/>
      <c r="N53" s="464"/>
      <c r="O53" s="464"/>
      <c r="P53" s="464"/>
      <c r="Q53" s="464"/>
    </row>
    <row r="54" spans="2:20">
      <c r="B54" s="550" t="s">
        <v>304</v>
      </c>
      <c r="C54" s="551"/>
      <c r="D54" s="551"/>
      <c r="E54" s="551"/>
      <c r="F54" s="551"/>
      <c r="G54" s="551"/>
      <c r="H54" s="551"/>
      <c r="I54" s="551"/>
      <c r="J54" s="552"/>
      <c r="L54" s="568" t="s">
        <v>303</v>
      </c>
      <c r="M54" s="569"/>
      <c r="N54" s="569"/>
      <c r="O54" s="569"/>
      <c r="P54" s="569"/>
      <c r="Q54" s="569"/>
      <c r="R54" s="569"/>
      <c r="S54" s="569"/>
      <c r="T54" s="570"/>
    </row>
    <row r="55" spans="2:20" ht="30">
      <c r="B55" s="65"/>
      <c r="C55" s="247"/>
      <c r="D55" s="55" t="str">
        <f>D49</f>
        <v>2/1/2025</v>
      </c>
      <c r="E55" s="180" t="str">
        <f>E49</f>
        <v>6/1/25</v>
      </c>
      <c r="F55" s="56" t="str">
        <f>$D$2&amp;" Authorized"</f>
        <v>2029 Authorized</v>
      </c>
      <c r="G55" s="56" t="str">
        <f>$D$2&amp;" w/Pending"</f>
        <v>2029 w/Pending</v>
      </c>
      <c r="H55" s="56" t="str">
        <f>$H$30</f>
        <v>% Change over 2/1/2025</v>
      </c>
      <c r="I55" s="56" t="str">
        <f>$I$30</f>
        <v>% Change over 6/1/25</v>
      </c>
      <c r="J55" s="57" t="s">
        <v>148</v>
      </c>
      <c r="L55" s="65"/>
      <c r="M55" s="247"/>
      <c r="N55" s="55" t="str">
        <f>N49</f>
        <v>2/1/2025</v>
      </c>
      <c r="O55" s="180" t="str">
        <f>O49</f>
        <v>6/1/25</v>
      </c>
      <c r="P55" s="56" t="str">
        <f>$D$2&amp;" Authorized"</f>
        <v>2029 Authorized</v>
      </c>
      <c r="Q55" s="56" t="str">
        <f>$D$2&amp;" w/Pending"</f>
        <v>2029 w/Pending</v>
      </c>
      <c r="R55" s="56" t="str">
        <f>$H$30</f>
        <v>% Change over 2/1/2025</v>
      </c>
      <c r="S55" s="56" t="str">
        <f>$I$30</f>
        <v>% Change over 6/1/25</v>
      </c>
      <c r="T55" s="57" t="s">
        <v>148</v>
      </c>
    </row>
    <row r="56" spans="2:20">
      <c r="B56" s="546" t="s">
        <v>291</v>
      </c>
      <c r="C56" s="555"/>
      <c r="D56" s="161">
        <f>((D62*5)+(D68*7)+(I6*2))/12</f>
        <v>97.947189064987711</v>
      </c>
      <c r="E56" s="161">
        <f>((E62*5)+(E68*7)+(I6*2))/12</f>
        <v>102.93672233897088</v>
      </c>
      <c r="F56" s="161">
        <f>((F62*5)+(F68*7)+(I7*2))/12</f>
        <v>119.12340510697449</v>
      </c>
      <c r="G56" s="161">
        <f>((G62*5)+(G68*7)+(I7*2))/12</f>
        <v>124.87679297288054</v>
      </c>
      <c r="H56" s="67">
        <f t="shared" ref="H56:I58" si="8">$G56/D56-1</f>
        <v>0.27494003824882718</v>
      </c>
      <c r="I56" s="68">
        <f t="shared" si="8"/>
        <v>0.21314133707950167</v>
      </c>
      <c r="J56" s="69">
        <f>$G56/F56-1</f>
        <v>4.8297711610404637E-2</v>
      </c>
      <c r="K56" s="455"/>
      <c r="L56" s="546" t="s">
        <v>291</v>
      </c>
      <c r="M56" s="555"/>
      <c r="N56" s="161">
        <f>((N62*5)+(N68*7)+(I6*2))/12</f>
        <v>79.973750828006729</v>
      </c>
      <c r="O56" s="161">
        <f>((O62*5)+(O68*7)+(I6*2))/12</f>
        <v>84.159060122118788</v>
      </c>
      <c r="P56" s="161">
        <f>((P62*5)+(P68*7)+(I7*2))/12</f>
        <v>98.474702934915328</v>
      </c>
      <c r="Q56" s="161">
        <f>((Q62*5)+(Q68*7)+(I7*2))/12</f>
        <v>103.30074705278226</v>
      </c>
      <c r="R56" s="67">
        <f t="shared" ref="R56:T58" si="9">$Q56/N56-1</f>
        <v>0.29168315832707492</v>
      </c>
      <c r="S56" s="67">
        <f t="shared" si="9"/>
        <v>0.2274465387670439</v>
      </c>
      <c r="T56" s="268">
        <f t="shared" si="9"/>
        <v>4.9007958125617312E-2</v>
      </c>
    </row>
    <row r="57" spans="2:20">
      <c r="B57" s="546" t="s">
        <v>292</v>
      </c>
      <c r="C57" s="555"/>
      <c r="D57" s="161">
        <f>((D63*5)+(D69*7)+(I6*2))/12</f>
        <v>55.752964237442221</v>
      </c>
      <c r="E57" s="161">
        <f>((E63*5)+(E69*7)+(I6*2))/12</f>
        <v>58.99393923744222</v>
      </c>
      <c r="F57" s="161">
        <f>((F63*5)+(F69*7)+(I7*2))/12</f>
        <v>70.793845368179518</v>
      </c>
      <c r="G57" s="161">
        <f>((G63*5)+(G69*7)+(I7*2))/12</f>
        <v>74.373014625182222</v>
      </c>
      <c r="H57" s="67">
        <f t="shared" si="8"/>
        <v>0.33397417773950866</v>
      </c>
      <c r="I57" s="67">
        <f t="shared" si="8"/>
        <v>0.26068907393760243</v>
      </c>
      <c r="J57" s="69">
        <f>$G57/F57-1</f>
        <v>5.0557633059603146E-2</v>
      </c>
      <c r="K57" s="455"/>
      <c r="L57" s="546" t="s">
        <v>292</v>
      </c>
      <c r="M57" s="555"/>
      <c r="N57" s="161">
        <f>((N63*5)+(N69*7)+(I6*2))/12</f>
        <v>44.580484237442221</v>
      </c>
      <c r="O57" s="161">
        <f>((O63*5)+(O69*7)+(I6*2))/12</f>
        <v>47.299071737442233</v>
      </c>
      <c r="P57" s="161">
        <f>((P63*5)+(P69*7)+(I7*2))/12</f>
        <v>57.935008248473345</v>
      </c>
      <c r="Q57" s="161">
        <f>((Q63*5)+(Q69*7)+(I7*2))/12</f>
        <v>60.937279109085296</v>
      </c>
      <c r="R57" s="67">
        <f t="shared" si="9"/>
        <v>0.36690482733485741</v>
      </c>
      <c r="S57" s="67">
        <f t="shared" si="9"/>
        <v>0.28833985257361783</v>
      </c>
      <c r="T57" s="69">
        <f t="shared" si="9"/>
        <v>5.1821358991367195E-2</v>
      </c>
    </row>
    <row r="58" spans="2:20" ht="15.75" thickBot="1">
      <c r="B58" s="548" t="s">
        <v>113</v>
      </c>
      <c r="C58" s="567"/>
      <c r="D58" s="163">
        <f>D56*(1-'SAR and RAR'!$AD$16)+D57*'SAR and RAR'!$AD$16</f>
        <v>88.524970162995174</v>
      </c>
      <c r="E58" s="163">
        <f>E56*(1-'SAR and RAR'!$AD$16)+E57*'SAR and RAR'!$AD$16</f>
        <v>93.1240400764664</v>
      </c>
      <c r="F58" s="163">
        <f>F56*(1-'SAR and RAR'!$AD$16)+F57*'SAR and RAR'!$AD$16</f>
        <v>108.33112978595537</v>
      </c>
      <c r="G58" s="163">
        <f>G56*(1-'SAR and RAR'!$AD$16)+G57*'SAR and RAR'!$AD$16</f>
        <v>113.59900183168453</v>
      </c>
      <c r="H58" s="70">
        <f t="shared" si="8"/>
        <v>0.28324247523068569</v>
      </c>
      <c r="I58" s="70">
        <f t="shared" si="8"/>
        <v>0.21986762750419375</v>
      </c>
      <c r="J58" s="71">
        <f>$G58/F58-1</f>
        <v>4.8627500295968629E-2</v>
      </c>
      <c r="K58" s="455"/>
      <c r="L58" s="548" t="s">
        <v>113</v>
      </c>
      <c r="M58" s="567"/>
      <c r="N58" s="163">
        <f>((N64*5)+(N70*7)+(I6*2))/12</f>
        <v>72.070225953788139</v>
      </c>
      <c r="O58" s="163">
        <f>((O64*5)+(O70*7)+(I6*2))/12</f>
        <v>75.928007633186766</v>
      </c>
      <c r="P58" s="163">
        <f>((P64*5)+(P70*7)+(I7*2))/12</f>
        <v>89.421950357594881</v>
      </c>
      <c r="Q58" s="163">
        <f>((Q64*5)+(Q70*7)+(I7*2))/12</f>
        <v>93.840735166215367</v>
      </c>
      <c r="R58" s="70">
        <f t="shared" si="9"/>
        <v>0.3020735529036167</v>
      </c>
      <c r="S58" s="70">
        <f t="shared" si="9"/>
        <v>0.23591726019687198</v>
      </c>
      <c r="T58" s="71">
        <f t="shared" si="9"/>
        <v>4.941499028985552E-2</v>
      </c>
    </row>
    <row r="59" spans="2:20" ht="15.75" thickBot="1">
      <c r="B59"/>
      <c r="C59"/>
      <c r="D59" s="464"/>
      <c r="E59" s="464"/>
      <c r="F59" s="464"/>
      <c r="G59" s="464"/>
      <c r="H59"/>
      <c r="I59"/>
      <c r="J59"/>
      <c r="L59"/>
      <c r="M59"/>
      <c r="N59" s="464"/>
      <c r="O59" s="464"/>
      <c r="P59" s="464"/>
      <c r="Q59" s="464"/>
      <c r="R59"/>
      <c r="S59"/>
      <c r="T59"/>
    </row>
    <row r="60" spans="2:20">
      <c r="B60" s="550" t="s">
        <v>295</v>
      </c>
      <c r="C60" s="551"/>
      <c r="D60" s="551"/>
      <c r="E60" s="551"/>
      <c r="F60" s="551"/>
      <c r="G60" s="551"/>
      <c r="H60" s="551"/>
      <c r="I60" s="551"/>
      <c r="J60" s="552"/>
      <c r="L60" s="568" t="s">
        <v>301</v>
      </c>
      <c r="M60" s="569"/>
      <c r="N60" s="569"/>
      <c r="O60" s="569"/>
      <c r="P60" s="569"/>
      <c r="Q60" s="569"/>
      <c r="R60" s="569"/>
      <c r="S60" s="569"/>
      <c r="T60" s="570"/>
    </row>
    <row r="61" spans="2:20" ht="30">
      <c r="B61" s="65"/>
      <c r="C61" s="247"/>
      <c r="D61" s="55" t="str">
        <f>D55</f>
        <v>2/1/2025</v>
      </c>
      <c r="E61" s="180" t="str">
        <f>E55</f>
        <v>6/1/25</v>
      </c>
      <c r="F61" s="56" t="str">
        <f>$D$2&amp;" Authorized"</f>
        <v>2029 Authorized</v>
      </c>
      <c r="G61" s="56" t="str">
        <f>$D$2&amp;" w/Pending"</f>
        <v>2029 w/Pending</v>
      </c>
      <c r="H61" s="56" t="str">
        <f>$H$30</f>
        <v>% Change over 2/1/2025</v>
      </c>
      <c r="I61" s="56" t="str">
        <f>$I$30</f>
        <v>% Change over 6/1/25</v>
      </c>
      <c r="J61" s="57" t="s">
        <v>148</v>
      </c>
      <c r="L61" s="65"/>
      <c r="M61" s="247"/>
      <c r="N61" s="55" t="str">
        <f>N55</f>
        <v>2/1/2025</v>
      </c>
      <c r="O61" s="180" t="str">
        <f>O55</f>
        <v>6/1/25</v>
      </c>
      <c r="P61" s="56" t="str">
        <f>$D$2&amp;" Authorized"</f>
        <v>2029 Authorized</v>
      </c>
      <c r="Q61" s="56" t="str">
        <f>$D$2&amp;" w/Pending"</f>
        <v>2029 w/Pending</v>
      </c>
      <c r="R61" s="56" t="str">
        <f>$H$30</f>
        <v>% Change over 2/1/2025</v>
      </c>
      <c r="S61" s="56" t="str">
        <f>$I$30</f>
        <v>% Change over 6/1/25</v>
      </c>
      <c r="T61" s="57" t="s">
        <v>148</v>
      </c>
    </row>
    <row r="62" spans="2:20">
      <c r="B62" s="546" t="s">
        <v>291</v>
      </c>
      <c r="C62" s="555"/>
      <c r="D62" s="161">
        <f>IF($D$3="All",'Res Bill Impact'!C67,(VLOOKUP($D$3,'Res Bill Impact'!$B$63:$J$66,2,FALSE)))</f>
        <v>110.08306216978896</v>
      </c>
      <c r="E62" s="161">
        <f>IF($D$3="All",'Res Bill Impact'!E67,(VLOOKUP($D$3,'Res Bill Impact'!$B$63:$J$66,4,FALSE)))</f>
        <v>115.00874401247803</v>
      </c>
      <c r="F62" s="161">
        <f>IF($D$3="All",'Res Bill Impact'!G67,(VLOOKUP($D$3,'Res Bill Impact'!$B$63:$J$66,6,FALSE)))</f>
        <v>126.46842162092952</v>
      </c>
      <c r="G62" s="161">
        <f>IF($D$3="All",'Res Bill Impact'!I67,(VLOOKUP($D$3,'Res Bill Impact'!$B$63:$J$66,8,FALSE)))</f>
        <v>132.14818295107446</v>
      </c>
      <c r="H62" s="67">
        <f t="shared" ref="H62:J64" si="10">$G62/D62-1</f>
        <v>0.20044065223451812</v>
      </c>
      <c r="I62" s="68">
        <f t="shared" si="10"/>
        <v>0.14902726819394574</v>
      </c>
      <c r="J62" s="69">
        <f t="shared" si="10"/>
        <v>4.4910510128521874E-2</v>
      </c>
      <c r="K62" s="456"/>
      <c r="L62" s="546" t="s">
        <v>291</v>
      </c>
      <c r="M62" s="555"/>
      <c r="N62" s="161">
        <f>IF($D$3="All",'Res Bill Impact'!N67,(VLOOKUP($D$3,'Res Bill Impact'!$M$63:$U$66,2,FALSE)))</f>
        <v>73.796423158265938</v>
      </c>
      <c r="O62" s="161">
        <f>IF($D$3="All",'Res Bill Impact'!P67,(VLOOKUP($D$3,'Res Bill Impact'!$M$63:$U$66,4,FALSE)))</f>
        <v>77.098454319476019</v>
      </c>
      <c r="P62" s="161">
        <f>IF($D$3="All",'Res Bill Impact'!R67,(VLOOKUP($D$3,'Res Bill Impact'!$M$63:$U$66,6,FALSE)))</f>
        <v>84.780682642178689</v>
      </c>
      <c r="Q62" s="161">
        <f>IF($D$3="All",'Res Bill Impact'!T67,(VLOOKUP($D$3,'Res Bill Impact'!$M$63:$U$66,8,FALSE)))</f>
        <v>88.588226348683236</v>
      </c>
      <c r="R62" s="67">
        <f t="shared" ref="R62:T64" si="11">$Q62/N62-1</f>
        <v>0.20044065223451768</v>
      </c>
      <c r="S62" s="67">
        <f t="shared" si="11"/>
        <v>0.14902726819394552</v>
      </c>
      <c r="T62" s="268">
        <f t="shared" si="11"/>
        <v>4.4910510128521652E-2</v>
      </c>
    </row>
    <row r="63" spans="2:20">
      <c r="B63" s="546" t="s">
        <v>292</v>
      </c>
      <c r="C63" s="555"/>
      <c r="D63" s="161">
        <f>IF($D$3="All",'Res Bill Impact'!C77,(VLOOKUP($D$3,'Res Bill Impact'!$B$73:$J$76,2,FALSE)))</f>
        <v>68.428799999999981</v>
      </c>
      <c r="E63" s="161">
        <f>IF($D$3="All",'Res Bill Impact'!E77,(VLOOKUP($D$3,'Res Bill Impact'!$B$73:$J$76,4,FALSE)))</f>
        <v>71.628299999999996</v>
      </c>
      <c r="F63" s="161">
        <f>IF($D$3="All",'Res Bill Impact'!G77,(VLOOKUP($D$3,'Res Bill Impact'!$B$73:$J$76,6,FALSE)))</f>
        <v>78.75733888062004</v>
      </c>
      <c r="G63" s="161">
        <f>IF($D$3="All",'Res Bill Impact'!I77,(VLOOKUP($D$3,'Res Bill Impact'!$B$73:$J$76,8,FALSE)))</f>
        <v>82.290705240366776</v>
      </c>
      <c r="H63" s="67">
        <f t="shared" si="10"/>
        <v>0.20257413896439513</v>
      </c>
      <c r="I63" s="67">
        <f t="shared" si="10"/>
        <v>0.14885743819645003</v>
      </c>
      <c r="J63" s="69">
        <f t="shared" si="10"/>
        <v>4.4863963282235853E-2</v>
      </c>
      <c r="K63" s="456"/>
      <c r="L63" s="546" t="s">
        <v>292</v>
      </c>
      <c r="M63" s="555"/>
      <c r="N63" s="161">
        <f>IF($D$3="All",'Res Bill Impact'!N77,(VLOOKUP($D$3,'Res Bill Impact'!$M$73:$U$76,2,FALSE)))</f>
        <v>45.87263999999999</v>
      </c>
      <c r="O63" s="161">
        <f>IF($D$3="All",'Res Bill Impact'!P77,(VLOOKUP($D$3,'Res Bill Impact'!$M$73:$U$76,4,FALSE)))</f>
        <v>48.017489999999995</v>
      </c>
      <c r="P63" s="161">
        <f>IF($D$3="All",'Res Bill Impact'!R77,(VLOOKUP($D$3,'Res Bill Impact'!$M$73:$U$76,6,FALSE)))</f>
        <v>52.796586434786029</v>
      </c>
      <c r="Q63" s="161">
        <f>IF($D$3="All",'Res Bill Impact'!T77,(VLOOKUP($D$3,'Res Bill Impact'!$M$73:$U$76,8,FALSE)))</f>
        <v>55.16525055002365</v>
      </c>
      <c r="R63" s="67">
        <f t="shared" si="11"/>
        <v>0.20257413896439491</v>
      </c>
      <c r="S63" s="67">
        <f t="shared" si="11"/>
        <v>0.14885743819645003</v>
      </c>
      <c r="T63" s="69">
        <f t="shared" si="11"/>
        <v>4.486396328223563E-2</v>
      </c>
    </row>
    <row r="64" spans="2:20" ht="15.75" thickBot="1">
      <c r="B64" s="548" t="s">
        <v>113</v>
      </c>
      <c r="C64" s="567"/>
      <c r="D64" s="163">
        <f>D62*(1-'SAR and RAR'!$AD$16)+D63*'SAR and RAR'!$AD$16</f>
        <v>100.781420109321</v>
      </c>
      <c r="E64" s="163">
        <f>E62*(1-'SAR and RAR'!$AD$16)+E63*'SAR and RAR'!$AD$16</f>
        <v>105.32163538038952</v>
      </c>
      <c r="F64" s="163">
        <f>F62*(1-'SAR and RAR'!$AD$16)+F63*'SAR and RAR'!$AD$16</f>
        <v>115.81425585612088</v>
      </c>
      <c r="G64" s="163">
        <f>G62*(1-'SAR and RAR'!$AD$16)+G63*'SAR and RAR'!$AD$16</f>
        <v>121.01471454843124</v>
      </c>
      <c r="H64" s="70">
        <f t="shared" si="10"/>
        <v>0.20076413308288865</v>
      </c>
      <c r="I64" s="70">
        <f t="shared" si="10"/>
        <v>0.14900147639526407</v>
      </c>
      <c r="J64" s="71">
        <f t="shared" si="10"/>
        <v>4.4903441755659523E-2</v>
      </c>
      <c r="K64" s="456"/>
      <c r="L64" s="548" t="s">
        <v>113</v>
      </c>
      <c r="M64" s="567"/>
      <c r="N64" s="163">
        <f>N62*(1-'SAR and RAR'!$AD$16)+N63*'SAR and RAR'!$AD$16</f>
        <v>67.560877925137419</v>
      </c>
      <c r="O64" s="163">
        <f>O62*(1-'SAR and RAR'!$AD$16)+O63*'SAR and RAR'!$AD$16</f>
        <v>70.604503717964832</v>
      </c>
      <c r="P64" s="163">
        <f>P62*(1-'SAR and RAR'!$AD$16)+P63*'SAR and RAR'!$AD$16</f>
        <v>77.638445592436597</v>
      </c>
      <c r="Q64" s="163">
        <f>Q62*(1-'SAR and RAR'!$AD$16)+Q63*'SAR and RAR'!$AD$16</f>
        <v>81.124679012096493</v>
      </c>
      <c r="R64" s="70">
        <f t="shared" si="11"/>
        <v>0.20076413308288843</v>
      </c>
      <c r="S64" s="70">
        <f t="shared" si="11"/>
        <v>0.14900147639526384</v>
      </c>
      <c r="T64" s="71">
        <f t="shared" si="11"/>
        <v>4.4903441755659301E-2</v>
      </c>
    </row>
    <row r="65" spans="2:20" ht="15.75" thickBot="1">
      <c r="D65" s="464"/>
      <c r="E65" s="464"/>
      <c r="F65" s="464"/>
      <c r="G65" s="464"/>
      <c r="K65" s="457"/>
      <c r="N65" s="464"/>
      <c r="O65" s="464"/>
      <c r="P65" s="464"/>
      <c r="Q65" s="464"/>
    </row>
    <row r="66" spans="2:20">
      <c r="B66" s="550" t="s">
        <v>294</v>
      </c>
      <c r="C66" s="551"/>
      <c r="D66" s="551"/>
      <c r="E66" s="551"/>
      <c r="F66" s="551"/>
      <c r="G66" s="551"/>
      <c r="H66" s="551"/>
      <c r="I66" s="551"/>
      <c r="J66" s="552"/>
      <c r="K66" s="457"/>
      <c r="L66" s="568" t="s">
        <v>302</v>
      </c>
      <c r="M66" s="569"/>
      <c r="N66" s="569"/>
      <c r="O66" s="569"/>
      <c r="P66" s="569"/>
      <c r="Q66" s="569"/>
      <c r="R66" s="569"/>
      <c r="S66" s="569"/>
      <c r="T66" s="570"/>
    </row>
    <row r="67" spans="2:20" ht="30">
      <c r="B67" s="65"/>
      <c r="C67" s="247"/>
      <c r="D67" s="55" t="str">
        <f>D61</f>
        <v>2/1/2025</v>
      </c>
      <c r="E67" s="180" t="str">
        <f>E61</f>
        <v>6/1/25</v>
      </c>
      <c r="F67" s="56" t="str">
        <f>$D$2&amp;" Authorized"</f>
        <v>2029 Authorized</v>
      </c>
      <c r="G67" s="56" t="str">
        <f>$D$2&amp;" w/Pending"</f>
        <v>2029 w/Pending</v>
      </c>
      <c r="H67" s="56" t="str">
        <f>$H$30</f>
        <v>% Change over 2/1/2025</v>
      </c>
      <c r="I67" s="56" t="str">
        <f>$I$30</f>
        <v>% Change over 6/1/25</v>
      </c>
      <c r="J67" s="57" t="s">
        <v>148</v>
      </c>
      <c r="K67" s="457"/>
      <c r="L67" s="65"/>
      <c r="M67" s="247"/>
      <c r="N67" s="55" t="str">
        <f>N61</f>
        <v>2/1/2025</v>
      </c>
      <c r="O67" s="180" t="str">
        <f>O61</f>
        <v>6/1/25</v>
      </c>
      <c r="P67" s="56" t="str">
        <f>$D$2&amp;" Authorized"</f>
        <v>2029 Authorized</v>
      </c>
      <c r="Q67" s="56" t="str">
        <f>$D$2&amp;" w/Pending"</f>
        <v>2029 w/Pending</v>
      </c>
      <c r="R67" s="56" t="str">
        <f>$H$30</f>
        <v>% Change over 2/1/2025</v>
      </c>
      <c r="S67" s="56" t="str">
        <f>$I$30</f>
        <v>% Change over 6/1/25</v>
      </c>
      <c r="T67" s="57" t="s">
        <v>148</v>
      </c>
    </row>
    <row r="68" spans="2:20">
      <c r="B68" s="546" t="s">
        <v>291</v>
      </c>
      <c r="C68" s="555"/>
      <c r="D68" s="161">
        <f>IF($D$3="All",'Res Bill Impact'!D67,(VLOOKUP($D$3,'Res Bill Impact'!$B$63:$J$66,3,FALSE)))</f>
        <v>112.52935244022871</v>
      </c>
      <c r="E68" s="161">
        <f>IF($D$3="All",'Res Bill Impact'!F67,(VLOOKUP($D$3,'Res Bill Impact'!$B$63:$J$66,5,FALSE)))</f>
        <v>117.56449387942199</v>
      </c>
      <c r="F68" s="161">
        <f>IF($D$3="All",'Res Bill Impact'!H67,(VLOOKUP($D$3,'Res Bill Impact'!$B$63:$J$66,7,FALSE)))</f>
        <v>129.27883099028352</v>
      </c>
      <c r="G68" s="161">
        <f>IF($D$3="All",'Res Bill Impact'!J67,(VLOOKUP($D$3,'Res Bill Impact'!$B$63:$J$66,9,FALSE)))</f>
        <v>135.08480923887609</v>
      </c>
      <c r="H68" s="67">
        <f t="shared" ref="H68:J70" si="12">$G68/D68-1</f>
        <v>0.2004406522345179</v>
      </c>
      <c r="I68" s="68">
        <f t="shared" si="12"/>
        <v>0.14902726819394574</v>
      </c>
      <c r="J68" s="69">
        <f t="shared" si="12"/>
        <v>4.4910510128521652E-2</v>
      </c>
      <c r="K68" s="456"/>
      <c r="L68" s="546" t="s">
        <v>291</v>
      </c>
      <c r="M68" s="555"/>
      <c r="N68" s="161">
        <f>IF($D$3="All",'Res Bill Impact'!O67,(VLOOKUP($D$3,'Res Bill Impact'!$M$63:$U$66,3,FALSE)))</f>
        <v>107.6367718993492</v>
      </c>
      <c r="O68" s="161">
        <f>IF($D$3="All",'Res Bill Impact'!Q67,(VLOOKUP($D$3,'Res Bill Impact'!$M$63:$U$66,5,FALSE)))</f>
        <v>112.45299414553408</v>
      </c>
      <c r="P68" s="161">
        <f>IF($D$3="All",'Res Bill Impact'!S67,(VLOOKUP($D$3,'Res Bill Impact'!$M$63:$U$66,7,FALSE)))</f>
        <v>123.65801225157554</v>
      </c>
      <c r="Q68" s="161">
        <f>IF($D$3="All",'Res Bill Impact'!U67,(VLOOKUP($D$3,'Res Bill Impact'!$M$63:$U$66,9,FALSE)))</f>
        <v>129.21155666327277</v>
      </c>
      <c r="R68" s="67">
        <f t="shared" ref="R68:T70" si="13">$Q68/N68-1</f>
        <v>0.2004406522345179</v>
      </c>
      <c r="S68" s="67">
        <f t="shared" si="13"/>
        <v>0.14902726819394552</v>
      </c>
      <c r="T68" s="268">
        <f t="shared" si="13"/>
        <v>4.4910510128521652E-2</v>
      </c>
    </row>
    <row r="69" spans="2:20">
      <c r="B69" s="546" t="s">
        <v>292</v>
      </c>
      <c r="C69" s="555"/>
      <c r="D69" s="161">
        <f>IF($D$3="All",'Res Bill Impact'!D77,(VLOOKUP($D$3,'Res Bill Impact'!$B$73:$J$76,3,FALSE)))</f>
        <v>69.949439999999996</v>
      </c>
      <c r="E69" s="161">
        <f>IF($D$3="All",'Res Bill Impact'!F77,(VLOOKUP($D$3,'Res Bill Impact'!$B$73:$J$76,5,FALSE)))</f>
        <v>73.220039999999997</v>
      </c>
      <c r="F69" s="161">
        <f>IF($D$3="All",'Res Bill Impact'!H77,(VLOOKUP($D$3,'Res Bill Impact'!$B$73:$J$76,7,FALSE)))</f>
        <v>80.507501966856054</v>
      </c>
      <c r="G69" s="161">
        <f>IF($D$3="All",'Res Bill Impact'!J77,(VLOOKUP($D$3,'Res Bill Impact'!$B$73:$J$76,9,FALSE)))</f>
        <v>84.119387579041586</v>
      </c>
      <c r="H69" s="67">
        <f t="shared" si="12"/>
        <v>0.20257413896439469</v>
      </c>
      <c r="I69" s="67">
        <f t="shared" si="12"/>
        <v>0.14885743819644981</v>
      </c>
      <c r="J69" s="69">
        <f t="shared" si="12"/>
        <v>4.4863963282235408E-2</v>
      </c>
      <c r="K69" s="456"/>
      <c r="L69" s="546" t="s">
        <v>292</v>
      </c>
      <c r="M69" s="555"/>
      <c r="N69" s="161">
        <f>IF($D$3="All",'Res Bill Impact'!O77,(VLOOKUP($D$3,'Res Bill Impact'!$M$73:$U$76,3,FALSE)))</f>
        <v>66.908159999999995</v>
      </c>
      <c r="O69" s="161">
        <f>IF($D$3="All",'Res Bill Impact'!Q77,(VLOOKUP($D$3,'Res Bill Impact'!$M$73:$U$76,5,FALSE)))</f>
        <v>70.036560000000009</v>
      </c>
      <c r="P69" s="161">
        <f>IF($D$3="All",'Res Bill Impact'!S77,(VLOOKUP($D$3,'Res Bill Impact'!$M$73:$U$76,7,FALSE)))</f>
        <v>77.007175794384054</v>
      </c>
      <c r="Q69" s="161">
        <f>IF($D$3="All",'Res Bill Impact'!U77,(VLOOKUP($D$3,'Res Bill Impact'!$M$73:$U$76,9,FALSE)))</f>
        <v>80.462022901691967</v>
      </c>
      <c r="R69" s="67">
        <f t="shared" si="13"/>
        <v>0.20257413896439491</v>
      </c>
      <c r="S69" s="67">
        <f t="shared" si="13"/>
        <v>0.14885743819645003</v>
      </c>
      <c r="T69" s="69">
        <f t="shared" si="13"/>
        <v>4.486396328223563E-2</v>
      </c>
    </row>
    <row r="70" spans="2:20" ht="15.75" thickBot="1">
      <c r="B70" s="548" t="s">
        <v>113</v>
      </c>
      <c r="C70" s="548"/>
      <c r="D70" s="163">
        <f>D68*(1-'SAR and RAR'!$AD$16)+D69*'SAR and RAR'!$AD$16</f>
        <v>103.02100722286146</v>
      </c>
      <c r="E70" s="163">
        <f>E68*(1-'SAR and RAR'!$AD$16)+E69*'SAR and RAR'!$AD$16</f>
        <v>107.66211616662039</v>
      </c>
      <c r="F70" s="163">
        <f>F68*(1-'SAR and RAR'!$AD$16)+F69*'SAR and RAR'!$AD$16</f>
        <v>118.38790598625691</v>
      </c>
      <c r="G70" s="163">
        <f>G68*(1-'SAR and RAR'!$AD$16)+G69*'SAR and RAR'!$AD$16</f>
        <v>123.70393042728526</v>
      </c>
      <c r="H70" s="70">
        <f t="shared" si="12"/>
        <v>0.20076413308288865</v>
      </c>
      <c r="I70" s="70">
        <f t="shared" si="12"/>
        <v>0.14900147639526407</v>
      </c>
      <c r="J70" s="71">
        <f t="shared" si="12"/>
        <v>4.4903441755659301E-2</v>
      </c>
      <c r="K70" s="456"/>
      <c r="L70" s="548" t="s">
        <v>113</v>
      </c>
      <c r="M70" s="548"/>
      <c r="N70" s="163">
        <f>N68*(1-'SAR and RAR'!$AD$16)+N69*'SAR and RAR'!$AD$16</f>
        <v>98.541832995780538</v>
      </c>
      <c r="O70" s="163">
        <f>O68*(1-'SAR and RAR'!$AD$16)+O69*'SAR and RAR'!$AD$16</f>
        <v>102.98115459415864</v>
      </c>
      <c r="P70" s="163">
        <f>P68*(1-'SAR and RAR'!$AD$16)+P69*'SAR and RAR'!$AD$16</f>
        <v>113.24060572598486</v>
      </c>
      <c r="Q70" s="163">
        <f>Q68*(1-'SAR and RAR'!$AD$16)+Q69*'SAR and RAR'!$AD$16</f>
        <v>118.32549866957719</v>
      </c>
      <c r="R70" s="70">
        <f t="shared" si="13"/>
        <v>0.20076413308288843</v>
      </c>
      <c r="S70" s="70">
        <f t="shared" si="13"/>
        <v>0.14900147639526384</v>
      </c>
      <c r="T70" s="71">
        <f t="shared" si="13"/>
        <v>4.4903441755659079E-2</v>
      </c>
    </row>
    <row r="71" spans="2:20" ht="15.75" thickBot="1">
      <c r="D71" s="464"/>
      <c r="E71" s="464"/>
      <c r="F71" s="464"/>
      <c r="G71" s="464"/>
      <c r="N71" s="464"/>
      <c r="O71" s="464"/>
      <c r="P71" s="464"/>
      <c r="Q71" s="464"/>
    </row>
    <row r="72" spans="2:20">
      <c r="B72" s="550" t="s">
        <v>305</v>
      </c>
      <c r="C72" s="551"/>
      <c r="D72" s="551"/>
      <c r="E72" s="551"/>
      <c r="F72" s="551"/>
      <c r="G72" s="551"/>
      <c r="H72" s="551"/>
      <c r="I72" s="551"/>
      <c r="J72" s="552"/>
      <c r="L72" s="568" t="s">
        <v>300</v>
      </c>
      <c r="M72" s="569"/>
      <c r="N72" s="569"/>
      <c r="O72" s="569"/>
      <c r="P72" s="569"/>
      <c r="Q72" s="569"/>
      <c r="R72" s="569"/>
      <c r="S72" s="569"/>
      <c r="T72" s="570"/>
    </row>
    <row r="73" spans="2:20" ht="30">
      <c r="B73" s="65"/>
      <c r="C73" s="247"/>
      <c r="D73" s="55" t="str">
        <f>D67</f>
        <v>2/1/2025</v>
      </c>
      <c r="E73" s="180" t="str">
        <f>E67</f>
        <v>6/1/25</v>
      </c>
      <c r="F73" s="56" t="str">
        <f>$D$2&amp;" Authorized"</f>
        <v>2029 Authorized</v>
      </c>
      <c r="G73" s="56" t="str">
        <f>$D$2&amp;" w/Pending"</f>
        <v>2029 w/Pending</v>
      </c>
      <c r="H73" s="56" t="str">
        <f>$H$30</f>
        <v>% Change over 2/1/2025</v>
      </c>
      <c r="I73" s="56" t="str">
        <f>$I$30</f>
        <v>% Change over 6/1/25</v>
      </c>
      <c r="J73" s="57" t="s">
        <v>148</v>
      </c>
      <c r="L73" s="65"/>
      <c r="M73" s="247"/>
      <c r="N73" s="55" t="str">
        <f>N67</f>
        <v>2/1/2025</v>
      </c>
      <c r="O73" s="180" t="str">
        <f>O67</f>
        <v>6/1/25</v>
      </c>
      <c r="P73" s="56" t="str">
        <f>$D$2&amp;" Authorized"</f>
        <v>2029 Authorized</v>
      </c>
      <c r="Q73" s="56" t="str">
        <f>$D$2&amp;" w/Pending"</f>
        <v>2029 w/Pending</v>
      </c>
      <c r="R73" s="56" t="str">
        <f>$H$30</f>
        <v>% Change over 2/1/2025</v>
      </c>
      <c r="S73" s="56" t="str">
        <f>$I$30</f>
        <v>% Change over 6/1/25</v>
      </c>
      <c r="T73" s="57" t="s">
        <v>148</v>
      </c>
    </row>
    <row r="74" spans="2:20">
      <c r="B74" s="546" t="str">
        <f>$I$9&amp;" kWh Monthly Usage - Non-CARE"</f>
        <v>400 kWh Monthly Usage - Non-CARE</v>
      </c>
      <c r="C74" s="555"/>
      <c r="D74" s="161">
        <f>((D80*5)+(D86*7)+(I6*2))/12</f>
        <v>154.19771896604604</v>
      </c>
      <c r="E74" s="161">
        <f>((E80*5)+(E86*7)+(I6*2))/12</f>
        <v>161.70460120077044</v>
      </c>
      <c r="F74" s="161">
        <f>((F80*5)+(F86*7)+(I7*2))/12</f>
        <v>183.74793659867973</v>
      </c>
      <c r="G74" s="161">
        <f>((G80*5)+(G86*7)+(I7*2))/12</f>
        <v>192.40405788065482</v>
      </c>
      <c r="H74" s="68">
        <f t="shared" ref="H74:I76" si="14">$G74/D74-1</f>
        <v>0.24777499414904902</v>
      </c>
      <c r="I74" s="68">
        <f t="shared" si="14"/>
        <v>0.18984899905085761</v>
      </c>
      <c r="J74" s="69">
        <f>$G74/F74-1</f>
        <v>4.7108672033040255E-2</v>
      </c>
      <c r="K74" s="456"/>
      <c r="L74" s="546" t="str">
        <f>B74</f>
        <v>400 kWh Monthly Usage - Non-CARE</v>
      </c>
      <c r="M74" s="555"/>
      <c r="N74" s="161">
        <f>((N80*5)+(N86*7)+(I6*2))/12</f>
        <v>160.27818339444175</v>
      </c>
      <c r="O74" s="161">
        <f>((O80*5)+(O86*7)+(I6*2))/12</f>
        <v>168.05767174640056</v>
      </c>
      <c r="P74" s="161">
        <f>((P80*5)+(P86*7)+(I7*2))/12</f>
        <v>190.73522963722948</v>
      </c>
      <c r="Q74" s="161">
        <f>((Q80*5)+(Q86*7)+(I7*2))/12</f>
        <v>199.70569068626187</v>
      </c>
      <c r="R74" s="67">
        <f t="shared" ref="R74:T76" si="15">$Q74/N74-1</f>
        <v>0.2459942236479542</v>
      </c>
      <c r="S74" s="67">
        <f t="shared" si="15"/>
        <v>0.18831641906605889</v>
      </c>
      <c r="T74" s="268">
        <f t="shared" si="15"/>
        <v>4.7030960489542695E-2</v>
      </c>
    </row>
    <row r="75" spans="2:20">
      <c r="B75" s="263"/>
      <c r="C75" s="43" t="str">
        <f>$I$9&amp;" kWh Monthly Usage - CARE"</f>
        <v>400 kWh Monthly Usage - CARE</v>
      </c>
      <c r="D75" s="161">
        <f>((D81*5)+(D87*7)+(I6*2))/12</f>
        <v>90.85128757077554</v>
      </c>
      <c r="E75" s="161">
        <f>((E81*5)+(E87*7)+(I6*2))/12</f>
        <v>95.72783423744221</v>
      </c>
      <c r="F75" s="161">
        <f>((F81*5)+(F87*7)+(I7*2))/12</f>
        <v>111.18475613376745</v>
      </c>
      <c r="G75" s="161">
        <f>((G81*5)+(G87*7)+(I7*2))/12</f>
        <v>116.57645253497168</v>
      </c>
      <c r="H75" s="67">
        <f t="shared" si="14"/>
        <v>0.28315685613322272</v>
      </c>
      <c r="I75" s="67">
        <f t="shared" si="14"/>
        <v>0.21779055656703572</v>
      </c>
      <c r="J75" s="69">
        <f>$G75/F75-1</f>
        <v>4.8493126114495633E-2</v>
      </c>
      <c r="K75" s="456"/>
      <c r="L75" s="263"/>
      <c r="M75" s="43" t="str">
        <f>C75</f>
        <v>400 kWh Monthly Usage - CARE</v>
      </c>
      <c r="N75" s="161">
        <f>((N81*5)+(N87*7)+(I6*2))/12</f>
        <v>94.80318423744221</v>
      </c>
      <c r="O75" s="161">
        <f>((O81*5)+(O87*7)+(I6*2))/12</f>
        <v>99.857344237442234</v>
      </c>
      <c r="P75" s="161">
        <f>((P81*5)+(P87*7)+(I7*2))/12</f>
        <v>115.72651216628439</v>
      </c>
      <c r="Q75" s="161">
        <f>((Q81*5)+(Q87*7)+(I7*2))/12</f>
        <v>121.32253011596468</v>
      </c>
      <c r="R75" s="67">
        <f t="shared" si="15"/>
        <v>0.27973053955764438</v>
      </c>
      <c r="S75" s="67">
        <f t="shared" si="15"/>
        <v>0.21495850948611461</v>
      </c>
      <c r="T75" s="69">
        <f t="shared" si="15"/>
        <v>4.8355539667863878E-2</v>
      </c>
    </row>
    <row r="76" spans="2:20" ht="15.75" thickBot="1">
      <c r="B76" s="548" t="s">
        <v>113</v>
      </c>
      <c r="C76" s="567"/>
      <c r="D76" s="163">
        <f>((D82*5)+(D88*7)+(I6*2))/12</f>
        <v>140.05208776400906</v>
      </c>
      <c r="E76" s="163">
        <f>((E82*5)+(E88*7)+(I6*2))/12</f>
        <v>146.97160057532935</v>
      </c>
      <c r="F76" s="163">
        <f>((F82*5)+(F88*7)+(I7*2))/12</f>
        <v>167.54415104841527</v>
      </c>
      <c r="G76" s="163">
        <f>((G82*5)+(G88*7)+(I7*2))/12</f>
        <v>175.47130702906188</v>
      </c>
      <c r="H76" s="70">
        <f t="shared" si="14"/>
        <v>0.2529003303737607</v>
      </c>
      <c r="I76" s="70">
        <f t="shared" si="14"/>
        <v>0.1939130168152805</v>
      </c>
      <c r="J76" s="71">
        <f>$G76/F76-1</f>
        <v>4.7313832986959348E-2</v>
      </c>
      <c r="K76" s="456"/>
      <c r="L76" s="548" t="s">
        <v>113</v>
      </c>
      <c r="M76" s="567"/>
      <c r="N76" s="163">
        <f>((N82*5)+(N88*7)+(I6*2))/12</f>
        <v>145.65723047525731</v>
      </c>
      <c r="O76" s="163">
        <f>((O82*5)+(O88*7)+(I6*2))/12</f>
        <v>152.82813695571795</v>
      </c>
      <c r="P76" s="163">
        <f>((P82*5)+(P88*7)+(I7*2))/12</f>
        <v>173.98534127081084</v>
      </c>
      <c r="Q76" s="163">
        <f>((Q82*5)+(Q88*7)+(I7*2))/12</f>
        <v>182.20226930236603</v>
      </c>
      <c r="R76" s="70">
        <f t="shared" si="15"/>
        <v>0.25089752639033325</v>
      </c>
      <c r="S76" s="70">
        <f t="shared" si="15"/>
        <v>0.19220369319269559</v>
      </c>
      <c r="T76" s="71">
        <f t="shared" si="15"/>
        <v>4.7227703044047997E-2</v>
      </c>
    </row>
    <row r="77" spans="2:20" ht="15.75" thickBot="1">
      <c r="D77" s="464"/>
      <c r="E77" s="464"/>
      <c r="F77" s="464"/>
      <c r="G77" s="464"/>
      <c r="N77" s="464"/>
      <c r="O77" s="464"/>
      <c r="P77" s="464"/>
      <c r="Q77" s="464"/>
    </row>
    <row r="78" spans="2:20">
      <c r="B78" s="550" t="s">
        <v>296</v>
      </c>
      <c r="C78" s="551"/>
      <c r="D78" s="551"/>
      <c r="E78" s="551"/>
      <c r="F78" s="551"/>
      <c r="G78" s="551"/>
      <c r="H78" s="551"/>
      <c r="I78" s="551"/>
      <c r="J78" s="552"/>
      <c r="L78" s="550" t="s">
        <v>299</v>
      </c>
      <c r="M78" s="551"/>
      <c r="N78" s="551"/>
      <c r="O78" s="551"/>
      <c r="P78" s="551"/>
      <c r="Q78" s="551"/>
      <c r="R78" s="551"/>
      <c r="S78" s="551"/>
      <c r="T78" s="552"/>
    </row>
    <row r="79" spans="2:20" ht="30">
      <c r="B79" s="65"/>
      <c r="C79" s="247"/>
      <c r="D79" s="55" t="str">
        <f>D73</f>
        <v>2/1/2025</v>
      </c>
      <c r="E79" s="180" t="str">
        <f>E73</f>
        <v>6/1/25</v>
      </c>
      <c r="F79" s="56" t="str">
        <f>$D$2&amp;" Authorized"</f>
        <v>2029 Authorized</v>
      </c>
      <c r="G79" s="56" t="str">
        <f>$D$2&amp;" w/Pending"</f>
        <v>2029 w/Pending</v>
      </c>
      <c r="H79" s="56" t="str">
        <f>$H$30</f>
        <v>% Change over 2/1/2025</v>
      </c>
      <c r="I79" s="56" t="str">
        <f>$I$30</f>
        <v>% Change over 6/1/25</v>
      </c>
      <c r="J79" s="57" t="s">
        <v>148</v>
      </c>
      <c r="L79" s="65"/>
      <c r="M79" s="247"/>
      <c r="N79" s="55" t="str">
        <f>N73</f>
        <v>2/1/2025</v>
      </c>
      <c r="O79" s="180" t="str">
        <f>O73</f>
        <v>6/1/25</v>
      </c>
      <c r="P79" s="56" t="str">
        <f>$D$2&amp;" Authorized"</f>
        <v>2029 Authorized</v>
      </c>
      <c r="Q79" s="56" t="str">
        <f>$D$2&amp;" w/Pending"</f>
        <v>2029 w/Pending</v>
      </c>
      <c r="R79" s="56" t="str">
        <f>$H$30</f>
        <v>% Change over 2/1/2025</v>
      </c>
      <c r="S79" s="56" t="str">
        <f>$I$30</f>
        <v>% Change over 6/1/25</v>
      </c>
      <c r="T79" s="57" t="s">
        <v>148</v>
      </c>
    </row>
    <row r="80" spans="2:20">
      <c r="B80" s="553" t="str">
        <f>$B$74</f>
        <v>400 kWh Monthly Usage - Non-CARE</v>
      </c>
      <c r="C80" s="554"/>
      <c r="D80" s="161">
        <f>IF($D$3="All",'Res Bill Impact'!C87,(VLOOKUP($D$3,'Res Bill Impact'!$B$83:$J$86,2,FALSE)))</f>
        <v>168.25265543379194</v>
      </c>
      <c r="E80" s="161">
        <f>IF($D$3="All",'Res Bill Impact'!E87,(VLOOKUP($D$3,'Res Bill Impact'!$B$83:$J$86,4,FALSE)))</f>
        <v>175.78159827915951</v>
      </c>
      <c r="F80" s="161">
        <f>IF($D$3="All",'Res Bill Impact'!G87,(VLOOKUP($D$3,'Res Bill Impact'!$B$83:$J$86,6,FALSE)))</f>
        <v>193.29780425751147</v>
      </c>
      <c r="G80" s="161">
        <f>IF($D$3="All",'Res Bill Impact'!I87,(VLOOKUP($D$3,'Res Bill Impact'!$B$83:$J$86,8,FALSE)))</f>
        <v>201.97936343971088</v>
      </c>
      <c r="H80" s="68">
        <f t="shared" ref="H80:I82" si="16">$G80/D80-1</f>
        <v>0.20045275314653521</v>
      </c>
      <c r="I80" s="68">
        <f t="shared" si="16"/>
        <v>0.14903587984759703</v>
      </c>
      <c r="J80" s="69">
        <f>$G80/F80-1</f>
        <v>4.4912870146387229E-2</v>
      </c>
      <c r="K80" s="456"/>
      <c r="L80" s="546" t="str">
        <f>B80</f>
        <v>400 kWh Monthly Usage - Non-CARE</v>
      </c>
      <c r="M80" s="555"/>
      <c r="N80" s="161">
        <f>IF($D$3="All",'Res Bill Impact'!N87,(VLOOKUP($D$3,'Res Bill Impact'!$M$83:$U$86,2,FALSE)))</f>
        <v>180.48387867703875</v>
      </c>
      <c r="O80" s="161">
        <f>IF($D$3="All",'Res Bill Impact'!P87,(VLOOKUP($D$3,'Res Bill Impact'!$M$83:$U$86,4,FALSE)))</f>
        <v>188.56118527268148</v>
      </c>
      <c r="P80" s="161">
        <f>IF($D$3="All",'Res Bill Impact'!R87,(VLOOKUP($D$3,'Res Bill Impact'!$M$83:$U$86,6,FALSE)))</f>
        <v>207.35316828881383</v>
      </c>
      <c r="Q80" s="161">
        <f>IF($D$3="All",'Res Bill Impact'!T87,(VLOOKUP($D$3,'Res Bill Impact'!$M$83:$U$86,8,FALSE)))</f>
        <v>216.6670409908742</v>
      </c>
      <c r="R80" s="67">
        <f t="shared" ref="R80:T82" si="17">$Q80/N80-1</f>
        <v>0.2004786387518982</v>
      </c>
      <c r="S80" s="67">
        <f t="shared" si="17"/>
        <v>0.14905430127387231</v>
      </c>
      <c r="T80" s="268">
        <f t="shared" si="17"/>
        <v>4.4917918442834992E-2</v>
      </c>
    </row>
    <row r="81" spans="2:20">
      <c r="B81" s="263"/>
      <c r="C81" s="264" t="str">
        <f>$C$75</f>
        <v>400 kWh Monthly Usage - CARE</v>
      </c>
      <c r="D81" s="161">
        <f>IF($D$3="All",'Res Bill Impact'!C97,(VLOOKUP($D$3,'Res Bill Impact'!$B$93:$J$96,2,FALSE)))</f>
        <v>104.73396999999999</v>
      </c>
      <c r="E81" s="161">
        <f>IF($D$3="All",'Res Bill Impact'!E97,(VLOOKUP($D$3,'Res Bill Impact'!$B$93:$J$96,4,FALSE)))</f>
        <v>109.62488999999999</v>
      </c>
      <c r="F81" s="161">
        <f>IF($D$3="All",'Res Bill Impact'!G97,(VLOOKUP($D$3,'Res Bill Impact'!$B$93:$J$96,6,FALSE)))</f>
        <v>120.53671906378729</v>
      </c>
      <c r="G81" s="161">
        <f>IF($D$3="All",'Res Bill Impact'!I97,(VLOOKUP($D$3,'Res Bill Impact'!$B$93:$J$96,8,FALSE)))</f>
        <v>125.9449501567757</v>
      </c>
      <c r="H81" s="67">
        <f t="shared" si="16"/>
        <v>0.20252244956221666</v>
      </c>
      <c r="I81" s="67">
        <f t="shared" si="16"/>
        <v>0.1488718497849868</v>
      </c>
      <c r="J81" s="69">
        <f>$G81/F81-1</f>
        <v>4.4867913570191043E-2</v>
      </c>
      <c r="K81" s="456"/>
      <c r="L81" s="263"/>
      <c r="M81" s="43" t="str">
        <f>C81</f>
        <v>400 kWh Monthly Usage - CARE</v>
      </c>
      <c r="N81" s="161">
        <f>IF($D$3="All",'Res Bill Impact'!N97,(VLOOKUP($D$3,'Res Bill Impact'!$M$93:$U$96,2,FALSE)))</f>
        <v>112.68344999999999</v>
      </c>
      <c r="O81" s="161">
        <f>IF($D$3="All",'Res Bill Impact'!P97,(VLOOKUP($D$3,'Res Bill Impact'!$M$93:$U$96,4,FALSE)))</f>
        <v>117.93164999999999</v>
      </c>
      <c r="P81" s="161">
        <f>IF($D$3="All",'Res Bill Impact'!R97,(VLOOKUP($D$3,'Res Bill Impact'!$M$93:$U$96,6,FALSE)))</f>
        <v>129.67273697890806</v>
      </c>
      <c r="Q81" s="161">
        <f>IF($D$3="All",'Res Bill Impact'!T97,(VLOOKUP($D$3,'Res Bill Impact'!$M$93:$U$96,8,FALSE)))</f>
        <v>135.49197326767495</v>
      </c>
      <c r="R81" s="67">
        <f t="shared" si="17"/>
        <v>0.20241236195443935</v>
      </c>
      <c r="S81" s="67">
        <f t="shared" si="17"/>
        <v>0.14890254878715736</v>
      </c>
      <c r="T81" s="69">
        <f t="shared" si="17"/>
        <v>4.4876328088250483E-2</v>
      </c>
    </row>
    <row r="82" spans="2:20" ht="15.75" thickBot="1">
      <c r="B82" s="548" t="s">
        <v>113</v>
      </c>
      <c r="C82" s="549"/>
      <c r="D82" s="163">
        <f>D80*(1-'SAR and RAR'!$AD$16)+D81*'SAR and RAR'!$AD$16</f>
        <v>154.0685588904829</v>
      </c>
      <c r="E82" s="163">
        <f>E80*(1-'SAR and RAR'!$AD$16)+E81*'SAR and RAR'!$AD$16</f>
        <v>161.00841569814978</v>
      </c>
      <c r="F82" s="163">
        <f>F80*(1-'SAR and RAR'!$AD$16)+F81*'SAR and RAR'!$AD$16</f>
        <v>177.04982541576632</v>
      </c>
      <c r="G82" s="163">
        <f>G80*(1-'SAR and RAR'!$AD$16)+G81*'SAR and RAR'!$AD$16</f>
        <v>185.00043115775813</v>
      </c>
      <c r="H82" s="70">
        <f t="shared" si="16"/>
        <v>0.20076693447403926</v>
      </c>
      <c r="I82" s="70">
        <f t="shared" si="16"/>
        <v>0.14901094054976194</v>
      </c>
      <c r="J82" s="71">
        <f>$G82/F82-1</f>
        <v>4.4906035480811068E-2</v>
      </c>
      <c r="K82" s="456"/>
      <c r="L82" s="548" t="s">
        <v>113</v>
      </c>
      <c r="M82" s="567"/>
      <c r="N82" s="163">
        <f>N80*(1-'SAR and RAR'!$AD$16)+N81*'SAR and RAR'!$AD$16</f>
        <v>165.34364365068163</v>
      </c>
      <c r="O82" s="163">
        <f>O80*(1-'SAR and RAR'!$AD$16)+O81*'SAR and RAR'!$AD$16</f>
        <v>172.78919408182162</v>
      </c>
      <c r="P82" s="163">
        <f>P80*(1-'SAR and RAR'!$AD$16)+P81*'SAR and RAR'!$AD$16</f>
        <v>190.00667048740596</v>
      </c>
      <c r="Q82" s="163">
        <f>Q80*(1-'SAR and RAR'!$AD$16)+Q81*'SAR and RAR'!$AD$16</f>
        <v>198.54017029712136</v>
      </c>
      <c r="R82" s="70">
        <f t="shared" si="17"/>
        <v>0.20077292306787076</v>
      </c>
      <c r="S82" s="70">
        <f t="shared" si="17"/>
        <v>0.1490311726502167</v>
      </c>
      <c r="T82" s="71">
        <f t="shared" si="17"/>
        <v>4.4911580145187813E-2</v>
      </c>
    </row>
    <row r="83" spans="2:20" ht="15.75" thickBot="1">
      <c r="D83" s="464"/>
      <c r="E83" s="464"/>
      <c r="F83" s="464"/>
      <c r="G83" s="464"/>
      <c r="N83" s="464"/>
      <c r="O83" s="464"/>
      <c r="P83" s="464"/>
      <c r="Q83" s="464"/>
    </row>
    <row r="84" spans="2:20">
      <c r="B84" s="550" t="s">
        <v>297</v>
      </c>
      <c r="C84" s="551"/>
      <c r="D84" s="551"/>
      <c r="E84" s="551"/>
      <c r="F84" s="551"/>
      <c r="G84" s="551"/>
      <c r="H84" s="551"/>
      <c r="I84" s="551"/>
      <c r="J84" s="552"/>
      <c r="L84" s="550" t="s">
        <v>298</v>
      </c>
      <c r="M84" s="551"/>
      <c r="N84" s="551"/>
      <c r="O84" s="551"/>
      <c r="P84" s="551"/>
      <c r="Q84" s="551"/>
      <c r="R84" s="551"/>
      <c r="S84" s="551"/>
      <c r="T84" s="552"/>
    </row>
    <row r="85" spans="2:20" ht="30">
      <c r="B85" s="65"/>
      <c r="C85" s="247"/>
      <c r="D85" s="55" t="str">
        <f>D79</f>
        <v>2/1/2025</v>
      </c>
      <c r="E85" s="180" t="str">
        <f>E79</f>
        <v>6/1/25</v>
      </c>
      <c r="F85" s="56" t="str">
        <f>$D$2&amp;" Authorized"</f>
        <v>2029 Authorized</v>
      </c>
      <c r="G85" s="56" t="str">
        <f>$D$2&amp;" w/Pending"</f>
        <v>2029 w/Pending</v>
      </c>
      <c r="H85" s="56" t="str">
        <f>$H$30</f>
        <v>% Change over 2/1/2025</v>
      </c>
      <c r="I85" s="56" t="str">
        <f>$I$30</f>
        <v>% Change over 6/1/25</v>
      </c>
      <c r="J85" s="57" t="s">
        <v>148</v>
      </c>
      <c r="L85" s="65"/>
      <c r="M85" s="247"/>
      <c r="N85" s="55" t="str">
        <f>N79</f>
        <v>2/1/2025</v>
      </c>
      <c r="O85" s="180" t="str">
        <f>O79</f>
        <v>6/1/25</v>
      </c>
      <c r="P85" s="56" t="str">
        <f>$D$2&amp;" Authorized"</f>
        <v>2029 Authorized</v>
      </c>
      <c r="Q85" s="56" t="str">
        <f>$D$2&amp;" w/Pending"</f>
        <v>2029 w/Pending</v>
      </c>
      <c r="R85" s="56" t="str">
        <f>$H$30</f>
        <v>% Change over 2/1/2025</v>
      </c>
      <c r="S85" s="56" t="str">
        <f>$I$30</f>
        <v>% Change over 6/1/25</v>
      </c>
      <c r="T85" s="57" t="s">
        <v>148</v>
      </c>
    </row>
    <row r="86" spans="2:20">
      <c r="B86" s="553" t="str">
        <f>$B$74</f>
        <v>400 kWh Monthly Usage - Non-CARE</v>
      </c>
      <c r="C86" s="554"/>
      <c r="D86" s="161">
        <f>IF($D$3="All",'Res Bill Impact'!D87,(VLOOKUP($D$3,'Res Bill Impact'!$B$83:$J$86,3,FALSE)))</f>
        <v>167.40912279632661</v>
      </c>
      <c r="E86" s="161">
        <f>IF($D$3="All",'Res Bill Impact'!F87,(VLOOKUP($D$3,'Res Bill Impact'!$B$83:$J$86,5,FALSE)))</f>
        <v>174.9002474520201</v>
      </c>
      <c r="F86" s="161">
        <f>IF($D$3="All",'Res Bill Impact'!H87,(VLOOKUP($D$3,'Res Bill Impact'!$B$83:$J$86,7,FALSE)))</f>
        <v>192.32846880707686</v>
      </c>
      <c r="G86" s="161">
        <f>IF($D$3="All",'Res Bill Impact'!J87,(VLOOKUP($D$3,'Res Bill Impact'!$B$83:$J$86,9,FALSE)))</f>
        <v>200.9664201603203</v>
      </c>
      <c r="H86" s="68">
        <f t="shared" ref="H86:I88" si="18">$G86/D86-1</f>
        <v>0.20045082850604379</v>
      </c>
      <c r="I86" s="68">
        <f t="shared" si="18"/>
        <v>0.14903451017386837</v>
      </c>
      <c r="J86" s="69">
        <f>$G86/F86-1</f>
        <v>4.491249478988002E-2</v>
      </c>
      <c r="K86" s="456"/>
      <c r="L86" s="546" t="str">
        <f>B86</f>
        <v>400 kWh Monthly Usage - Non-CARE</v>
      </c>
      <c r="M86" s="555"/>
      <c r="N86" s="161">
        <f>IF($D$3="All",'Res Bill Impact'!O87,(VLOOKUP($D$3,'Res Bill Impact'!$M$83:$U$86,3,FALSE)))</f>
        <v>169.09618807125722</v>
      </c>
      <c r="O86" s="161">
        <f>IF($D$3="All",'Res Bill Impact'!Q87,(VLOOKUP($D$3,'Res Bill Impact'!$M$83:$U$86,5,FALSE)))</f>
        <v>176.66294910629895</v>
      </c>
      <c r="P86" s="161">
        <f>IF($D$3="All",'Res Bill Impact'!S87,(VLOOKUP($D$3,'Res Bill Impact'!$M$83:$U$86,7,FALSE)))</f>
        <v>194.26713970794614</v>
      </c>
      <c r="Q86" s="161">
        <f>IF($D$3="All",'Res Bill Impact'!U87,(VLOOKUP($D$3,'Res Bill Impact'!$M$83:$U$86,9,FALSE)))</f>
        <v>202.99230671910146</v>
      </c>
      <c r="R86" s="67">
        <f t="shared" ref="R86:T88" si="19">$Q86/N86-1</f>
        <v>0.20045465858497291</v>
      </c>
      <c r="S86" s="67">
        <f t="shared" si="19"/>
        <v>0.1490372358550407</v>
      </c>
      <c r="T86" s="268">
        <f t="shared" si="19"/>
        <v>4.4913241757058797E-2</v>
      </c>
    </row>
    <row r="87" spans="2:20">
      <c r="B87" s="263"/>
      <c r="C87" s="264" t="str">
        <f>$C$75</f>
        <v>400 kWh Monthly Usage - CARE</v>
      </c>
      <c r="D87" s="161">
        <f>IF($D$3="All",'Res Bill Impact'!D97,(VLOOKUP($D$3,'Res Bill Impact'!$B$93:$J$96,3,FALSE)))</f>
        <v>104.18572999999998</v>
      </c>
      <c r="E87" s="161">
        <f>IF($D$3="All",'Res Bill Impact'!F97,(VLOOKUP($D$3,'Res Bill Impact'!$B$93:$J$96,5,FALSE)))</f>
        <v>109.05201</v>
      </c>
      <c r="F87" s="161">
        <f>IF($D$3="All",'Res Bill Impact'!H97,(VLOOKUP($D$3,'Res Bill Impact'!$B$93:$J$96,7,FALSE)))</f>
        <v>119.90664886274449</v>
      </c>
      <c r="G87" s="161">
        <f>IF($D$3="All",'Res Bill Impact'!J97,(VLOOKUP($D$3,'Res Bill Impact'!$B$93:$J$96,9,FALSE)))</f>
        <v>125.28653476981714</v>
      </c>
      <c r="H87" s="67">
        <f t="shared" si="18"/>
        <v>0.20253066105902562</v>
      </c>
      <c r="I87" s="67">
        <f t="shared" si="18"/>
        <v>0.14886956022009268</v>
      </c>
      <c r="J87" s="69">
        <f>$G87/F87-1</f>
        <v>4.4867285993714479E-2</v>
      </c>
      <c r="K87" s="456"/>
      <c r="L87" s="263"/>
      <c r="M87" s="43" t="str">
        <f>C87</f>
        <v>400 kWh Monthly Usage - CARE</v>
      </c>
      <c r="N87" s="161">
        <f>IF($D$3="All",'Res Bill Impact'!O97,(VLOOKUP($D$3,'Res Bill Impact'!$M$93:$U$96,3,FALSE)))</f>
        <v>105.28220999999999</v>
      </c>
      <c r="O87" s="161">
        <f>IF($D$3="All",'Res Bill Impact'!Q97,(VLOOKUP($D$3,'Res Bill Impact'!$M$93:$U$96,5,FALSE)))</f>
        <v>110.19777000000001</v>
      </c>
      <c r="P87" s="161">
        <f>IF($D$3="All",'Res Bill Impact'!S97,(VLOOKUP($D$3,'Res Bill Impact'!$M$93:$U$96,7,FALSE)))</f>
        <v>121.1667892648301</v>
      </c>
      <c r="Q87" s="161">
        <f>IF($D$3="All",'Res Bill Impact'!U97,(VLOOKUP($D$3,'Res Bill Impact'!$M$93:$U$96,9,FALSE)))</f>
        <v>126.60336554373427</v>
      </c>
      <c r="R87" s="67">
        <f t="shared" si="19"/>
        <v>0.20251432358547827</v>
      </c>
      <c r="S87" s="67">
        <f t="shared" si="19"/>
        <v>0.14887411554457275</v>
      </c>
      <c r="T87" s="69">
        <f t="shared" si="19"/>
        <v>4.4868534619842304E-2</v>
      </c>
    </row>
    <row r="88" spans="2:20" ht="15.75" thickBot="1">
      <c r="B88" s="548" t="s">
        <v>113</v>
      </c>
      <c r="C88" s="549"/>
      <c r="D88" s="163">
        <f>D86*(1-'SAR and RAR'!$AD$16)+D87*'SAR and RAR'!$AD$16</f>
        <v>153.29096683805537</v>
      </c>
      <c r="E88" s="163">
        <f>E86*(1-'SAR and RAR'!$AD$16)+E87*'SAR and RAR'!$AD$16</f>
        <v>160.19594822341384</v>
      </c>
      <c r="F88" s="163">
        <f>F86*(1-'SAR and RAR'!$AD$16)+F87*'SAR and RAR'!$AD$16</f>
        <v>176.15624989358429</v>
      </c>
      <c r="G88" s="163">
        <f>G86*(1-'SAR and RAR'!$AD$16)+G87*'SAR and RAR'!$AD$16</f>
        <v>184.06665604469856</v>
      </c>
      <c r="H88" s="70">
        <f t="shared" si="18"/>
        <v>0.20076648899446403</v>
      </c>
      <c r="I88" s="70">
        <f t="shared" si="18"/>
        <v>0.14900943554448687</v>
      </c>
      <c r="J88" s="71">
        <f>$G88/F88-1</f>
        <v>4.4905623024405594E-2</v>
      </c>
      <c r="K88" s="456"/>
      <c r="L88" s="548" t="s">
        <v>113</v>
      </c>
      <c r="M88" s="567"/>
      <c r="N88" s="163">
        <f>N86*(1-'SAR and RAR'!$AD$16)+N87*'SAR and RAR'!$AD$16</f>
        <v>154.84615094291038</v>
      </c>
      <c r="O88" s="163">
        <f>O86*(1-'SAR and RAR'!$AD$16)+O87*'SAR and RAR'!$AD$16</f>
        <v>161.82088317288577</v>
      </c>
      <c r="P88" s="163">
        <f>P86*(1-'SAR and RAR'!$AD$16)+P87*'SAR and RAR'!$AD$16</f>
        <v>177.94340093794835</v>
      </c>
      <c r="Q88" s="163">
        <f>Q86*(1-'SAR and RAR'!$AD$16)+Q87*'SAR and RAR'!$AD$16</f>
        <v>185.93420627081767</v>
      </c>
      <c r="R88" s="70">
        <f t="shared" si="19"/>
        <v>0.20076737547947854</v>
      </c>
      <c r="S88" s="70">
        <f t="shared" si="19"/>
        <v>0.14901243044242785</v>
      </c>
      <c r="T88" s="71">
        <f t="shared" si="19"/>
        <v>4.490644379476505E-2</v>
      </c>
    </row>
    <row r="89" spans="2:20">
      <c r="D89" s="464"/>
      <c r="E89" s="464"/>
      <c r="F89" s="464"/>
      <c r="G89" s="464"/>
      <c r="N89" s="464"/>
      <c r="O89" s="464"/>
      <c r="P89" s="464"/>
      <c r="Q89" s="464"/>
    </row>
    <row r="90" spans="2:20" ht="15.75" thickBot="1"/>
    <row r="91" spans="2:20">
      <c r="B91" s="543" t="s">
        <v>428</v>
      </c>
      <c r="C91" s="544"/>
      <c r="D91" s="544"/>
      <c r="E91" s="544"/>
      <c r="F91" s="544"/>
      <c r="G91" s="544"/>
      <c r="H91" s="544"/>
      <c r="I91" s="544"/>
      <c r="J91" s="545"/>
    </row>
    <row r="92" spans="2:20" ht="30">
      <c r="B92" s="65"/>
      <c r="C92" s="247"/>
      <c r="D92" s="55" t="str">
        <f>D85</f>
        <v>2/1/2025</v>
      </c>
      <c r="E92" s="180" t="str">
        <f>E85</f>
        <v>6/1/25</v>
      </c>
      <c r="F92" s="56" t="str">
        <f>$D$2&amp;" Authorized"</f>
        <v>2029 Authorized</v>
      </c>
      <c r="G92" s="56" t="str">
        <f>$D$2&amp;" w/Pending"</f>
        <v>2029 w/Pending</v>
      </c>
      <c r="H92" s="56" t="str">
        <f>$H$30</f>
        <v>% Change over 2/1/2025</v>
      </c>
      <c r="I92" s="56" t="str">
        <f>$I$30</f>
        <v>% Change over 6/1/25</v>
      </c>
      <c r="J92" s="57" t="s">
        <v>148</v>
      </c>
    </row>
    <row r="93" spans="2:20">
      <c r="B93" s="378"/>
      <c r="C93" s="43" t="s">
        <v>417</v>
      </c>
      <c r="D93" s="161">
        <f>((D99*5)+(D105*7))/12</f>
        <v>381.09391603172497</v>
      </c>
      <c r="E93" s="161">
        <f>((E99*5)+(E105*7))/12</f>
        <v>387.32362038753587</v>
      </c>
      <c r="F93" s="161">
        <f>((F99*5)+(F105*7))/12</f>
        <v>425.67121263468397</v>
      </c>
      <c r="G93" s="161">
        <f>((G99*5)+(G105*7))/12</f>
        <v>446.15729672443803</v>
      </c>
      <c r="H93" s="68">
        <f>$G93/D93-1</f>
        <v>0.17072794383654433</v>
      </c>
      <c r="I93" s="68">
        <f t="shared" ref="H93:I95" si="20">$G93/E93-1</f>
        <v>0.15189798204931648</v>
      </c>
      <c r="J93" s="69">
        <f>$G93/F93-1</f>
        <v>4.8126543401786126E-2</v>
      </c>
      <c r="K93" s="456"/>
    </row>
    <row r="94" spans="2:20">
      <c r="B94" s="263"/>
      <c r="C94" s="43" t="s">
        <v>418</v>
      </c>
      <c r="D94" s="161">
        <f t="shared" ref="D94:G95" si="21">((D100*5)+(D106*7))/12</f>
        <v>426.00716941499257</v>
      </c>
      <c r="E94" s="161">
        <f t="shared" si="21"/>
        <v>432.83873504064422</v>
      </c>
      <c r="F94" s="161">
        <f t="shared" si="21"/>
        <v>475.12948866899734</v>
      </c>
      <c r="G94" s="161">
        <f>((G100*5)+(G106*7))/12</f>
        <v>497.72209186206851</v>
      </c>
      <c r="H94" s="67">
        <f t="shared" si="20"/>
        <v>0.16834205524183377</v>
      </c>
      <c r="I94" s="67">
        <f t="shared" si="20"/>
        <v>0.14990191858714219</v>
      </c>
      <c r="J94" s="69">
        <f>$G94/F94-1</f>
        <v>4.7550412533561959E-2</v>
      </c>
      <c r="K94" s="456"/>
    </row>
    <row r="95" spans="2:20" ht="15.75" thickBot="1">
      <c r="B95" s="379"/>
      <c r="C95" s="329" t="s">
        <v>419</v>
      </c>
      <c r="D95" s="163">
        <f>((D101*5)+(D107*7))/12</f>
        <v>1057.5792098273785</v>
      </c>
      <c r="E95" s="163">
        <f t="shared" si="21"/>
        <v>1074.8341539545861</v>
      </c>
      <c r="F95" s="163">
        <f t="shared" si="21"/>
        <v>1182.6256710889645</v>
      </c>
      <c r="G95" s="163">
        <f t="shared" si="21"/>
        <v>1240.2101491428964</v>
      </c>
      <c r="H95" s="70">
        <f t="shared" si="20"/>
        <v>0.1726877170224701</v>
      </c>
      <c r="I95" s="70">
        <f t="shared" si="20"/>
        <v>0.1538618721593934</v>
      </c>
      <c r="J95" s="71">
        <f>$G95/F95-1</f>
        <v>4.8692058240971559E-2</v>
      </c>
      <c r="K95" s="456"/>
    </row>
    <row r="96" spans="2:20" ht="15.75" thickBot="1">
      <c r="K96" s="456"/>
    </row>
    <row r="97" spans="2:11">
      <c r="B97" s="543" t="s">
        <v>429</v>
      </c>
      <c r="C97" s="544"/>
      <c r="D97" s="544"/>
      <c r="E97" s="544"/>
      <c r="F97" s="544"/>
      <c r="G97" s="544"/>
      <c r="H97" s="544"/>
      <c r="I97" s="544"/>
      <c r="J97" s="545"/>
      <c r="K97" s="456"/>
    </row>
    <row r="98" spans="2:11" ht="30">
      <c r="B98" s="65"/>
      <c r="C98" s="247"/>
      <c r="D98" s="55" t="str">
        <f>D92</f>
        <v>2/1/2025</v>
      </c>
      <c r="E98" s="180" t="str">
        <f>E92</f>
        <v>6/1/25</v>
      </c>
      <c r="F98" s="56" t="str">
        <f>$D$2&amp;" Authorized"</f>
        <v>2029 Authorized</v>
      </c>
      <c r="G98" s="56" t="str">
        <f>$D$2&amp;" w/Pending"</f>
        <v>2029 w/Pending</v>
      </c>
      <c r="H98" s="56" t="str">
        <f>$H$30</f>
        <v>% Change over 2/1/2025</v>
      </c>
      <c r="I98" s="56" t="str">
        <f>$I$30</f>
        <v>% Change over 6/1/25</v>
      </c>
      <c r="J98" s="57" t="s">
        <v>148</v>
      </c>
      <c r="K98" s="456"/>
    </row>
    <row r="99" spans="2:11">
      <c r="B99" s="378"/>
      <c r="C99" s="43" t="s">
        <v>417</v>
      </c>
      <c r="D99" s="161">
        <f>'Bill Impact (TOU-A)'!C$36</f>
        <v>444.41410611777997</v>
      </c>
      <c r="E99" s="161">
        <f>'Bill Impact (TOU-A)'!E$36</f>
        <v>450.92885223538002</v>
      </c>
      <c r="F99" s="161">
        <f>'Bill Impact (TOU-A)'!G$36</f>
        <v>495.77531365910795</v>
      </c>
      <c r="G99" s="161">
        <f>'Bill Impact (TOU-A)'!I$36</f>
        <v>519.73322929389519</v>
      </c>
      <c r="H99" s="68">
        <f t="shared" ref="H99:I101" si="22">$G99/D99-1</f>
        <v>0.16947959603279084</v>
      </c>
      <c r="I99" s="68">
        <f t="shared" si="22"/>
        <v>0.15258366528873157</v>
      </c>
      <c r="J99" s="69">
        <f>$G99/F99-1</f>
        <v>4.8324139937432564E-2</v>
      </c>
      <c r="K99" s="456"/>
    </row>
    <row r="100" spans="2:11">
      <c r="B100" s="263"/>
      <c r="C100" s="43" t="s">
        <v>418</v>
      </c>
      <c r="D100" s="161">
        <f>'Bill Impact (TOU-A)'!C$37</f>
        <v>528.94125198927009</v>
      </c>
      <c r="E100" s="161">
        <f>'Bill Impact (TOU-A)'!E$37</f>
        <v>536.62160707251007</v>
      </c>
      <c r="F100" s="161">
        <f>'Bill Impact (TOU-A)'!G$37</f>
        <v>589.51154428029224</v>
      </c>
      <c r="G100" s="161">
        <f>'Bill Impact (TOU-A)'!I$37</f>
        <v>617.76645254564789</v>
      </c>
      <c r="H100" s="67">
        <f t="shared" si="22"/>
        <v>0.16793018170225782</v>
      </c>
      <c r="I100" s="67">
        <f t="shared" si="22"/>
        <v>0.15121427166493739</v>
      </c>
      <c r="J100" s="69">
        <f>$G100/F100-1</f>
        <v>4.7929355310337041E-2</v>
      </c>
      <c r="K100" s="456"/>
    </row>
    <row r="101" spans="2:11" ht="15.75" thickBot="1">
      <c r="B101" s="379"/>
      <c r="C101" s="329" t="s">
        <v>419</v>
      </c>
      <c r="D101" s="163">
        <f>'Bill Impact (TOU-A)'!C$38</f>
        <v>1335.0958287057001</v>
      </c>
      <c r="E101" s="163">
        <f>'Bill Impact (TOU-A)'!E$38</f>
        <v>1354.7529005339402</v>
      </c>
      <c r="F101" s="163">
        <f>'Bill Impact (TOU-A)'!G$38</f>
        <v>1491.1306702456741</v>
      </c>
      <c r="G101" s="163">
        <f>'Bill Impact (TOU-A)'!I$38</f>
        <v>1563.9865210193418</v>
      </c>
      <c r="H101" s="70">
        <f t="shared" si="22"/>
        <v>0.17144139573526962</v>
      </c>
      <c r="I101" s="70">
        <f t="shared" si="22"/>
        <v>0.15444412069753666</v>
      </c>
      <c r="J101" s="71">
        <f>$G101/F101-1</f>
        <v>4.8859467669365442E-2</v>
      </c>
      <c r="K101" s="456"/>
    </row>
    <row r="102" spans="2:11" ht="15.75" thickBot="1">
      <c r="C102" s="380"/>
      <c r="D102" s="381"/>
      <c r="E102" s="381"/>
      <c r="F102" s="381"/>
      <c r="G102" s="381"/>
      <c r="K102" s="456"/>
    </row>
    <row r="103" spans="2:11">
      <c r="B103" s="543" t="s">
        <v>430</v>
      </c>
      <c r="C103" s="544"/>
      <c r="D103" s="544"/>
      <c r="E103" s="544"/>
      <c r="F103" s="544"/>
      <c r="G103" s="544"/>
      <c r="H103" s="544"/>
      <c r="I103" s="544"/>
      <c r="J103" s="545"/>
      <c r="K103" s="456"/>
    </row>
    <row r="104" spans="2:11" ht="30">
      <c r="B104" s="65"/>
      <c r="C104" s="247"/>
      <c r="D104" s="55" t="str">
        <f>D98</f>
        <v>2/1/2025</v>
      </c>
      <c r="E104" s="180" t="str">
        <f>E98</f>
        <v>6/1/25</v>
      </c>
      <c r="F104" s="56" t="str">
        <f>$D$2&amp;" Authorized"</f>
        <v>2029 Authorized</v>
      </c>
      <c r="G104" s="56" t="str">
        <f>$D$2&amp;" w/Pending"</f>
        <v>2029 w/Pending</v>
      </c>
      <c r="H104" s="56" t="str">
        <f>$H$30</f>
        <v>% Change over 2/1/2025</v>
      </c>
      <c r="I104" s="56" t="str">
        <f>$I$30</f>
        <v>% Change over 6/1/25</v>
      </c>
      <c r="J104" s="57" t="s">
        <v>148</v>
      </c>
      <c r="K104" s="456"/>
    </row>
    <row r="105" spans="2:11">
      <c r="B105" s="378"/>
      <c r="C105" s="43" t="s">
        <v>417</v>
      </c>
      <c r="D105" s="161">
        <f>'Bill Impact (TOU-A)'!D$36</f>
        <v>335.86520882740001</v>
      </c>
      <c r="E105" s="161">
        <f>'Bill Impact (TOU-A)'!F$36</f>
        <v>341.89131192479005</v>
      </c>
      <c r="F105" s="161">
        <f>'Bill Impact (TOU-A)'!H$36</f>
        <v>375.59685476009543</v>
      </c>
      <c r="G105" s="161">
        <f>'Bill Impact (TOU-A)'!J$36</f>
        <v>393.60305917482566</v>
      </c>
      <c r="H105" s="68">
        <f t="shared" ref="H105:I107" si="23">$G105/D105-1</f>
        <v>0.17190780357693125</v>
      </c>
      <c r="I105" s="68">
        <f t="shared" si="23"/>
        <v>0.15125200742571443</v>
      </c>
      <c r="J105" s="69">
        <f>$G105/F105-1</f>
        <v>4.7940242806961963E-2</v>
      </c>
      <c r="K105" s="456"/>
    </row>
    <row r="106" spans="2:11">
      <c r="B106" s="263"/>
      <c r="C106" s="43" t="s">
        <v>418</v>
      </c>
      <c r="D106" s="161">
        <f>'Bill Impact (TOU-A)'!D$37</f>
        <v>352.48282471908004</v>
      </c>
      <c r="E106" s="161">
        <f>'Bill Impact (TOU-A)'!F$37</f>
        <v>358.70811216074003</v>
      </c>
      <c r="F106" s="161">
        <f>'Bill Impact (TOU-A)'!H$37</f>
        <v>393.42802037521523</v>
      </c>
      <c r="G106" s="161">
        <f>'Bill Impact (TOU-A)'!J$37</f>
        <v>411.97611994522606</v>
      </c>
      <c r="H106" s="67">
        <f>$G106/D106-1</f>
        <v>0.16878352944873454</v>
      </c>
      <c r="I106" s="67">
        <f t="shared" si="23"/>
        <v>0.14849959055460715</v>
      </c>
      <c r="J106" s="69">
        <f>$G106/F106-1</f>
        <v>4.7144836182032357E-2</v>
      </c>
      <c r="K106" s="456"/>
    </row>
    <row r="107" spans="2:11" ht="15.75" thickBot="1">
      <c r="B107" s="379"/>
      <c r="C107" s="329" t="s">
        <v>419</v>
      </c>
      <c r="D107" s="163">
        <f>'Bill Impact (TOU-A)'!D$38</f>
        <v>859.35305348572012</v>
      </c>
      <c r="E107" s="163">
        <f>'Bill Impact (TOU-A)'!F$38</f>
        <v>874.89219211219029</v>
      </c>
      <c r="F107" s="163">
        <f>'Bill Impact (TOU-A)'!H$38</f>
        <v>962.26495740560028</v>
      </c>
      <c r="G107" s="163">
        <f>'Bill Impact (TOU-A)'!J$38</f>
        <v>1008.9413120882923</v>
      </c>
      <c r="H107" s="70">
        <f t="shared" si="23"/>
        <v>0.17407078266122422</v>
      </c>
      <c r="I107" s="70">
        <f t="shared" si="23"/>
        <v>0.15321787208144655</v>
      </c>
      <c r="J107" s="71">
        <f>$G107/F107-1</f>
        <v>4.8506759311425007E-2</v>
      </c>
      <c r="K107" s="456"/>
    </row>
  </sheetData>
  <mergeCells count="80">
    <mergeCell ref="B78:J78"/>
    <mergeCell ref="B56:C56"/>
    <mergeCell ref="B57:C57"/>
    <mergeCell ref="B58:C58"/>
    <mergeCell ref="L86:M86"/>
    <mergeCell ref="L74:M74"/>
    <mergeCell ref="L63:M63"/>
    <mergeCell ref="L64:M64"/>
    <mergeCell ref="L66:T66"/>
    <mergeCell ref="L68:M68"/>
    <mergeCell ref="L72:T72"/>
    <mergeCell ref="B68:C68"/>
    <mergeCell ref="B69:C69"/>
    <mergeCell ref="B62:C62"/>
    <mergeCell ref="B63:C63"/>
    <mergeCell ref="B64:C64"/>
    <mergeCell ref="L88:M88"/>
    <mergeCell ref="L76:M76"/>
    <mergeCell ref="L78:T78"/>
    <mergeCell ref="L80:M80"/>
    <mergeCell ref="L82:M82"/>
    <mergeCell ref="L84:T84"/>
    <mergeCell ref="B66:J66"/>
    <mergeCell ref="B72:J72"/>
    <mergeCell ref="L54:T54"/>
    <mergeCell ref="L56:M56"/>
    <mergeCell ref="L62:M62"/>
    <mergeCell ref="B70:C70"/>
    <mergeCell ref="L69:M69"/>
    <mergeCell ref="L70:M70"/>
    <mergeCell ref="B54:J54"/>
    <mergeCell ref="B60:J60"/>
    <mergeCell ref="B76:C76"/>
    <mergeCell ref="B80:C80"/>
    <mergeCell ref="B84:J84"/>
    <mergeCell ref="B82:C82"/>
    <mergeCell ref="L40:M40"/>
    <mergeCell ref="L42:T42"/>
    <mergeCell ref="L57:M57"/>
    <mergeCell ref="L58:M58"/>
    <mergeCell ref="L60:T60"/>
    <mergeCell ref="L44:M44"/>
    <mergeCell ref="L45:M45"/>
    <mergeCell ref="L46:M46"/>
    <mergeCell ref="L48:T48"/>
    <mergeCell ref="L50:M50"/>
    <mergeCell ref="L51:M51"/>
    <mergeCell ref="L52:M52"/>
    <mergeCell ref="B103:J103"/>
    <mergeCell ref="L29:T29"/>
    <mergeCell ref="B30:C30"/>
    <mergeCell ref="L30:M30"/>
    <mergeCell ref="B31:C31"/>
    <mergeCell ref="L31:M31"/>
    <mergeCell ref="B29:J29"/>
    <mergeCell ref="B33:C33"/>
    <mergeCell ref="L33:M33"/>
    <mergeCell ref="B38:C38"/>
    <mergeCell ref="B39:C39"/>
    <mergeCell ref="L36:T36"/>
    <mergeCell ref="L38:M38"/>
    <mergeCell ref="L39:M39"/>
    <mergeCell ref="B36:J36"/>
    <mergeCell ref="B40:C40"/>
    <mergeCell ref="G10:H12"/>
    <mergeCell ref="O5:P5"/>
    <mergeCell ref="M5:N5"/>
    <mergeCell ref="B91:J91"/>
    <mergeCell ref="B97:J97"/>
    <mergeCell ref="B44:C44"/>
    <mergeCell ref="B52:C52"/>
    <mergeCell ref="B45:C45"/>
    <mergeCell ref="B46:C46"/>
    <mergeCell ref="B50:C50"/>
    <mergeCell ref="B51:C51"/>
    <mergeCell ref="B42:J42"/>
    <mergeCell ref="B48:J48"/>
    <mergeCell ref="B86:C86"/>
    <mergeCell ref="B88:C88"/>
    <mergeCell ref="B74:C74"/>
  </mergeCells>
  <phoneticPr fontId="42" type="noConversion"/>
  <dataValidations count="3">
    <dataValidation type="list" allowBlank="1" showInputMessage="1" showErrorMessage="1" sqref="D3" xr:uid="{C4DA6E63-9F04-466D-994F-08C28D8856CC}">
      <formula1>"Coastal - Mild, Mountain - Extreme, Desert - Hot, Inland - Warm, ALL"</formula1>
    </dataValidation>
    <dataValidation type="list" allowBlank="1" showInputMessage="1" showErrorMessage="1" sqref="D2" xr:uid="{E7B56FAD-CE5E-4838-9DB3-63A485983CEC}">
      <formula1>"2025, 2026, 2027, 2028, 2029"</formula1>
    </dataValidation>
    <dataValidation type="list" allowBlank="1" showInputMessage="1" showErrorMessage="1" sqref="I8" xr:uid="{A5F6ABD7-4D20-4C5E-A3ED-3EF8E893445B}">
      <formula1>"Y,N"</formula1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EF1FEC-0591-4595-9489-C0DB61E71E9E}">
  <sheetPr codeName="Sheet6">
    <tabColor rgb="FFFFC000"/>
  </sheetPr>
  <dimension ref="A1:AL72"/>
  <sheetViews>
    <sheetView workbookViewId="0"/>
  </sheetViews>
  <sheetFormatPr defaultRowHeight="15"/>
  <cols>
    <col min="2" max="2" width="4.42578125" customWidth="1"/>
    <col min="3" max="3" width="39.7109375" customWidth="1"/>
    <col min="16" max="16" width="18.7109375" customWidth="1"/>
    <col min="17" max="17" width="11.85546875" bestFit="1" customWidth="1"/>
    <col min="18" max="18" width="10.7109375" customWidth="1"/>
    <col min="20" max="21" width="10" bestFit="1" customWidth="1"/>
    <col min="23" max="23" width="11.85546875" style="300" customWidth="1"/>
    <col min="24" max="24" width="11.7109375" style="300" bestFit="1" customWidth="1"/>
    <col min="25" max="25" width="1.42578125" style="300" customWidth="1"/>
    <col min="26" max="26" width="12.7109375" bestFit="1" customWidth="1"/>
    <col min="28" max="28" width="1.28515625" customWidth="1"/>
    <col min="29" max="29" width="12.7109375" style="300" bestFit="1" customWidth="1"/>
    <col min="30" max="30" width="9.7109375" style="300" customWidth="1"/>
    <col min="31" max="31" width="1" style="300" customWidth="1"/>
    <col min="34" max="34" width="1.5703125" customWidth="1"/>
    <col min="37" max="37" width="1.42578125" customWidth="1"/>
  </cols>
  <sheetData>
    <row r="1" spans="1:26">
      <c r="A1" t="s">
        <v>355</v>
      </c>
      <c r="Q1" s="300"/>
    </row>
    <row r="2" spans="1:26">
      <c r="Q2" s="299" t="s">
        <v>180</v>
      </c>
    </row>
    <row r="3" spans="1:26">
      <c r="Q3" s="299" t="s">
        <v>356</v>
      </c>
    </row>
    <row r="4" spans="1:26">
      <c r="Q4" s="483" t="s">
        <v>371</v>
      </c>
    </row>
    <row r="5" spans="1:26">
      <c r="A5">
        <v>1</v>
      </c>
      <c r="B5" s="484" t="s">
        <v>357</v>
      </c>
      <c r="Q5" s="13">
        <f>'Authorized Rev Req'!$R$166</f>
        <v>4349041.9744177405</v>
      </c>
      <c r="R5" s="13"/>
    </row>
    <row r="6" spans="1:26">
      <c r="B6" s="485" t="s">
        <v>358</v>
      </c>
      <c r="C6" t="s">
        <v>359</v>
      </c>
      <c r="Q6" s="13">
        <f>Q5*0.01</f>
        <v>43490.419744177409</v>
      </c>
      <c r="R6" s="13"/>
    </row>
    <row r="7" spans="1:26">
      <c r="B7" s="485"/>
      <c r="Q7" s="13"/>
    </row>
    <row r="8" spans="1:26">
      <c r="A8">
        <v>2</v>
      </c>
      <c r="B8" s="484" t="s">
        <v>360</v>
      </c>
      <c r="Q8" s="486" t="s">
        <v>343</v>
      </c>
      <c r="V8" s="487"/>
      <c r="W8" s="488"/>
      <c r="X8" s="488"/>
      <c r="Y8" s="488"/>
      <c r="Z8" s="487"/>
    </row>
    <row r="9" spans="1:26">
      <c r="B9" s="489" t="s">
        <v>358</v>
      </c>
      <c r="C9" s="433" t="s">
        <v>519</v>
      </c>
      <c r="D9" s="433" t="s">
        <v>535</v>
      </c>
      <c r="E9" s="433"/>
      <c r="F9" s="433"/>
      <c r="G9" s="433"/>
      <c r="H9" s="490"/>
      <c r="I9" s="490"/>
      <c r="J9" s="490"/>
      <c r="K9" s="490"/>
      <c r="L9" s="490"/>
      <c r="M9" s="490"/>
      <c r="N9" s="490"/>
      <c r="O9" s="490"/>
      <c r="P9" s="490"/>
      <c r="Q9" s="14">
        <f>SUM('Incremental Rev Req'!H92:J92)</f>
        <v>387980.82819506817</v>
      </c>
      <c r="R9" s="13"/>
      <c r="T9" s="27"/>
      <c r="U9" s="491"/>
    </row>
    <row r="10" spans="1:26">
      <c r="B10" s="489" t="s">
        <v>361</v>
      </c>
      <c r="C10" t="s">
        <v>385</v>
      </c>
      <c r="D10" t="s">
        <v>446</v>
      </c>
      <c r="Q10" s="13">
        <f>SUM('Incremental Rev Req'!G91:J91)</f>
        <v>485459.54265123123</v>
      </c>
      <c r="R10" s="13"/>
      <c r="T10" s="27"/>
      <c r="U10" s="491"/>
    </row>
    <row r="11" spans="1:26">
      <c r="B11" s="489" t="s">
        <v>362</v>
      </c>
      <c r="C11" s="433" t="s">
        <v>523</v>
      </c>
      <c r="D11" s="433" t="s">
        <v>522</v>
      </c>
      <c r="E11" s="433"/>
      <c r="F11" s="433"/>
      <c r="G11" s="433"/>
      <c r="H11" s="490"/>
      <c r="I11" s="490"/>
      <c r="J11" s="490"/>
      <c r="K11" s="490"/>
      <c r="L11" s="490"/>
      <c r="M11" s="490"/>
      <c r="N11" s="490"/>
      <c r="O11" s="490"/>
      <c r="P11" s="490"/>
      <c r="Q11" s="14">
        <f>'Incremental Rev Req'!$G$93+'Incremental Rev Req'!$G$94</f>
        <v>72078.162629597646</v>
      </c>
      <c r="R11" s="13"/>
      <c r="T11" s="27"/>
      <c r="U11" s="491"/>
    </row>
    <row r="12" spans="1:26">
      <c r="B12" s="485" t="s">
        <v>363</v>
      </c>
      <c r="C12" t="s">
        <v>517</v>
      </c>
      <c r="D12" t="s">
        <v>507</v>
      </c>
      <c r="Q12" s="14">
        <f>SUM('Incremental Rev Req'!G115:J115)</f>
        <v>110482.47067381286</v>
      </c>
      <c r="R12" s="13"/>
      <c r="T12" s="27"/>
      <c r="U12" s="491"/>
    </row>
    <row r="13" spans="1:26">
      <c r="B13" s="489" t="s">
        <v>364</v>
      </c>
      <c r="C13" t="s">
        <v>534</v>
      </c>
      <c r="D13" s="433" t="s">
        <v>543</v>
      </c>
      <c r="Q13" s="14">
        <f>SUM('Incremental Rev Req'!G96:G111)</f>
        <v>119477.9509299241</v>
      </c>
      <c r="R13" s="13"/>
      <c r="T13" s="27"/>
      <c r="U13" s="491"/>
      <c r="V13" s="492"/>
      <c r="W13" s="493"/>
      <c r="X13" s="493"/>
      <c r="Y13" s="493"/>
      <c r="Z13" s="492"/>
    </row>
    <row r="14" spans="1:26">
      <c r="B14" s="489"/>
      <c r="R14" s="13"/>
      <c r="T14" s="27"/>
      <c r="U14" s="491"/>
      <c r="V14" s="492"/>
      <c r="W14" s="493"/>
      <c r="X14" s="493"/>
      <c r="Y14" s="493"/>
      <c r="Z14" s="492"/>
    </row>
    <row r="15" spans="1:26">
      <c r="B15" s="489"/>
    </row>
    <row r="16" spans="1:26">
      <c r="A16">
        <v>3</v>
      </c>
      <c r="B16" s="494" t="s">
        <v>365</v>
      </c>
      <c r="Q16" s="486" t="s">
        <v>343</v>
      </c>
    </row>
    <row r="17" spans="1:31">
      <c r="B17" s="489" t="s">
        <v>358</v>
      </c>
      <c r="C17" s="433" t="s">
        <v>541</v>
      </c>
      <c r="D17" s="433" t="s">
        <v>382</v>
      </c>
      <c r="E17" s="433"/>
      <c r="F17" s="433"/>
      <c r="G17" s="433"/>
      <c r="H17" s="490"/>
      <c r="I17" s="490"/>
      <c r="J17" s="490"/>
      <c r="K17" s="490"/>
      <c r="L17" s="490"/>
      <c r="M17" s="490"/>
      <c r="N17" s="490"/>
      <c r="O17" s="490"/>
      <c r="P17" s="490"/>
      <c r="Q17" s="495">
        <v>0</v>
      </c>
      <c r="R17" s="13"/>
    </row>
    <row r="18" spans="1:31">
      <c r="B18" s="489" t="s">
        <v>361</v>
      </c>
      <c r="C18" s="433" t="str">
        <f>C9</f>
        <v>A.22-05-015 / 016 Track 3</v>
      </c>
      <c r="D18" s="433" t="str">
        <f>D9</f>
        <v>GRC P1 Track 3 - WMPMA***</v>
      </c>
      <c r="E18" s="433"/>
      <c r="F18" s="433"/>
      <c r="G18" s="433"/>
      <c r="H18" s="490"/>
      <c r="I18" s="490"/>
      <c r="J18" s="490"/>
      <c r="K18" s="490"/>
      <c r="L18" s="490"/>
      <c r="M18" s="490"/>
      <c r="N18" s="490"/>
      <c r="O18" s="490"/>
      <c r="P18" s="490"/>
      <c r="Q18" s="14">
        <f>Q9</f>
        <v>387980.82819506817</v>
      </c>
      <c r="R18" s="13"/>
    </row>
    <row r="19" spans="1:31">
      <c r="B19" s="489" t="s">
        <v>362</v>
      </c>
      <c r="C19" s="433" t="str">
        <f t="shared" ref="C19:D19" si="0">C10</f>
        <v>A.22-05-016 Track 2</v>
      </c>
      <c r="D19" s="433" t="str">
        <f t="shared" si="0"/>
        <v>GRC Track 2 – 2019-2022 WMPMA**</v>
      </c>
      <c r="E19" s="433"/>
      <c r="F19" s="433"/>
      <c r="G19" s="433"/>
      <c r="H19" s="490"/>
      <c r="I19" s="490"/>
      <c r="J19" s="490"/>
      <c r="K19" s="490"/>
      <c r="L19" s="490"/>
      <c r="M19" s="490"/>
      <c r="N19" s="490"/>
      <c r="O19" s="490"/>
      <c r="P19" s="490"/>
      <c r="Q19" s="14">
        <f t="shared" ref="Q19:Q22" si="1">Q10</f>
        <v>485459.54265123123</v>
      </c>
      <c r="R19" s="13"/>
    </row>
    <row r="20" spans="1:31">
      <c r="B20" s="485" t="s">
        <v>363</v>
      </c>
      <c r="C20" s="433" t="str">
        <f t="shared" ref="C20:D20" si="2">C11</f>
        <v>A.25-03-013</v>
      </c>
      <c r="D20" s="433" t="str">
        <f t="shared" si="2"/>
        <v>2026 Cost of Capital</v>
      </c>
      <c r="Q20" s="14">
        <f t="shared" si="1"/>
        <v>72078.162629597646</v>
      </c>
      <c r="R20" s="13"/>
    </row>
    <row r="21" spans="1:31">
      <c r="B21" s="489" t="s">
        <v>364</v>
      </c>
      <c r="C21" s="433" t="str">
        <f t="shared" ref="C21:D21" si="3">C12</f>
        <v>A.25-04-015</v>
      </c>
      <c r="D21" s="433" t="str">
        <f t="shared" si="3"/>
        <v>SB 410</v>
      </c>
      <c r="E21" s="433"/>
      <c r="F21" s="433"/>
      <c r="G21" s="433"/>
      <c r="H21" s="490"/>
      <c r="I21" s="490"/>
      <c r="J21" s="490"/>
      <c r="K21" s="490"/>
      <c r="L21" s="490"/>
      <c r="M21" s="490"/>
      <c r="N21" s="490"/>
      <c r="O21" s="490"/>
      <c r="P21" s="490"/>
      <c r="Q21" s="14">
        <f t="shared" si="1"/>
        <v>110482.47067381286</v>
      </c>
      <c r="R21" s="13"/>
    </row>
    <row r="22" spans="1:31">
      <c r="B22" s="489" t="s">
        <v>544</v>
      </c>
      <c r="C22" t="s">
        <v>534</v>
      </c>
      <c r="D22" s="433" t="s">
        <v>543</v>
      </c>
      <c r="E22" s="433"/>
      <c r="F22" s="433"/>
      <c r="G22" s="433"/>
      <c r="H22" s="490"/>
      <c r="I22" s="490"/>
      <c r="J22" s="490"/>
      <c r="K22" s="490"/>
      <c r="L22" s="490"/>
      <c r="M22" s="490"/>
      <c r="N22" s="490"/>
      <c r="O22" s="490"/>
      <c r="P22" s="490"/>
      <c r="Q22" s="14">
        <f t="shared" si="1"/>
        <v>119477.9509299241</v>
      </c>
      <c r="R22" s="13"/>
    </row>
    <row r="23" spans="1:31">
      <c r="B23" s="489"/>
      <c r="C23" s="225"/>
      <c r="D23" s="433"/>
      <c r="E23" s="433"/>
      <c r="F23" s="433"/>
      <c r="G23" s="433"/>
      <c r="H23" s="490"/>
      <c r="I23" s="490"/>
      <c r="J23" s="490"/>
      <c r="K23" s="490"/>
      <c r="L23" s="490"/>
      <c r="M23" s="490"/>
      <c r="N23" s="490"/>
      <c r="O23" s="490"/>
      <c r="P23" s="490"/>
      <c r="Q23" s="14"/>
      <c r="R23" s="13"/>
    </row>
    <row r="25" spans="1:31">
      <c r="A25">
        <v>4</v>
      </c>
      <c r="B25" t="s">
        <v>366</v>
      </c>
      <c r="Q25" s="486" t="s">
        <v>343</v>
      </c>
    </row>
    <row r="26" spans="1:31">
      <c r="B26" s="27" t="s">
        <v>358</v>
      </c>
      <c r="C26" t="s">
        <v>525</v>
      </c>
      <c r="D26" t="s">
        <v>492</v>
      </c>
      <c r="Q26" s="14">
        <f>'Incremental Rev Req'!G112</f>
        <v>-33795</v>
      </c>
      <c r="R26" s="13"/>
      <c r="V26" s="492"/>
      <c r="W26" s="493"/>
      <c r="X26" s="493"/>
      <c r="Y26" s="493"/>
      <c r="Z26" s="492"/>
    </row>
    <row r="27" spans="1:31">
      <c r="B27" s="27" t="s">
        <v>361</v>
      </c>
      <c r="C27" s="225" t="s">
        <v>516</v>
      </c>
      <c r="D27" s="433" t="s">
        <v>101</v>
      </c>
      <c r="Q27" s="14">
        <f>SUM('Incremental Rev Req'!F114:J114)</f>
        <v>-90784.707757072698</v>
      </c>
      <c r="R27" s="13"/>
    </row>
    <row r="28" spans="1:31">
      <c r="B28" s="27"/>
      <c r="R28" s="13"/>
      <c r="W28"/>
      <c r="X28"/>
      <c r="Y28"/>
      <c r="AC28"/>
      <c r="AD28"/>
      <c r="AE28"/>
    </row>
    <row r="29" spans="1:31">
      <c r="W29"/>
      <c r="X29"/>
      <c r="Y29"/>
      <c r="AC29"/>
      <c r="AD29"/>
      <c r="AE29"/>
    </row>
    <row r="30" spans="1:31">
      <c r="A30">
        <v>5</v>
      </c>
      <c r="B30" s="571" t="s">
        <v>367</v>
      </c>
      <c r="C30" s="572"/>
      <c r="D30" s="572"/>
      <c r="E30" s="572"/>
      <c r="F30" s="572"/>
      <c r="G30" s="572"/>
      <c r="H30" s="572"/>
      <c r="I30" s="572"/>
      <c r="J30" s="572"/>
      <c r="K30" s="572"/>
      <c r="L30" s="572"/>
      <c r="M30" s="572"/>
      <c r="N30" s="572"/>
      <c r="O30" s="572"/>
      <c r="P30" s="572"/>
      <c r="W30"/>
      <c r="X30"/>
      <c r="Y30"/>
      <c r="AC30"/>
      <c r="AD30"/>
      <c r="AE30"/>
    </row>
    <row r="31" spans="1:31">
      <c r="B31" s="27" t="s">
        <v>358</v>
      </c>
      <c r="C31" s="27" t="s">
        <v>368</v>
      </c>
      <c r="Q31" s="13">
        <f>'Incremental Rev Req'!P104</f>
        <v>4361750.4586457396</v>
      </c>
      <c r="W31"/>
      <c r="X31"/>
      <c r="Y31"/>
      <c r="AC31"/>
      <c r="AD31"/>
      <c r="AE31"/>
    </row>
    <row r="32" spans="1:31">
      <c r="B32" s="27" t="s">
        <v>361</v>
      </c>
      <c r="C32" s="27" t="s">
        <v>372</v>
      </c>
      <c r="Q32" s="13">
        <f>'Incremental Rev Req'!Q104</f>
        <v>4641029.6486077476</v>
      </c>
      <c r="W32"/>
      <c r="X32"/>
      <c r="Y32"/>
      <c r="AC32"/>
      <c r="AD32"/>
      <c r="AE32"/>
    </row>
    <row r="33" spans="1:31">
      <c r="B33" s="27" t="s">
        <v>362</v>
      </c>
      <c r="C33" s="27" t="s">
        <v>373</v>
      </c>
      <c r="Q33" s="13">
        <f>'Incremental Rev Req'!R104</f>
        <v>4620342.2120376118</v>
      </c>
      <c r="W33"/>
      <c r="X33"/>
      <c r="Y33"/>
      <c r="AC33"/>
      <c r="AD33"/>
      <c r="AE33"/>
    </row>
    <row r="34" spans="1:31">
      <c r="B34" s="27" t="s">
        <v>363</v>
      </c>
      <c r="C34" s="27" t="s">
        <v>433</v>
      </c>
      <c r="Q34" s="13">
        <f>'Incremental Rev Req'!S104</f>
        <v>4603366.1347637624</v>
      </c>
      <c r="W34"/>
      <c r="X34"/>
      <c r="Y34"/>
      <c r="AC34"/>
      <c r="AD34"/>
      <c r="AE34"/>
    </row>
    <row r="35" spans="1:31">
      <c r="B35" s="27" t="s">
        <v>364</v>
      </c>
      <c r="C35" s="27" t="s">
        <v>490</v>
      </c>
      <c r="Q35" s="13">
        <f>'Incremental Rev Req'!T104</f>
        <v>4609057.6784935975</v>
      </c>
      <c r="W35"/>
      <c r="X35"/>
      <c r="Y35"/>
      <c r="AC35"/>
      <c r="AD35"/>
      <c r="AE35"/>
    </row>
    <row r="36" spans="1:31">
      <c r="R36" s="13"/>
      <c r="W36"/>
      <c r="X36"/>
      <c r="Y36"/>
      <c r="AC36"/>
      <c r="AD36"/>
      <c r="AE36"/>
    </row>
    <row r="37" spans="1:31">
      <c r="A37">
        <v>6</v>
      </c>
      <c r="B37" s="573" t="s">
        <v>369</v>
      </c>
      <c r="C37" s="573"/>
      <c r="D37" s="573"/>
      <c r="E37" s="573"/>
      <c r="F37" s="573"/>
      <c r="G37" s="573"/>
      <c r="H37" s="573"/>
      <c r="I37" s="573"/>
      <c r="J37" s="573"/>
      <c r="K37" s="573"/>
      <c r="L37" s="572"/>
      <c r="M37" s="572"/>
      <c r="N37" s="572"/>
      <c r="O37" s="572"/>
      <c r="R37" s="496" t="s">
        <v>370</v>
      </c>
      <c r="W37"/>
      <c r="X37"/>
      <c r="Y37"/>
      <c r="AC37"/>
      <c r="AD37"/>
      <c r="AE37"/>
    </row>
    <row r="38" spans="1:31">
      <c r="B38" s="27" t="s">
        <v>358</v>
      </c>
      <c r="C38" s="27" t="s">
        <v>368</v>
      </c>
      <c r="Q38" s="497"/>
      <c r="R38" s="498">
        <v>37.584367862997418</v>
      </c>
      <c r="W38"/>
      <c r="X38"/>
      <c r="Y38"/>
      <c r="AC38"/>
      <c r="AD38"/>
      <c r="AE38"/>
    </row>
    <row r="39" spans="1:31">
      <c r="B39" s="27" t="s">
        <v>361</v>
      </c>
      <c r="C39" s="27" t="s">
        <v>372</v>
      </c>
      <c r="Q39" s="499"/>
      <c r="R39" s="498">
        <v>44.418791897815439</v>
      </c>
      <c r="W39"/>
      <c r="X39"/>
      <c r="Y39"/>
      <c r="AC39"/>
      <c r="AD39"/>
      <c r="AE39"/>
    </row>
    <row r="40" spans="1:31">
      <c r="B40" s="27" t="s">
        <v>362</v>
      </c>
      <c r="C40" s="27" t="s">
        <v>373</v>
      </c>
      <c r="R40" s="498">
        <v>45.000334737278934</v>
      </c>
      <c r="W40"/>
      <c r="X40"/>
      <c r="Y40"/>
      <c r="AC40"/>
      <c r="AD40"/>
      <c r="AE40"/>
    </row>
    <row r="41" spans="1:31">
      <c r="B41" s="27" t="s">
        <v>363</v>
      </c>
      <c r="C41" s="27" t="s">
        <v>433</v>
      </c>
      <c r="R41" s="498">
        <v>44.974115618573606</v>
      </c>
      <c r="W41"/>
      <c r="X41"/>
      <c r="Y41"/>
      <c r="AC41"/>
      <c r="AD41"/>
      <c r="AE41"/>
    </row>
    <row r="42" spans="1:31">
      <c r="B42" s="27" t="s">
        <v>364</v>
      </c>
      <c r="C42" s="27" t="s">
        <v>490</v>
      </c>
      <c r="R42" s="498">
        <v>45.013683128359304</v>
      </c>
      <c r="W42"/>
      <c r="X42"/>
      <c r="Y42"/>
      <c r="AC42"/>
      <c r="AD42"/>
      <c r="AE42"/>
    </row>
    <row r="43" spans="1:31">
      <c r="W43"/>
      <c r="X43"/>
      <c r="Y43"/>
      <c r="AC43"/>
      <c r="AD43"/>
      <c r="AE43"/>
    </row>
    <row r="44" spans="1:31">
      <c r="A44">
        <v>7</v>
      </c>
      <c r="B44" s="50" t="s">
        <v>377</v>
      </c>
      <c r="S44" s="496" t="s">
        <v>153</v>
      </c>
      <c r="T44" s="496" t="s">
        <v>154</v>
      </c>
      <c r="W44"/>
      <c r="X44"/>
      <c r="Y44"/>
      <c r="AC44"/>
      <c r="AD44"/>
      <c r="AE44"/>
    </row>
    <row r="45" spans="1:31">
      <c r="B45" s="27" t="s">
        <v>358</v>
      </c>
      <c r="C45" s="27" t="s">
        <v>368</v>
      </c>
      <c r="Q45" s="500"/>
      <c r="R45" s="500"/>
      <c r="S45" s="501">
        <v>160.89336721187678</v>
      </c>
      <c r="T45" s="501">
        <v>95.222535474177391</v>
      </c>
      <c r="W45"/>
      <c r="X45"/>
      <c r="Y45"/>
      <c r="AC45"/>
      <c r="AD45"/>
      <c r="AE45"/>
    </row>
    <row r="46" spans="1:31">
      <c r="B46" s="27" t="s">
        <v>361</v>
      </c>
      <c r="C46" s="27" t="s">
        <v>372</v>
      </c>
      <c r="Q46" s="502"/>
      <c r="R46" s="502"/>
      <c r="S46" s="501">
        <v>189.89876877923314</v>
      </c>
      <c r="T46" s="501">
        <v>115.01596628575066</v>
      </c>
      <c r="W46"/>
      <c r="X46"/>
      <c r="Y46"/>
      <c r="AC46"/>
      <c r="AD46"/>
      <c r="AE46"/>
    </row>
    <row r="47" spans="1:31">
      <c r="B47" s="27" t="s">
        <v>362</v>
      </c>
      <c r="C47" s="27" t="s">
        <v>373</v>
      </c>
      <c r="S47" s="501">
        <v>192.34784327035607</v>
      </c>
      <c r="T47" s="501">
        <v>116.54143776309293</v>
      </c>
      <c r="W47"/>
      <c r="X47"/>
      <c r="Y47"/>
      <c r="AC47"/>
      <c r="AD47"/>
      <c r="AE47"/>
    </row>
    <row r="48" spans="1:31">
      <c r="B48" s="27" t="s">
        <v>363</v>
      </c>
      <c r="C48" s="27" t="s">
        <v>433</v>
      </c>
      <c r="Q48" s="503"/>
      <c r="R48" s="503"/>
      <c r="S48" s="501">
        <v>192.23742565286776</v>
      </c>
      <c r="T48" s="501">
        <v>116.47266120007492</v>
      </c>
      <c r="W48"/>
      <c r="X48"/>
      <c r="Y48"/>
      <c r="AC48"/>
      <c r="AD48"/>
      <c r="AE48"/>
    </row>
    <row r="49" spans="1:36">
      <c r="B49" s="27" t="s">
        <v>364</v>
      </c>
      <c r="C49" s="27" t="s">
        <v>490</v>
      </c>
      <c r="Q49" s="503"/>
      <c r="R49" s="503"/>
      <c r="S49" s="501">
        <v>192.40405788065482</v>
      </c>
      <c r="T49" s="501">
        <v>116.57645253497168</v>
      </c>
      <c r="W49"/>
      <c r="X49"/>
      <c r="Y49"/>
      <c r="AC49"/>
      <c r="AD49"/>
      <c r="AE49"/>
    </row>
    <row r="50" spans="1:36">
      <c r="B50" s="301"/>
      <c r="W50"/>
      <c r="X50"/>
      <c r="Y50"/>
      <c r="AC50"/>
      <c r="AD50"/>
      <c r="AE50"/>
    </row>
    <row r="51" spans="1:36">
      <c r="A51">
        <v>8</v>
      </c>
      <c r="B51" t="s">
        <v>448</v>
      </c>
      <c r="R51" s="496" t="s">
        <v>370</v>
      </c>
      <c r="W51"/>
      <c r="X51"/>
      <c r="Y51"/>
      <c r="AC51"/>
      <c r="AD51"/>
      <c r="AE51"/>
    </row>
    <row r="52" spans="1:36">
      <c r="B52" s="27" t="s">
        <v>358</v>
      </c>
      <c r="C52" s="27" t="s">
        <v>368</v>
      </c>
      <c r="Q52" s="497"/>
      <c r="R52" s="498">
        <v>37.243642589166569</v>
      </c>
      <c r="W52"/>
      <c r="X52"/>
      <c r="Y52"/>
      <c r="AC52"/>
      <c r="AD52"/>
      <c r="AE52"/>
    </row>
    <row r="53" spans="1:36">
      <c r="B53" s="27" t="s">
        <v>361</v>
      </c>
      <c r="C53" s="27" t="s">
        <v>372</v>
      </c>
      <c r="Q53" s="499"/>
      <c r="R53" s="498">
        <v>43.185643252554655</v>
      </c>
      <c r="W53"/>
      <c r="X53"/>
      <c r="Y53"/>
      <c r="AC53"/>
      <c r="AD53"/>
      <c r="AE53"/>
    </row>
    <row r="54" spans="1:36">
      <c r="B54" s="27" t="s">
        <v>362</v>
      </c>
      <c r="C54" s="27" t="s">
        <v>373</v>
      </c>
      <c r="R54" s="498">
        <v>43.660212964182861</v>
      </c>
      <c r="W54"/>
      <c r="X54"/>
      <c r="Y54"/>
      <c r="AC54"/>
      <c r="AD54"/>
      <c r="AE54"/>
    </row>
    <row r="55" spans="1:36">
      <c r="B55" s="27" t="s">
        <v>363</v>
      </c>
      <c r="C55" s="27" t="s">
        <v>433</v>
      </c>
      <c r="R55" s="498">
        <v>43.617662084135546</v>
      </c>
      <c r="W55"/>
      <c r="X55"/>
      <c r="Y55"/>
      <c r="AC55"/>
      <c r="AD55"/>
      <c r="AE55"/>
    </row>
    <row r="56" spans="1:36">
      <c r="B56" s="27" t="s">
        <v>364</v>
      </c>
      <c r="C56" s="27" t="s">
        <v>490</v>
      </c>
      <c r="R56" s="498">
        <v>43.656195954373288</v>
      </c>
      <c r="W56"/>
      <c r="X56"/>
      <c r="Y56"/>
      <c r="AC56"/>
      <c r="AD56"/>
      <c r="AE56"/>
    </row>
    <row r="57" spans="1:36">
      <c r="W57"/>
      <c r="X57"/>
      <c r="Y57"/>
      <c r="AC57"/>
      <c r="AD57"/>
      <c r="AE57"/>
    </row>
    <row r="58" spans="1:36">
      <c r="A58">
        <v>9</v>
      </c>
      <c r="B58" s="50" t="s">
        <v>505</v>
      </c>
      <c r="S58" s="496" t="s">
        <v>417</v>
      </c>
      <c r="T58" s="496" t="s">
        <v>418</v>
      </c>
      <c r="U58" s="496" t="s">
        <v>419</v>
      </c>
      <c r="W58"/>
      <c r="X58"/>
      <c r="Y58"/>
      <c r="AC58"/>
      <c r="AD58"/>
      <c r="AE58"/>
    </row>
    <row r="59" spans="1:36">
      <c r="B59" s="27" t="s">
        <v>358</v>
      </c>
      <c r="C59" s="27" t="s">
        <v>368</v>
      </c>
      <c r="P59" s="500"/>
      <c r="Q59" s="500"/>
      <c r="R59" s="500"/>
      <c r="S59" s="501">
        <v>386.02869103071458</v>
      </c>
      <c r="T59" s="501">
        <v>431.41065220189648</v>
      </c>
      <c r="U59" s="501">
        <v>1071.1942279051484</v>
      </c>
      <c r="W59"/>
      <c r="X59"/>
      <c r="Y59"/>
      <c r="AC59"/>
      <c r="AD59"/>
      <c r="AE59"/>
    </row>
    <row r="60" spans="1:36">
      <c r="B60" s="27" t="s">
        <v>361</v>
      </c>
      <c r="C60" s="27" t="s">
        <v>372</v>
      </c>
      <c r="R60" s="504"/>
      <c r="S60" s="501">
        <v>441.52499833803284</v>
      </c>
      <c r="T60" s="501">
        <v>492.61346891307358</v>
      </c>
      <c r="U60" s="501">
        <v>1227.1891889826954</v>
      </c>
      <c r="W60"/>
      <c r="X60"/>
      <c r="Y60"/>
      <c r="AC60"/>
      <c r="AD60"/>
      <c r="AE60"/>
    </row>
    <row r="61" spans="1:36">
      <c r="B61" s="27" t="s">
        <v>362</v>
      </c>
      <c r="C61" s="27" t="s">
        <v>373</v>
      </c>
      <c r="R61" s="502"/>
      <c r="S61" s="501">
        <v>446.19684168504949</v>
      </c>
      <c r="T61" s="501">
        <v>497.7657031056554</v>
      </c>
      <c r="U61" s="501">
        <v>1240.3213063511994</v>
      </c>
      <c r="W61"/>
      <c r="X61"/>
      <c r="Y61"/>
      <c r="AC61"/>
      <c r="AD61"/>
      <c r="AE61"/>
    </row>
    <row r="62" spans="1:36">
      <c r="B62" s="27" t="s">
        <v>363</v>
      </c>
      <c r="C62" s="27" t="s">
        <v>433</v>
      </c>
      <c r="R62" s="503"/>
      <c r="S62" s="501">
        <v>445.77795476288003</v>
      </c>
      <c r="T62" s="501">
        <v>497.30374336879805</v>
      </c>
      <c r="U62" s="501">
        <v>1239.1438541514005</v>
      </c>
      <c r="W62"/>
      <c r="X62"/>
      <c r="Y62"/>
      <c r="AC62"/>
      <c r="AD62"/>
      <c r="AE62"/>
    </row>
    <row r="63" spans="1:36">
      <c r="B63" s="27" t="s">
        <v>364</v>
      </c>
      <c r="C63" s="27" t="s">
        <v>490</v>
      </c>
      <c r="R63" s="503"/>
      <c r="S63" s="501">
        <v>446.15729672443803</v>
      </c>
      <c r="T63" s="501">
        <v>497.72209186206851</v>
      </c>
      <c r="U63" s="501">
        <v>1240.2101491428964</v>
      </c>
      <c r="W63"/>
      <c r="X63"/>
      <c r="Y63"/>
      <c r="AC63"/>
      <c r="AD63"/>
      <c r="AE63"/>
    </row>
    <row r="64" spans="1:36">
      <c r="B64" s="301"/>
      <c r="AI64" s="300"/>
      <c r="AJ64" s="300"/>
    </row>
    <row r="65" spans="2:38">
      <c r="B65" s="301"/>
    </row>
    <row r="66" spans="2:38">
      <c r="B66" s="301"/>
      <c r="W66" s="505"/>
    </row>
    <row r="67" spans="2:38">
      <c r="B67" s="301"/>
      <c r="W67" s="506"/>
      <c r="Z67" s="507"/>
      <c r="AF67" s="507"/>
      <c r="AL67" s="507"/>
    </row>
    <row r="68" spans="2:38">
      <c r="B68" s="301"/>
      <c r="W68" s="506"/>
    </row>
    <row r="69" spans="2:38">
      <c r="B69" s="301"/>
      <c r="W69" s="506"/>
    </row>
    <row r="70" spans="2:38">
      <c r="B70" s="27" t="s">
        <v>381</v>
      </c>
      <c r="C70" t="s">
        <v>379</v>
      </c>
      <c r="W70" s="506"/>
    </row>
    <row r="71" spans="2:38">
      <c r="B71" s="27" t="s">
        <v>447</v>
      </c>
      <c r="C71" s="50" t="s">
        <v>504</v>
      </c>
    </row>
    <row r="72" spans="2:38">
      <c r="B72" s="27" t="s">
        <v>536</v>
      </c>
      <c r="C72" s="50" t="s">
        <v>537</v>
      </c>
    </row>
  </sheetData>
  <mergeCells count="2">
    <mergeCell ref="B30:P30"/>
    <mergeCell ref="B37:O37"/>
  </mergeCells>
  <phoneticPr fontId="42" type="noConversion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C69D28-87E3-445F-89CF-C3F304F54B9A}">
  <sheetPr codeName="Sheet1">
    <pageSetUpPr fitToPage="1"/>
  </sheetPr>
  <dimension ref="A1:X187"/>
  <sheetViews>
    <sheetView workbookViewId="0"/>
  </sheetViews>
  <sheetFormatPr defaultRowHeight="15" outlineLevelCol="1"/>
  <cols>
    <col min="1" max="1" width="89.140625" bestFit="1" customWidth="1"/>
    <col min="2" max="2" width="61.85546875" customWidth="1"/>
    <col min="3" max="13" width="14.42578125" hidden="1" customWidth="1" outlineLevel="1"/>
    <col min="14" max="14" width="14.42578125" customWidth="1" collapsed="1"/>
    <col min="15" max="18" width="14.42578125" customWidth="1"/>
    <col min="19" max="19" width="28.42578125" bestFit="1" customWidth="1"/>
    <col min="20" max="20" width="12" customWidth="1"/>
    <col min="21" max="21" width="17.42578125" bestFit="1" customWidth="1"/>
    <col min="22" max="22" width="14.42578125" customWidth="1"/>
    <col min="23" max="23" width="14.140625" bestFit="1" customWidth="1"/>
    <col min="24" max="24" width="15" style="291" bestFit="1" customWidth="1"/>
  </cols>
  <sheetData>
    <row r="1" spans="1:24" ht="18.75">
      <c r="A1" s="539" t="s">
        <v>583</v>
      </c>
      <c r="B1" s="487"/>
      <c r="C1" s="487"/>
      <c r="D1" s="487"/>
      <c r="E1" s="487"/>
      <c r="F1" s="487"/>
      <c r="G1" s="487"/>
      <c r="H1" s="487"/>
      <c r="I1" s="487"/>
      <c r="J1" s="487"/>
      <c r="K1" s="487"/>
      <c r="L1" s="487"/>
      <c r="M1" s="487"/>
      <c r="N1" s="487"/>
      <c r="O1" s="487"/>
      <c r="P1" s="487"/>
      <c r="Q1" s="487"/>
      <c r="R1" s="487"/>
      <c r="S1" s="487"/>
      <c r="T1" s="487"/>
    </row>
    <row r="2" spans="1:24" ht="18.75">
      <c r="A2" s="539" t="s">
        <v>474</v>
      </c>
      <c r="B2" s="16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V2" s="17"/>
    </row>
    <row r="3" spans="1:24" ht="18.75">
      <c r="A3" s="539" t="s">
        <v>539</v>
      </c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V3" s="17"/>
    </row>
    <row r="4" spans="1:24" ht="18.75">
      <c r="A4" s="539" t="s">
        <v>584</v>
      </c>
      <c r="B4" s="16"/>
      <c r="C4" s="17"/>
      <c r="D4" s="17"/>
      <c r="E4" s="17"/>
      <c r="F4" s="17"/>
      <c r="G4" s="17"/>
      <c r="H4" s="17"/>
      <c r="I4" s="17"/>
      <c r="J4" s="17"/>
      <c r="K4" s="17"/>
      <c r="L4" s="17"/>
      <c r="M4" s="298"/>
      <c r="N4" s="298"/>
      <c r="O4" s="298"/>
      <c r="P4" s="298"/>
      <c r="Q4" s="298"/>
      <c r="R4" s="298"/>
      <c r="S4" t="s">
        <v>493</v>
      </c>
      <c r="V4" s="17"/>
    </row>
    <row r="5" spans="1:24">
      <c r="B5" t="s">
        <v>17</v>
      </c>
      <c r="C5" s="183">
        <v>43862</v>
      </c>
      <c r="D5" s="183">
        <v>43922</v>
      </c>
      <c r="E5" s="183">
        <v>43983</v>
      </c>
      <c r="F5" s="183">
        <v>44105</v>
      </c>
      <c r="G5" s="183">
        <v>44228</v>
      </c>
      <c r="H5" s="183">
        <v>44256</v>
      </c>
      <c r="I5" s="183">
        <v>44348</v>
      </c>
      <c r="J5" s="183">
        <v>44501</v>
      </c>
      <c r="K5" s="183">
        <v>44562</v>
      </c>
      <c r="L5" s="183">
        <v>44713</v>
      </c>
      <c r="M5" s="183">
        <v>44927</v>
      </c>
      <c r="N5" s="183">
        <v>45292</v>
      </c>
      <c r="O5" s="183">
        <v>45352</v>
      </c>
      <c r="P5" s="183">
        <v>45566</v>
      </c>
      <c r="Q5" s="183">
        <v>45689</v>
      </c>
      <c r="R5" s="183">
        <v>45809</v>
      </c>
      <c r="V5" s="183"/>
    </row>
    <row r="6" spans="1:24">
      <c r="B6" t="s">
        <v>18</v>
      </c>
      <c r="C6" t="s">
        <v>155</v>
      </c>
      <c r="D6" t="s">
        <v>204</v>
      </c>
      <c r="E6" t="s">
        <v>218</v>
      </c>
      <c r="F6" t="s">
        <v>224</v>
      </c>
      <c r="G6" t="s">
        <v>236</v>
      </c>
      <c r="H6" t="s">
        <v>253</v>
      </c>
      <c r="I6" t="s">
        <v>269</v>
      </c>
      <c r="J6" t="s">
        <v>306</v>
      </c>
      <c r="K6" t="s">
        <v>328</v>
      </c>
      <c r="L6" t="s">
        <v>334</v>
      </c>
      <c r="M6" t="s">
        <v>538</v>
      </c>
      <c r="N6" t="s">
        <v>400</v>
      </c>
      <c r="O6" t="s">
        <v>454</v>
      </c>
      <c r="P6" t="s">
        <v>472</v>
      </c>
      <c r="Q6" t="s">
        <v>510</v>
      </c>
      <c r="R6" t="s">
        <v>533</v>
      </c>
    </row>
    <row r="7" spans="1:24" ht="62.25" customHeight="1">
      <c r="A7" s="19" t="s">
        <v>0</v>
      </c>
      <c r="B7" s="508" t="str">
        <f>_xlfn.TEXTJOIN(" ",TRUE,"Authority for Revenue Requirement as of",Summary!E30)</f>
        <v>Authority for Revenue Requirement as of 6/1/25</v>
      </c>
      <c r="C7" s="11" t="s">
        <v>16</v>
      </c>
      <c r="D7" s="11" t="s">
        <v>16</v>
      </c>
      <c r="E7" s="11" t="s">
        <v>16</v>
      </c>
      <c r="F7" s="11" t="s">
        <v>16</v>
      </c>
      <c r="G7" s="11" t="s">
        <v>16</v>
      </c>
      <c r="H7" s="11" t="s">
        <v>16</v>
      </c>
      <c r="I7" s="11" t="s">
        <v>16</v>
      </c>
      <c r="J7" s="11" t="s">
        <v>16</v>
      </c>
      <c r="K7" s="11" t="s">
        <v>16</v>
      </c>
      <c r="L7" s="11" t="s">
        <v>16</v>
      </c>
      <c r="M7" s="11" t="s">
        <v>16</v>
      </c>
      <c r="N7" s="11" t="s">
        <v>16</v>
      </c>
      <c r="O7" s="11" t="s">
        <v>16</v>
      </c>
      <c r="P7" s="11" t="s">
        <v>16</v>
      </c>
      <c r="Q7" s="11" t="s">
        <v>16</v>
      </c>
      <c r="R7" s="11" t="s">
        <v>16</v>
      </c>
      <c r="S7" s="11" t="s">
        <v>1</v>
      </c>
      <c r="T7" s="11" t="s">
        <v>15</v>
      </c>
      <c r="U7" s="301"/>
      <c r="V7" s="33"/>
    </row>
    <row r="8" spans="1:24">
      <c r="A8" s="18" t="s">
        <v>2</v>
      </c>
    </row>
    <row r="9" spans="1:24">
      <c r="A9" t="s">
        <v>19</v>
      </c>
      <c r="B9" s="12" t="s">
        <v>545</v>
      </c>
      <c r="C9" s="12">
        <v>1477315.7596823999</v>
      </c>
      <c r="D9" s="12">
        <v>1477315.7596823999</v>
      </c>
      <c r="E9" s="12">
        <v>1477315.7596823999</v>
      </c>
      <c r="F9" s="12">
        <v>1477315.7596823999</v>
      </c>
      <c r="G9" s="12">
        <v>1558749.6462927</v>
      </c>
      <c r="H9" s="12">
        <v>1558749.6462927</v>
      </c>
      <c r="I9" s="12">
        <v>1558749.6462927</v>
      </c>
      <c r="J9" s="12">
        <v>1558749.6462927</v>
      </c>
      <c r="K9" s="12">
        <v>1628214.3345532001</v>
      </c>
      <c r="L9" s="12">
        <v>1622781.4869994856</v>
      </c>
      <c r="M9" s="12">
        <v>1673262.9692801998</v>
      </c>
      <c r="N9" s="12">
        <v>1673262.9692801998</v>
      </c>
      <c r="O9" s="12">
        <v>1720272.5372833791</v>
      </c>
      <c r="P9" s="12">
        <v>1720272.5372833791</v>
      </c>
      <c r="Q9" s="12">
        <v>2016576.1387274999</v>
      </c>
      <c r="R9" s="12">
        <v>2016576.1387274999</v>
      </c>
      <c r="S9" t="s">
        <v>5</v>
      </c>
      <c r="T9" t="s">
        <v>24</v>
      </c>
      <c r="U9" s="324"/>
      <c r="V9" s="12"/>
      <c r="W9" s="12"/>
      <c r="X9" s="292"/>
    </row>
    <row r="10" spans="1:24">
      <c r="A10" t="s">
        <v>19</v>
      </c>
      <c r="B10" s="12" t="s">
        <v>545</v>
      </c>
      <c r="C10" s="12">
        <v>198523.7366944</v>
      </c>
      <c r="D10" s="12">
        <v>198523.7366944</v>
      </c>
      <c r="E10" s="12">
        <v>198523.7366944</v>
      </c>
      <c r="F10" s="12">
        <v>198523.7366944</v>
      </c>
      <c r="G10" s="12">
        <v>200900.22403919999</v>
      </c>
      <c r="H10" s="12">
        <v>200900.22403919999</v>
      </c>
      <c r="I10" s="12">
        <v>200900.22403919999</v>
      </c>
      <c r="J10" s="12">
        <v>200900.22403919999</v>
      </c>
      <c r="K10" s="12">
        <v>203501.2640546</v>
      </c>
      <c r="L10" s="12">
        <v>203055.40087854289</v>
      </c>
      <c r="M10" s="12">
        <v>202592.5097464</v>
      </c>
      <c r="N10" s="12">
        <v>202592.5097464</v>
      </c>
      <c r="O10" s="12">
        <v>206976.1183843688</v>
      </c>
      <c r="P10" s="12">
        <v>206976.1183843688</v>
      </c>
      <c r="Q10" s="12">
        <v>218153.07271800001</v>
      </c>
      <c r="R10" s="12">
        <v>218153.07271800001</v>
      </c>
      <c r="S10" t="s">
        <v>3</v>
      </c>
      <c r="T10" t="s">
        <v>24</v>
      </c>
      <c r="U10" s="324"/>
      <c r="V10" s="12"/>
      <c r="W10" s="12"/>
      <c r="X10" s="292"/>
    </row>
    <row r="11" spans="1:24">
      <c r="A11" t="s">
        <v>210</v>
      </c>
      <c r="B11" s="12" t="s">
        <v>546</v>
      </c>
      <c r="C11" s="12">
        <v>38304.415000000001</v>
      </c>
      <c r="D11" s="12">
        <v>38304.415000000001</v>
      </c>
      <c r="E11" s="12">
        <v>38304.415000000001</v>
      </c>
      <c r="F11" s="12">
        <v>38304.415000000001</v>
      </c>
      <c r="G11" s="12">
        <v>38722.434000000001</v>
      </c>
      <c r="H11" s="12">
        <v>38722.434000000001</v>
      </c>
      <c r="I11" s="12">
        <v>38722.434000000001</v>
      </c>
      <c r="J11" s="12">
        <v>38722.434000000001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328">
        <v>166603.17092951052</v>
      </c>
      <c r="R11" s="328">
        <v>166603.17092951052</v>
      </c>
      <c r="S11" t="s">
        <v>5</v>
      </c>
      <c r="T11" t="s">
        <v>26</v>
      </c>
      <c r="U11" s="324"/>
      <c r="V11" s="12"/>
      <c r="W11" s="12"/>
      <c r="X11" s="292"/>
    </row>
    <row r="12" spans="1:24">
      <c r="A12" t="s">
        <v>210</v>
      </c>
      <c r="B12" s="12" t="s">
        <v>547</v>
      </c>
      <c r="C12" s="12">
        <v>-19594.055499999999</v>
      </c>
      <c r="D12" s="12">
        <v>-19594.055499999999</v>
      </c>
      <c r="E12" s="12">
        <v>-19594.055499999999</v>
      </c>
      <c r="F12" s="12">
        <v>-19594.055499999999</v>
      </c>
      <c r="G12" s="12">
        <v>-19807.915000000001</v>
      </c>
      <c r="H12" s="12">
        <v>-19807.915000000001</v>
      </c>
      <c r="I12" s="12">
        <v>-19807.915000000001</v>
      </c>
      <c r="J12" s="12">
        <v>-19807.915000000001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0</v>
      </c>
      <c r="Q12" s="328">
        <v>-14343.037775307326</v>
      </c>
      <c r="R12" s="328">
        <v>-14343.037775307326</v>
      </c>
      <c r="S12" t="s">
        <v>3</v>
      </c>
      <c r="T12" t="s">
        <v>26</v>
      </c>
      <c r="U12" s="324"/>
      <c r="V12" s="12"/>
      <c r="W12" s="12"/>
      <c r="X12" s="292"/>
    </row>
    <row r="13" spans="1:24">
      <c r="A13" t="s">
        <v>210</v>
      </c>
      <c r="B13" s="12" t="s">
        <v>546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2">
        <v>0</v>
      </c>
      <c r="Q13" s="328">
        <v>19839.868520808574</v>
      </c>
      <c r="R13" s="328">
        <v>19839.868520808574</v>
      </c>
      <c r="S13" t="s">
        <v>256</v>
      </c>
      <c r="T13" t="s">
        <v>26</v>
      </c>
      <c r="U13" s="324"/>
      <c r="V13" s="12"/>
      <c r="W13" s="12"/>
      <c r="X13" s="292"/>
    </row>
    <row r="14" spans="1:24">
      <c r="A14" t="s">
        <v>208</v>
      </c>
      <c r="B14" s="12" t="s">
        <v>494</v>
      </c>
      <c r="C14" s="12">
        <v>-32053.919132110164</v>
      </c>
      <c r="D14" s="12">
        <v>-32053.919132110164</v>
      </c>
      <c r="E14" s="12">
        <v>-32053.919132110164</v>
      </c>
      <c r="F14" s="12">
        <v>-32053.919132110164</v>
      </c>
      <c r="G14" s="12">
        <v>-32053.919132110164</v>
      </c>
      <c r="H14" s="12">
        <v>-32053.919132110164</v>
      </c>
      <c r="I14" s="12">
        <v>-32053.919132110164</v>
      </c>
      <c r="J14" s="12">
        <v>-32053.919132110164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2">
        <v>0</v>
      </c>
      <c r="Q14" s="12">
        <v>0</v>
      </c>
      <c r="R14" s="12">
        <v>0</v>
      </c>
      <c r="S14" t="s">
        <v>5</v>
      </c>
      <c r="T14" t="s">
        <v>24</v>
      </c>
      <c r="U14" s="324"/>
      <c r="V14" s="12"/>
      <c r="W14" s="12"/>
      <c r="X14" s="292"/>
    </row>
    <row r="15" spans="1:24">
      <c r="A15" t="s">
        <v>208</v>
      </c>
      <c r="B15" s="12" t="s">
        <v>494</v>
      </c>
      <c r="C15" s="12">
        <v>-7335.0289387033235</v>
      </c>
      <c r="D15" s="12">
        <v>-7335.0289387033235</v>
      </c>
      <c r="E15" s="12">
        <v>-7335.0289387033235</v>
      </c>
      <c r="F15" s="12">
        <v>-7335.0289387033235</v>
      </c>
      <c r="G15" s="12">
        <v>-7335.0289387033235</v>
      </c>
      <c r="H15" s="12">
        <v>-7335.0289387033235</v>
      </c>
      <c r="I15" s="12">
        <v>-7335.0289387033235</v>
      </c>
      <c r="J15" s="12">
        <v>-7335.0289387033235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2">
        <v>0</v>
      </c>
      <c r="Q15" s="12">
        <v>0</v>
      </c>
      <c r="R15" s="12">
        <v>0</v>
      </c>
      <c r="S15" t="s">
        <v>3</v>
      </c>
      <c r="T15" t="s">
        <v>24</v>
      </c>
      <c r="U15" s="324"/>
      <c r="V15" s="12"/>
      <c r="W15" s="12"/>
      <c r="X15" s="292"/>
    </row>
    <row r="16" spans="1:24">
      <c r="A16" s="13" t="s">
        <v>240</v>
      </c>
      <c r="B16" s="12" t="s">
        <v>494</v>
      </c>
      <c r="C16" s="12">
        <v>0</v>
      </c>
      <c r="D16" s="12">
        <v>0</v>
      </c>
      <c r="E16" s="12">
        <v>0</v>
      </c>
      <c r="F16" s="12">
        <v>0</v>
      </c>
      <c r="G16" s="12">
        <v>-7486.5516527999998</v>
      </c>
      <c r="H16" s="12">
        <v>-7486.5516527999998</v>
      </c>
      <c r="I16" s="12">
        <v>-7486.5516527999998</v>
      </c>
      <c r="J16" s="12">
        <v>-7486.5516527999998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2">
        <v>0</v>
      </c>
      <c r="Q16" s="12">
        <v>0</v>
      </c>
      <c r="R16" s="12">
        <v>0</v>
      </c>
      <c r="S16" t="s">
        <v>5</v>
      </c>
      <c r="T16" t="s">
        <v>26</v>
      </c>
      <c r="U16" s="324"/>
      <c r="V16" s="12"/>
      <c r="W16" s="12"/>
      <c r="X16" s="292"/>
    </row>
    <row r="17" spans="1:24">
      <c r="A17" s="13" t="s">
        <v>239</v>
      </c>
      <c r="B17" s="12" t="s">
        <v>494</v>
      </c>
      <c r="C17" s="12">
        <v>0</v>
      </c>
      <c r="D17" s="12">
        <v>0</v>
      </c>
      <c r="E17" s="12">
        <v>0</v>
      </c>
      <c r="F17" s="12">
        <v>0</v>
      </c>
      <c r="G17" s="12">
        <v>-53.643027799999999</v>
      </c>
      <c r="H17" s="12">
        <v>-53.643027799999999</v>
      </c>
      <c r="I17" s="12">
        <v>-53.643027799999999</v>
      </c>
      <c r="J17" s="12">
        <v>-53.643027799999999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2">
        <v>0</v>
      </c>
      <c r="Q17" s="12">
        <v>0</v>
      </c>
      <c r="R17" s="12">
        <v>0</v>
      </c>
      <c r="S17" t="s">
        <v>3</v>
      </c>
      <c r="T17" t="s">
        <v>26</v>
      </c>
      <c r="U17" s="324"/>
      <c r="V17" s="326"/>
      <c r="W17" s="326"/>
      <c r="X17" s="292"/>
    </row>
    <row r="18" spans="1:24">
      <c r="A18" s="13" t="s">
        <v>40</v>
      </c>
      <c r="B18" s="12" t="s">
        <v>548</v>
      </c>
      <c r="C18" s="12">
        <v>801215.36425870005</v>
      </c>
      <c r="D18" s="12">
        <v>801215.36425870005</v>
      </c>
      <c r="E18" s="12">
        <v>801215.36425870005</v>
      </c>
      <c r="F18" s="12">
        <v>801215.36425870005</v>
      </c>
      <c r="G18" s="12">
        <v>801215.36425870005</v>
      </c>
      <c r="H18" s="12">
        <v>663435.15883986873</v>
      </c>
      <c r="I18" s="12">
        <v>663435.15883986873</v>
      </c>
      <c r="J18" s="12">
        <v>663435.15883986873</v>
      </c>
      <c r="K18" s="12">
        <v>786860.06604541873</v>
      </c>
      <c r="L18" s="12">
        <v>786860.06604541873</v>
      </c>
      <c r="M18" s="12">
        <v>545074.22041898174</v>
      </c>
      <c r="N18" s="12">
        <v>487032.04468507774</v>
      </c>
      <c r="O18" s="12">
        <v>487032.04468507774</v>
      </c>
      <c r="P18" s="12">
        <v>487032.04468507774</v>
      </c>
      <c r="Q18" s="12">
        <v>464895.44433890504</v>
      </c>
      <c r="R18" s="12">
        <v>464895.44433890504</v>
      </c>
      <c r="S18" t="s">
        <v>3</v>
      </c>
      <c r="T18" t="s">
        <v>24</v>
      </c>
      <c r="U18" s="324"/>
      <c r="V18" s="326"/>
      <c r="W18" s="326"/>
      <c r="X18" s="325"/>
    </row>
    <row r="19" spans="1:24">
      <c r="A19" s="13" t="s">
        <v>41</v>
      </c>
      <c r="B19" s="12" t="s">
        <v>494</v>
      </c>
      <c r="C19" s="12">
        <v>0</v>
      </c>
      <c r="D19" s="12">
        <v>-186232.39839999998</v>
      </c>
      <c r="E19" s="12">
        <v>-186232.39839999998</v>
      </c>
      <c r="F19" s="12">
        <v>-186232.39839999998</v>
      </c>
      <c r="G19" s="12">
        <v>0</v>
      </c>
      <c r="H19" s="12">
        <v>55341.557366349334</v>
      </c>
      <c r="I19" s="12">
        <v>55341.557366349334</v>
      </c>
      <c r="J19" s="12">
        <v>55341.557366349334</v>
      </c>
      <c r="K19" s="12">
        <v>149125.7809671688</v>
      </c>
      <c r="L19" s="12">
        <v>149125.7809671688</v>
      </c>
      <c r="M19" s="12">
        <v>-4541.853247395592</v>
      </c>
      <c r="N19" s="12">
        <v>0</v>
      </c>
      <c r="O19" s="12">
        <v>0</v>
      </c>
      <c r="P19" s="12">
        <v>0</v>
      </c>
      <c r="Q19" s="12">
        <v>0</v>
      </c>
      <c r="R19" s="12">
        <v>0</v>
      </c>
      <c r="S19" t="s">
        <v>3</v>
      </c>
      <c r="T19" t="s">
        <v>24</v>
      </c>
      <c r="U19" s="324"/>
      <c r="V19" s="327"/>
      <c r="W19" s="328"/>
      <c r="X19" s="325"/>
    </row>
    <row r="20" spans="1:24">
      <c r="A20" t="s">
        <v>53</v>
      </c>
      <c r="B20" s="12" t="s">
        <v>549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106558.60764250722</v>
      </c>
      <c r="N20" s="12">
        <v>-78073.242312040151</v>
      </c>
      <c r="O20" s="12">
        <v>-78073.242312040151</v>
      </c>
      <c r="P20" s="12">
        <v>-78073.242312040151</v>
      </c>
      <c r="Q20" s="12">
        <v>121137.34030850908</v>
      </c>
      <c r="R20" s="12">
        <v>121137.34030850908</v>
      </c>
      <c r="S20" t="s">
        <v>3</v>
      </c>
      <c r="T20" t="s">
        <v>26</v>
      </c>
      <c r="U20" s="324"/>
      <c r="V20" s="12"/>
      <c r="W20" s="12"/>
      <c r="X20" s="292"/>
    </row>
    <row r="21" spans="1:24">
      <c r="A21" t="s">
        <v>335</v>
      </c>
      <c r="B21" s="12" t="s">
        <v>495</v>
      </c>
      <c r="C21" s="12">
        <v>352010.14804195391</v>
      </c>
      <c r="D21" s="12">
        <v>352010.14804195391</v>
      </c>
      <c r="E21" s="12">
        <v>352010.14804195391</v>
      </c>
      <c r="F21" s="12">
        <v>352010.14804195391</v>
      </c>
      <c r="G21" s="12">
        <v>352010.14804195391</v>
      </c>
      <c r="H21" s="12">
        <v>224966.11872143956</v>
      </c>
      <c r="I21" s="12">
        <v>224966.11872143956</v>
      </c>
      <c r="J21" s="12">
        <v>224966.11872143956</v>
      </c>
      <c r="K21" s="12">
        <v>30288.3684359037</v>
      </c>
      <c r="L21" s="12">
        <v>30288.3684359037</v>
      </c>
      <c r="M21" s="12">
        <v>41.484471775096608</v>
      </c>
      <c r="N21" s="12">
        <v>-94445.891028563361</v>
      </c>
      <c r="O21" s="12">
        <v>-97290.830192037392</v>
      </c>
      <c r="P21" s="12">
        <v>-97290.830192037392</v>
      </c>
      <c r="Q21" s="12">
        <v>-66097.75023491781</v>
      </c>
      <c r="R21" s="12">
        <v>-66097.75023491781</v>
      </c>
      <c r="S21" t="s">
        <v>3</v>
      </c>
      <c r="T21" t="s">
        <v>24</v>
      </c>
      <c r="U21" s="324"/>
      <c r="V21" s="12"/>
      <c r="W21" s="12"/>
      <c r="X21" s="292"/>
    </row>
    <row r="22" spans="1:24">
      <c r="A22" t="s">
        <v>207</v>
      </c>
      <c r="B22" s="12" t="s">
        <v>549</v>
      </c>
      <c r="C22" s="12">
        <v>254053.64200475891</v>
      </c>
      <c r="D22" s="12">
        <v>254053.64200475891</v>
      </c>
      <c r="E22" s="12">
        <v>254053.64200475891</v>
      </c>
      <c r="F22" s="12">
        <v>254053.64200475891</v>
      </c>
      <c r="G22" s="12">
        <v>254053.64200475891</v>
      </c>
      <c r="H22" s="12">
        <v>97010.609932855412</v>
      </c>
      <c r="I22" s="12">
        <v>97010.609932855412</v>
      </c>
      <c r="J22" s="12">
        <v>97010.609932855412</v>
      </c>
      <c r="K22" s="12">
        <v>-49396.580372743534</v>
      </c>
      <c r="L22" s="12">
        <v>-49396.580372743534</v>
      </c>
      <c r="M22" s="12">
        <v>-7303.5433951182349</v>
      </c>
      <c r="N22" s="12">
        <v>51403.58499015007</v>
      </c>
      <c r="O22" s="12">
        <v>50883.296223820733</v>
      </c>
      <c r="P22" s="12">
        <v>50883.296223820733</v>
      </c>
      <c r="Q22" s="12">
        <v>-132513.70493383484</v>
      </c>
      <c r="R22" s="12">
        <v>-132513.70493383484</v>
      </c>
      <c r="S22" t="s">
        <v>3</v>
      </c>
      <c r="T22" t="s">
        <v>26</v>
      </c>
      <c r="U22" s="324"/>
      <c r="V22" s="12"/>
      <c r="W22" s="12"/>
      <c r="X22" s="292"/>
    </row>
    <row r="23" spans="1:24">
      <c r="A23" t="s">
        <v>325</v>
      </c>
      <c r="B23" s="12" t="s">
        <v>494</v>
      </c>
      <c r="C23" s="12">
        <v>0</v>
      </c>
      <c r="D23" s="12">
        <v>0</v>
      </c>
      <c r="E23" s="12">
        <v>0</v>
      </c>
      <c r="F23" s="12">
        <v>0</v>
      </c>
      <c r="G23" s="12">
        <v>-2471.0007218152782</v>
      </c>
      <c r="H23" s="12">
        <v>-2471.0007218152782</v>
      </c>
      <c r="I23" s="12">
        <v>-2471.0007218152782</v>
      </c>
      <c r="J23" s="12">
        <v>-2471.0007218152782</v>
      </c>
      <c r="K23" s="12">
        <v>-2470.7040940930806</v>
      </c>
      <c r="L23" s="12">
        <v>-2470.7040940930806</v>
      </c>
      <c r="M23" s="12">
        <v>-428.1251468284795</v>
      </c>
      <c r="N23" s="12">
        <v>0</v>
      </c>
      <c r="O23" s="12">
        <v>0</v>
      </c>
      <c r="P23" s="12">
        <v>0</v>
      </c>
      <c r="Q23" s="12">
        <v>0</v>
      </c>
      <c r="R23" s="12">
        <v>0</v>
      </c>
      <c r="S23" t="s">
        <v>3</v>
      </c>
      <c r="T23" t="s">
        <v>24</v>
      </c>
      <c r="U23" s="324"/>
      <c r="V23" s="12"/>
      <c r="W23" s="12"/>
      <c r="X23" s="292"/>
    </row>
    <row r="24" spans="1:24">
      <c r="A24" t="s">
        <v>326</v>
      </c>
      <c r="B24" s="12" t="s">
        <v>494</v>
      </c>
      <c r="C24" s="12">
        <v>9839.3111363526241</v>
      </c>
      <c r="D24" s="12">
        <v>9839.3111363526241</v>
      </c>
      <c r="E24" s="12">
        <v>9839.3111363526241</v>
      </c>
      <c r="F24" s="12">
        <v>9839.3111363526241</v>
      </c>
      <c r="G24" s="12">
        <v>9839.3111363526241</v>
      </c>
      <c r="H24" s="12">
        <v>22488.622374953778</v>
      </c>
      <c r="I24" s="12">
        <v>22488.622374953778</v>
      </c>
      <c r="J24" s="12">
        <v>22488.622374953778</v>
      </c>
      <c r="K24" s="12">
        <v>-17985.713429346531</v>
      </c>
      <c r="L24" s="12">
        <v>-17985.713429346531</v>
      </c>
      <c r="M24" s="12">
        <v>0</v>
      </c>
      <c r="N24" s="12">
        <v>0</v>
      </c>
      <c r="O24" s="12">
        <v>0</v>
      </c>
      <c r="P24" s="12">
        <v>0</v>
      </c>
      <c r="Q24" s="12">
        <v>0</v>
      </c>
      <c r="R24" s="12">
        <v>0</v>
      </c>
      <c r="S24" t="s">
        <v>3</v>
      </c>
      <c r="T24" t="s">
        <v>24</v>
      </c>
      <c r="U24" s="324"/>
      <c r="V24" s="12"/>
      <c r="W24" s="12"/>
      <c r="X24" s="292"/>
    </row>
    <row r="25" spans="1:24">
      <c r="A25" t="s">
        <v>310</v>
      </c>
      <c r="B25" s="12" t="s">
        <v>494</v>
      </c>
      <c r="C25" s="12">
        <v>0</v>
      </c>
      <c r="D25" s="12">
        <v>0</v>
      </c>
      <c r="E25" s="12">
        <v>0</v>
      </c>
      <c r="F25" s="12">
        <v>0</v>
      </c>
      <c r="G25" s="12">
        <v>2471.0007218152782</v>
      </c>
      <c r="H25" s="12">
        <v>2471.0007218152782</v>
      </c>
      <c r="I25" s="12">
        <v>2471.0007218152782</v>
      </c>
      <c r="J25" s="12">
        <v>2471.0007218152782</v>
      </c>
      <c r="K25" s="12">
        <v>2470.7040940930806</v>
      </c>
      <c r="L25" s="12">
        <v>2470.7040940930806</v>
      </c>
      <c r="M25" s="12">
        <v>-2700.7391953273445</v>
      </c>
      <c r="N25" s="12">
        <v>0</v>
      </c>
      <c r="O25" s="12">
        <v>0</v>
      </c>
      <c r="P25" s="12">
        <v>0</v>
      </c>
      <c r="Q25" s="12">
        <v>0</v>
      </c>
      <c r="R25" s="12">
        <v>0</v>
      </c>
      <c r="S25" t="s">
        <v>256</v>
      </c>
      <c r="T25" t="s">
        <v>24</v>
      </c>
      <c r="U25" s="324"/>
      <c r="V25" s="12"/>
      <c r="W25" s="12"/>
      <c r="X25" s="292"/>
    </row>
    <row r="26" spans="1:24">
      <c r="A26" t="s">
        <v>336</v>
      </c>
      <c r="B26" s="12" t="s">
        <v>549</v>
      </c>
      <c r="C26" s="12">
        <v>0</v>
      </c>
      <c r="D26" s="12">
        <v>0</v>
      </c>
      <c r="E26" s="12">
        <v>0</v>
      </c>
      <c r="F26" s="12">
        <v>0</v>
      </c>
      <c r="G26" s="12">
        <v>0</v>
      </c>
      <c r="H26" s="12">
        <v>98129.888763111332</v>
      </c>
      <c r="I26" s="12">
        <v>98129.888763111332</v>
      </c>
      <c r="J26" s="12">
        <v>98129.888763111332</v>
      </c>
      <c r="K26" s="12">
        <v>153061.7712138943</v>
      </c>
      <c r="L26" s="12">
        <v>153061.7712138943</v>
      </c>
      <c r="M26" s="12">
        <v>97929.459201915961</v>
      </c>
      <c r="N26" s="12">
        <v>60194.209131811956</v>
      </c>
      <c r="O26" s="12">
        <v>63009.916720960238</v>
      </c>
      <c r="P26" s="12">
        <v>63009.916720960238</v>
      </c>
      <c r="Q26" s="12">
        <v>-3939.3649907225172</v>
      </c>
      <c r="R26" s="12">
        <v>-3939.3649907225172</v>
      </c>
      <c r="S26" t="s">
        <v>256</v>
      </c>
      <c r="T26" t="s">
        <v>24</v>
      </c>
      <c r="U26" s="324"/>
      <c r="V26" s="12"/>
      <c r="W26" s="12"/>
      <c r="X26" s="292"/>
    </row>
    <row r="27" spans="1:24">
      <c r="A27" t="s">
        <v>255</v>
      </c>
      <c r="B27" s="12" t="s">
        <v>549</v>
      </c>
      <c r="C27" s="12">
        <v>0</v>
      </c>
      <c r="D27" s="12">
        <v>0</v>
      </c>
      <c r="E27" s="12">
        <v>0</v>
      </c>
      <c r="F27" s="12">
        <v>0</v>
      </c>
      <c r="G27" s="12">
        <v>0</v>
      </c>
      <c r="H27" s="12">
        <v>26801.531556966504</v>
      </c>
      <c r="I27" s="12">
        <v>26801.531556966504</v>
      </c>
      <c r="J27" s="12">
        <v>26801.531556966504</v>
      </c>
      <c r="K27" s="12">
        <v>-62287.582937048333</v>
      </c>
      <c r="L27" s="12">
        <v>-62287.582937048333</v>
      </c>
      <c r="M27" s="12">
        <v>-7362.4888490041121</v>
      </c>
      <c r="N27" s="12">
        <v>52533.713465837092</v>
      </c>
      <c r="O27" s="12">
        <v>53048.656297202651</v>
      </c>
      <c r="P27" s="12">
        <v>53048.656297202651</v>
      </c>
      <c r="Q27" s="12">
        <v>-189199.81541037062</v>
      </c>
      <c r="R27" s="12">
        <v>-189199.81541037062</v>
      </c>
      <c r="S27" t="s">
        <v>256</v>
      </c>
      <c r="T27" t="s">
        <v>26</v>
      </c>
      <c r="U27" s="324"/>
      <c r="V27" s="12"/>
      <c r="W27" s="12"/>
      <c r="X27" s="292"/>
    </row>
    <row r="28" spans="1:24">
      <c r="A28" t="s">
        <v>311</v>
      </c>
      <c r="B28" s="12" t="s">
        <v>494</v>
      </c>
      <c r="C28" s="12">
        <v>0</v>
      </c>
      <c r="D28" s="12">
        <v>0</v>
      </c>
      <c r="E28" s="12">
        <v>0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13113.836794822102</v>
      </c>
      <c r="L28" s="12">
        <v>13113.836794822102</v>
      </c>
      <c r="M28" s="12">
        <v>0</v>
      </c>
      <c r="N28" s="12">
        <v>0</v>
      </c>
      <c r="O28" s="12">
        <v>0</v>
      </c>
      <c r="P28" s="12">
        <v>0</v>
      </c>
      <c r="Q28" s="12">
        <v>0</v>
      </c>
      <c r="R28" s="12">
        <v>0</v>
      </c>
      <c r="S28" t="s">
        <v>256</v>
      </c>
      <c r="T28" t="s">
        <v>24</v>
      </c>
      <c r="U28" s="324"/>
      <c r="V28" s="12"/>
      <c r="W28" s="12"/>
      <c r="X28" s="292"/>
    </row>
    <row r="29" spans="1:24">
      <c r="A29" t="s">
        <v>312</v>
      </c>
      <c r="B29" s="12" t="s">
        <v>494</v>
      </c>
      <c r="C29" s="12">
        <v>0</v>
      </c>
      <c r="D29" s="12">
        <v>0</v>
      </c>
      <c r="E29" s="12">
        <v>0</v>
      </c>
      <c r="F29" s="12">
        <v>0</v>
      </c>
      <c r="G29" s="12">
        <v>0</v>
      </c>
      <c r="H29" s="12">
        <v>0</v>
      </c>
      <c r="I29" s="12">
        <v>0</v>
      </c>
      <c r="J29" s="12">
        <v>0</v>
      </c>
      <c r="K29" s="12">
        <v>17985.713429346531</v>
      </c>
      <c r="L29" s="12">
        <v>17985.713429346531</v>
      </c>
      <c r="M29" s="12">
        <v>0</v>
      </c>
      <c r="N29" s="12">
        <v>0</v>
      </c>
      <c r="O29" s="12">
        <v>0</v>
      </c>
      <c r="P29" s="12">
        <v>0</v>
      </c>
      <c r="Q29" s="12">
        <v>0</v>
      </c>
      <c r="R29" s="12">
        <v>0</v>
      </c>
      <c r="S29" t="s">
        <v>256</v>
      </c>
      <c r="T29" t="s">
        <v>24</v>
      </c>
      <c r="U29" s="324"/>
      <c r="V29" s="12"/>
      <c r="W29" s="12"/>
      <c r="X29" s="292"/>
    </row>
    <row r="30" spans="1:24">
      <c r="A30" t="s">
        <v>434</v>
      </c>
      <c r="B30" s="12" t="s">
        <v>549</v>
      </c>
      <c r="C30" s="12">
        <v>0</v>
      </c>
      <c r="D30" s="12">
        <v>0</v>
      </c>
      <c r="E30" s="12">
        <v>0</v>
      </c>
      <c r="F30" s="12">
        <v>0</v>
      </c>
      <c r="G30" s="12">
        <v>0</v>
      </c>
      <c r="H30" s="12">
        <v>0</v>
      </c>
      <c r="I30" s="12">
        <v>0</v>
      </c>
      <c r="J30" s="12">
        <v>0</v>
      </c>
      <c r="K30" s="12">
        <v>56139.34870353376</v>
      </c>
      <c r="L30" s="12">
        <v>56139.34870353376</v>
      </c>
      <c r="M30" s="12">
        <v>52668.024321018689</v>
      </c>
      <c r="N30" s="12">
        <v>-14112.271914700001</v>
      </c>
      <c r="O30" s="12">
        <v>-14112.271914700001</v>
      </c>
      <c r="P30" s="12">
        <v>-14112.271914700001</v>
      </c>
      <c r="Q30" s="12">
        <v>7369.6605196006794</v>
      </c>
      <c r="R30" s="12">
        <v>7369.6605196006794</v>
      </c>
      <c r="S30" t="s">
        <v>256</v>
      </c>
      <c r="T30" t="s">
        <v>24</v>
      </c>
      <c r="U30" s="324"/>
      <c r="V30" s="12"/>
      <c r="W30" s="12"/>
      <c r="X30" s="292"/>
    </row>
    <row r="31" spans="1:24">
      <c r="A31" t="s">
        <v>25</v>
      </c>
      <c r="B31" s="12" t="s">
        <v>550</v>
      </c>
      <c r="C31" s="12">
        <v>77873.209604699994</v>
      </c>
      <c r="D31" s="12">
        <v>77873.209604699994</v>
      </c>
      <c r="E31" s="12">
        <v>77873.209604699994</v>
      </c>
      <c r="F31" s="12">
        <v>77873.209604699994</v>
      </c>
      <c r="G31" s="12">
        <v>56543.384849999995</v>
      </c>
      <c r="H31" s="12">
        <v>56543.384849999995</v>
      </c>
      <c r="I31" s="12">
        <v>56543.384849999995</v>
      </c>
      <c r="J31" s="12">
        <v>56543.384849999995</v>
      </c>
      <c r="K31" s="12">
        <v>88240.647853200004</v>
      </c>
      <c r="L31" s="12">
        <v>88240.647853200004</v>
      </c>
      <c r="M31" s="12">
        <v>-17637.3861</v>
      </c>
      <c r="N31" s="12">
        <v>60174.611399999994</v>
      </c>
      <c r="O31" s="12">
        <v>60174.611399999994</v>
      </c>
      <c r="P31" s="12">
        <v>60174.611399999994</v>
      </c>
      <c r="Q31" s="12">
        <v>287612.83949999994</v>
      </c>
      <c r="R31" s="12">
        <v>287612.83949999994</v>
      </c>
      <c r="S31" t="s">
        <v>5</v>
      </c>
      <c r="T31" t="s">
        <v>26</v>
      </c>
      <c r="U31" s="324"/>
      <c r="V31" s="12"/>
      <c r="W31" s="12"/>
      <c r="X31" s="292"/>
    </row>
    <row r="32" spans="1:24">
      <c r="A32" t="s">
        <v>27</v>
      </c>
      <c r="B32" s="12" t="s">
        <v>551</v>
      </c>
      <c r="C32" s="12">
        <v>0</v>
      </c>
      <c r="D32" s="12">
        <v>0</v>
      </c>
      <c r="E32" s="12">
        <v>0</v>
      </c>
      <c r="F32" s="12">
        <v>0</v>
      </c>
      <c r="G32" s="12">
        <v>0</v>
      </c>
      <c r="H32" s="12">
        <v>0</v>
      </c>
      <c r="I32" s="12">
        <v>0</v>
      </c>
      <c r="J32" s="12">
        <v>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12">
        <v>0</v>
      </c>
      <c r="Q32" s="12">
        <v>36482.420390634747</v>
      </c>
      <c r="R32" s="12">
        <v>36482.420390634747</v>
      </c>
      <c r="S32" t="s">
        <v>5</v>
      </c>
      <c r="T32" t="s">
        <v>24</v>
      </c>
      <c r="U32" s="324"/>
      <c r="V32" s="12"/>
      <c r="W32" s="12"/>
      <c r="X32" s="292"/>
    </row>
    <row r="33" spans="1:24">
      <c r="A33" t="s">
        <v>30</v>
      </c>
      <c r="B33" s="12" t="s">
        <v>550</v>
      </c>
      <c r="C33" s="12">
        <v>948.26887619999991</v>
      </c>
      <c r="D33" s="12">
        <v>948.26887619999991</v>
      </c>
      <c r="E33" s="12">
        <v>948.26887619999991</v>
      </c>
      <c r="F33" s="12">
        <v>948.26887619999991</v>
      </c>
      <c r="G33" s="12">
        <v>129.68666249999998</v>
      </c>
      <c r="H33" s="12">
        <v>129.68666249999998</v>
      </c>
      <c r="I33" s="12">
        <v>129.68666249999998</v>
      </c>
      <c r="J33" s="12">
        <v>129.68666249999998</v>
      </c>
      <c r="K33" s="12">
        <v>-642.13116339999999</v>
      </c>
      <c r="L33" s="12">
        <v>-642.13116339999999</v>
      </c>
      <c r="M33" s="12">
        <v>-4106.3984813999996</v>
      </c>
      <c r="N33" s="12">
        <v>-3725.6384402999997</v>
      </c>
      <c r="O33" s="12">
        <v>-3725.6384402999997</v>
      </c>
      <c r="P33" s="12">
        <v>-3725.6384402999997</v>
      </c>
      <c r="Q33" s="12">
        <v>-4131.4494164999996</v>
      </c>
      <c r="R33" s="12">
        <v>-4131.4494164999996</v>
      </c>
      <c r="S33" t="s">
        <v>5</v>
      </c>
      <c r="T33" t="s">
        <v>26</v>
      </c>
      <c r="U33" s="324"/>
      <c r="V33" s="12"/>
      <c r="W33" s="12"/>
      <c r="X33" s="292"/>
    </row>
    <row r="34" spans="1:24">
      <c r="A34" t="s">
        <v>39</v>
      </c>
      <c r="B34" s="12" t="s">
        <v>550</v>
      </c>
      <c r="C34" s="12">
        <v>-405.6598803</v>
      </c>
      <c r="D34" s="12">
        <v>-405.6598803</v>
      </c>
      <c r="E34" s="12">
        <v>-405.6598803</v>
      </c>
      <c r="F34" s="12">
        <v>-405.6598803</v>
      </c>
      <c r="G34" s="12">
        <v>-1520.9651778</v>
      </c>
      <c r="H34" s="12">
        <v>-1520.9651778</v>
      </c>
      <c r="I34" s="12">
        <v>-1520.9651778</v>
      </c>
      <c r="J34" s="12">
        <v>-1520.9651778</v>
      </c>
      <c r="K34" s="12">
        <v>-1694.0229237999999</v>
      </c>
      <c r="L34" s="12">
        <v>-1694.0229237999999</v>
      </c>
      <c r="M34" s="12">
        <v>-1381.9410756</v>
      </c>
      <c r="N34" s="12">
        <v>-1145.3926031999999</v>
      </c>
      <c r="O34" s="12">
        <v>-1145.3926031999999</v>
      </c>
      <c r="P34" s="12">
        <v>-1145.3926031999999</v>
      </c>
      <c r="Q34" s="12">
        <v>113.17617149999998</v>
      </c>
      <c r="R34" s="12">
        <v>113.17617149999998</v>
      </c>
      <c r="S34" t="s">
        <v>5</v>
      </c>
      <c r="T34" t="s">
        <v>26</v>
      </c>
      <c r="U34" s="324"/>
      <c r="V34" s="12"/>
      <c r="W34" s="12"/>
      <c r="X34" s="292"/>
    </row>
    <row r="35" spans="1:24">
      <c r="A35" t="s">
        <v>31</v>
      </c>
      <c r="B35" s="12" t="s">
        <v>550</v>
      </c>
      <c r="C35" s="12">
        <v>809.24477400000001</v>
      </c>
      <c r="D35" s="12">
        <v>809.24477400000001</v>
      </c>
      <c r="E35" s="12">
        <v>809.24477400000001</v>
      </c>
      <c r="F35" s="12">
        <v>809.24477400000001</v>
      </c>
      <c r="G35" s="12">
        <v>1489.8403787999998</v>
      </c>
      <c r="H35" s="12">
        <v>1489.8403787999998</v>
      </c>
      <c r="I35" s="12">
        <v>1489.8403787999998</v>
      </c>
      <c r="J35" s="12">
        <v>1489.8403787999998</v>
      </c>
      <c r="K35" s="12">
        <v>1527.0065792</v>
      </c>
      <c r="L35" s="12">
        <v>1527.0065792</v>
      </c>
      <c r="M35" s="12">
        <v>-467.90947829999999</v>
      </c>
      <c r="N35" s="12">
        <v>641.17085939999993</v>
      </c>
      <c r="O35" s="12">
        <v>641.17085939999993</v>
      </c>
      <c r="P35" s="12">
        <v>641.17085939999993</v>
      </c>
      <c r="Q35" s="12">
        <v>646.86931049999998</v>
      </c>
      <c r="R35" s="12">
        <v>646.86931049999998</v>
      </c>
      <c r="S35" t="s">
        <v>5</v>
      </c>
      <c r="T35" t="s">
        <v>26</v>
      </c>
      <c r="U35" s="324"/>
      <c r="V35" s="12"/>
      <c r="W35" s="12"/>
      <c r="X35" s="292"/>
    </row>
    <row r="36" spans="1:24">
      <c r="A36" t="s">
        <v>34</v>
      </c>
      <c r="B36" s="12" t="s">
        <v>550</v>
      </c>
      <c r="C36" s="12">
        <v>170.14890119999998</v>
      </c>
      <c r="D36" s="12">
        <v>170.14890119999998</v>
      </c>
      <c r="E36" s="12">
        <v>170.14890119999998</v>
      </c>
      <c r="F36" s="12">
        <v>170.14890119999998</v>
      </c>
      <c r="G36" s="12">
        <v>82.999463999999989</v>
      </c>
      <c r="H36" s="12">
        <v>82.999463999999989</v>
      </c>
      <c r="I36" s="12">
        <v>82.999463999999989</v>
      </c>
      <c r="J36" s="12">
        <v>82.999463999999989</v>
      </c>
      <c r="K36" s="12">
        <v>311.21057999999999</v>
      </c>
      <c r="L36" s="12">
        <v>311.21057999999999</v>
      </c>
      <c r="M36" s="12">
        <v>132.79914239999999</v>
      </c>
      <c r="N36" s="12">
        <v>161.8489548</v>
      </c>
      <c r="O36" s="12">
        <v>161.8489548</v>
      </c>
      <c r="P36" s="12">
        <v>161.8489548</v>
      </c>
      <c r="Q36" s="12">
        <v>97.601468999999994</v>
      </c>
      <c r="R36" s="12">
        <v>97.601468999999994</v>
      </c>
      <c r="S36" t="s">
        <v>5</v>
      </c>
      <c r="T36" t="s">
        <v>26</v>
      </c>
      <c r="U36" s="324"/>
      <c r="V36" s="12"/>
      <c r="W36" s="12"/>
      <c r="X36" s="292"/>
    </row>
    <row r="37" spans="1:24">
      <c r="A37" s="13" t="s">
        <v>42</v>
      </c>
      <c r="B37" s="12" t="s">
        <v>494</v>
      </c>
      <c r="C37" s="12">
        <v>-1100</v>
      </c>
      <c r="D37" s="12">
        <v>-1100</v>
      </c>
      <c r="E37" s="12">
        <v>-1100</v>
      </c>
      <c r="F37" s="12">
        <v>-1100</v>
      </c>
      <c r="G37" s="12">
        <v>0</v>
      </c>
      <c r="H37" s="12">
        <v>0</v>
      </c>
      <c r="I37" s="12">
        <v>0</v>
      </c>
      <c r="J37" s="12">
        <v>0</v>
      </c>
      <c r="K37" s="12">
        <v>0</v>
      </c>
      <c r="L37" s="12">
        <v>0</v>
      </c>
      <c r="M37" s="12">
        <v>0</v>
      </c>
      <c r="N37" s="12">
        <v>0</v>
      </c>
      <c r="O37" s="12">
        <v>0</v>
      </c>
      <c r="P37" s="12">
        <v>0</v>
      </c>
      <c r="Q37" s="12">
        <v>0</v>
      </c>
      <c r="R37" s="12">
        <v>0</v>
      </c>
      <c r="S37" t="s">
        <v>3</v>
      </c>
      <c r="T37" t="s">
        <v>24</v>
      </c>
      <c r="U37" s="324"/>
      <c r="V37" s="12"/>
      <c r="W37" s="12"/>
      <c r="X37" s="292"/>
    </row>
    <row r="38" spans="1:24">
      <c r="A38" s="13" t="s">
        <v>50</v>
      </c>
      <c r="B38" s="12" t="s">
        <v>552</v>
      </c>
      <c r="C38" s="12">
        <v>5978.5056403103417</v>
      </c>
      <c r="D38" s="12">
        <v>5978.5056403103417</v>
      </c>
      <c r="E38" s="12">
        <v>5978.5056403103417</v>
      </c>
      <c r="F38" s="12">
        <v>5978.5056403103417</v>
      </c>
      <c r="G38" s="12">
        <v>1527.3080934</v>
      </c>
      <c r="H38" s="12">
        <v>1527.3080934</v>
      </c>
      <c r="I38" s="12">
        <v>1527.3080934</v>
      </c>
      <c r="J38" s="12">
        <v>1527.3080934</v>
      </c>
      <c r="K38" s="12">
        <v>1457.2959840000001</v>
      </c>
      <c r="L38" s="12">
        <v>1457.2959840000001</v>
      </c>
      <c r="M38" s="12">
        <v>1540.4658171999999</v>
      </c>
      <c r="N38" s="12">
        <v>1540.4658171999999</v>
      </c>
      <c r="O38" s="12">
        <v>1540.4658171999999</v>
      </c>
      <c r="P38" s="12">
        <v>1540.4658171999999</v>
      </c>
      <c r="Q38" s="12">
        <v>1595.085975</v>
      </c>
      <c r="R38" s="12">
        <v>1595.085975</v>
      </c>
      <c r="S38" t="s">
        <v>3</v>
      </c>
      <c r="T38" t="s">
        <v>24</v>
      </c>
      <c r="U38" s="324"/>
      <c r="V38" s="12"/>
      <c r="W38" s="12"/>
      <c r="X38" s="292"/>
    </row>
    <row r="39" spans="1:24">
      <c r="A39" s="13" t="s">
        <v>51</v>
      </c>
      <c r="B39" s="12" t="s">
        <v>494</v>
      </c>
      <c r="C39" s="12">
        <v>0</v>
      </c>
      <c r="D39" s="12">
        <v>0</v>
      </c>
      <c r="E39" s="12">
        <v>0</v>
      </c>
      <c r="F39" s="12">
        <v>0</v>
      </c>
      <c r="G39" s="12">
        <v>0</v>
      </c>
      <c r="H39" s="12">
        <v>0</v>
      </c>
      <c r="I39" s="12">
        <v>0</v>
      </c>
      <c r="J39" s="12">
        <v>0</v>
      </c>
      <c r="K39" s="12">
        <v>0</v>
      </c>
      <c r="L39" s="12">
        <v>0</v>
      </c>
      <c r="M39" s="12">
        <v>0</v>
      </c>
      <c r="N39" s="12">
        <v>0</v>
      </c>
      <c r="O39" s="12">
        <v>0</v>
      </c>
      <c r="P39" s="12">
        <v>0</v>
      </c>
      <c r="Q39" s="12">
        <v>0</v>
      </c>
      <c r="R39" s="12">
        <v>0</v>
      </c>
      <c r="S39" t="s">
        <v>3</v>
      </c>
      <c r="T39" t="s">
        <v>24</v>
      </c>
      <c r="U39" s="324"/>
      <c r="V39" s="12"/>
      <c r="W39" s="12"/>
      <c r="X39" s="292"/>
    </row>
    <row r="40" spans="1:24">
      <c r="A40" s="13" t="s">
        <v>52</v>
      </c>
      <c r="B40" s="12" t="s">
        <v>550</v>
      </c>
      <c r="C40" s="12">
        <v>466.99606976938986</v>
      </c>
      <c r="D40" s="12">
        <v>466.99606976938986</v>
      </c>
      <c r="E40" s="12">
        <v>466.99606976938986</v>
      </c>
      <c r="F40" s="12">
        <v>466.99606976938986</v>
      </c>
      <c r="G40" s="12">
        <v>2754.9338452659995</v>
      </c>
      <c r="H40" s="12">
        <v>2754.9338452659995</v>
      </c>
      <c r="I40" s="12">
        <v>2754.9338452659995</v>
      </c>
      <c r="J40" s="12">
        <v>2754.9338452659995</v>
      </c>
      <c r="K40" s="12">
        <v>-18223.289949766604</v>
      </c>
      <c r="L40" s="12">
        <v>-18223.289949766604</v>
      </c>
      <c r="M40" s="12">
        <v>-82533.698187948947</v>
      </c>
      <c r="N40" s="12">
        <v>-48774.079285199696</v>
      </c>
      <c r="O40" s="12">
        <v>-48774.079285199696</v>
      </c>
      <c r="P40" s="12">
        <v>-48774.079285199696</v>
      </c>
      <c r="Q40" s="12">
        <v>2182.475535031163</v>
      </c>
      <c r="R40" s="12">
        <v>2182.475535031163</v>
      </c>
      <c r="S40" t="s">
        <v>3</v>
      </c>
      <c r="T40" t="s">
        <v>26</v>
      </c>
      <c r="U40" s="324"/>
      <c r="V40" s="12"/>
      <c r="W40" s="12"/>
      <c r="X40" s="292"/>
    </row>
    <row r="41" spans="1:24">
      <c r="A41" s="13" t="s">
        <v>56</v>
      </c>
      <c r="B41" s="12" t="s">
        <v>553</v>
      </c>
      <c r="C41" s="12">
        <v>18724.668751262619</v>
      </c>
      <c r="D41" s="12">
        <v>18724.668751262619</v>
      </c>
      <c r="E41" s="12">
        <v>18724.668751262619</v>
      </c>
      <c r="F41" s="12">
        <v>18724.668751262619</v>
      </c>
      <c r="G41" s="12">
        <v>18724.668751262619</v>
      </c>
      <c r="H41" s="12">
        <v>11401.226441231669</v>
      </c>
      <c r="I41" s="12">
        <v>11401.226441231669</v>
      </c>
      <c r="J41" s="12">
        <v>11401.226441231669</v>
      </c>
      <c r="K41" s="12">
        <v>9575.3765038420588</v>
      </c>
      <c r="L41" s="12">
        <v>9575.3765038420588</v>
      </c>
      <c r="M41" s="12">
        <v>10765.967043677038</v>
      </c>
      <c r="N41" s="12">
        <v>4978.0553645074278</v>
      </c>
      <c r="O41" s="12">
        <v>4978.0553645074278</v>
      </c>
      <c r="P41" s="12">
        <v>4978.0553645074278</v>
      </c>
      <c r="Q41" s="12">
        <v>2311.0350881632939</v>
      </c>
      <c r="R41" s="12">
        <v>2311.0350881632939</v>
      </c>
      <c r="S41" t="s">
        <v>14</v>
      </c>
      <c r="T41" t="s">
        <v>24</v>
      </c>
      <c r="U41" s="324"/>
      <c r="V41" s="12"/>
      <c r="W41" s="12"/>
      <c r="X41" s="292"/>
    </row>
    <row r="42" spans="1:24">
      <c r="A42" s="13" t="s">
        <v>57</v>
      </c>
      <c r="B42" s="12" t="s">
        <v>550</v>
      </c>
      <c r="C42" s="12">
        <v>-1680.1401159999998</v>
      </c>
      <c r="D42" s="12">
        <v>-1680.1401159999998</v>
      </c>
      <c r="E42" s="12">
        <v>-1680.1401159999998</v>
      </c>
      <c r="F42" s="12">
        <v>-1680.1401159999998</v>
      </c>
      <c r="G42" s="12">
        <v>2244.9101068</v>
      </c>
      <c r="H42" s="12">
        <v>2244.9101068</v>
      </c>
      <c r="I42" s="12">
        <v>2244.9101068</v>
      </c>
      <c r="J42" s="12">
        <v>2244.9101068</v>
      </c>
      <c r="K42" s="12">
        <v>9746.6789041000011</v>
      </c>
      <c r="L42" s="12">
        <v>9746.6789041000011</v>
      </c>
      <c r="M42" s="12">
        <v>15866.190637599999</v>
      </c>
      <c r="N42" s="12">
        <v>4920.9887011999999</v>
      </c>
      <c r="O42" s="12">
        <v>4920.9887011999999</v>
      </c>
      <c r="P42" s="12">
        <v>4920.9887011999999</v>
      </c>
      <c r="Q42" s="12">
        <v>3351.1996770000001</v>
      </c>
      <c r="R42" s="12">
        <v>3351.1996770000001</v>
      </c>
      <c r="S42" t="s">
        <v>14</v>
      </c>
      <c r="T42" t="s">
        <v>26</v>
      </c>
      <c r="U42" s="324"/>
      <c r="V42" s="12"/>
      <c r="W42" s="12"/>
      <c r="X42" s="292"/>
    </row>
    <row r="43" spans="1:24">
      <c r="A43" s="13" t="s">
        <v>58</v>
      </c>
      <c r="B43" s="12" t="s">
        <v>548</v>
      </c>
      <c r="C43" s="12">
        <v>132913.61422435864</v>
      </c>
      <c r="D43" s="12">
        <v>132913.61422435864</v>
      </c>
      <c r="E43" s="12">
        <v>132913.61422435864</v>
      </c>
      <c r="F43" s="12">
        <v>132913.61422435864</v>
      </c>
      <c r="G43" s="12">
        <v>132913.61422435864</v>
      </c>
      <c r="H43" s="12">
        <v>124438.99750989386</v>
      </c>
      <c r="I43" s="12">
        <v>124438.99750989386</v>
      </c>
      <c r="J43" s="12">
        <v>124438.99750989386</v>
      </c>
      <c r="K43" s="12">
        <v>146823.98913219353</v>
      </c>
      <c r="L43" s="12">
        <v>146823.98913219353</v>
      </c>
      <c r="M43" s="12">
        <v>189848.65786940834</v>
      </c>
      <c r="N43" s="12">
        <v>207539.6836296336</v>
      </c>
      <c r="O43" s="12">
        <v>207539.6836296336</v>
      </c>
      <c r="P43" s="12">
        <v>207539.6836296336</v>
      </c>
      <c r="Q43" s="12">
        <v>194547.97944908033</v>
      </c>
      <c r="R43" s="12">
        <v>194547.97944908033</v>
      </c>
      <c r="S43" t="s">
        <v>59</v>
      </c>
      <c r="T43" t="s">
        <v>24</v>
      </c>
      <c r="U43" s="324"/>
      <c r="V43" s="12"/>
      <c r="W43" s="12"/>
      <c r="X43" s="292"/>
    </row>
    <row r="44" spans="1:24">
      <c r="A44" s="13" t="s">
        <v>60</v>
      </c>
      <c r="B44" s="12" t="s">
        <v>549</v>
      </c>
      <c r="C44" s="12">
        <v>14420.433000000001</v>
      </c>
      <c r="D44" s="12">
        <v>14420.433000000001</v>
      </c>
      <c r="E44" s="12">
        <v>14420.433000000001</v>
      </c>
      <c r="F44" s="12">
        <v>14420.433000000001</v>
      </c>
      <c r="G44" s="12">
        <v>14420.433000000001</v>
      </c>
      <c r="H44" s="12">
        <v>0</v>
      </c>
      <c r="I44" s="12">
        <v>0</v>
      </c>
      <c r="J44" s="12">
        <v>0</v>
      </c>
      <c r="K44" s="12">
        <v>-91971.658124724228</v>
      </c>
      <c r="L44" s="12">
        <v>-91971.658124724228</v>
      </c>
      <c r="M44" s="12">
        <v>400.31599999999997</v>
      </c>
      <c r="N44" s="12">
        <v>161229.56037695956</v>
      </c>
      <c r="O44" s="12">
        <v>161229.56037695956</v>
      </c>
      <c r="P44" s="12">
        <v>161229.56037695956</v>
      </c>
      <c r="Q44" s="12">
        <v>-83519.87394803045</v>
      </c>
      <c r="R44" s="12">
        <v>-83519.87394803045</v>
      </c>
      <c r="S44" t="s">
        <v>59</v>
      </c>
      <c r="T44" t="s">
        <v>26</v>
      </c>
      <c r="U44" s="324"/>
      <c r="V44" s="12"/>
      <c r="W44" s="12"/>
      <c r="X44" s="292"/>
    </row>
    <row r="45" spans="1:24">
      <c r="A45" t="s">
        <v>79</v>
      </c>
      <c r="B45" s="12" t="s">
        <v>554</v>
      </c>
      <c r="C45" s="12">
        <v>1072.8605559999999</v>
      </c>
      <c r="D45" s="12">
        <v>1072.8605559999999</v>
      </c>
      <c r="E45" s="12">
        <v>1072.8605559999999</v>
      </c>
      <c r="F45" s="12">
        <v>1072.8605559999999</v>
      </c>
      <c r="G45" s="12">
        <v>1072.8605559999999</v>
      </c>
      <c r="H45" s="12">
        <v>1072.8605559999999</v>
      </c>
      <c r="I45" s="12">
        <v>1072.8605559999999</v>
      </c>
      <c r="J45" s="12">
        <v>1072.8605559999999</v>
      </c>
      <c r="K45" s="12">
        <v>1188.2224727319999</v>
      </c>
      <c r="L45" s="12">
        <v>1188.2224727319999</v>
      </c>
      <c r="M45" s="12">
        <v>1342.6576582538</v>
      </c>
      <c r="N45" s="12">
        <v>1301.010426029</v>
      </c>
      <c r="O45" s="12">
        <v>1301.010426029</v>
      </c>
      <c r="P45" s="12">
        <v>1301.010426029</v>
      </c>
      <c r="Q45" s="12">
        <v>0</v>
      </c>
      <c r="R45" s="12">
        <v>0</v>
      </c>
      <c r="S45" t="s">
        <v>80</v>
      </c>
      <c r="T45" t="s">
        <v>24</v>
      </c>
      <c r="U45" s="324"/>
      <c r="V45" s="12"/>
      <c r="W45" s="12"/>
      <c r="X45" s="292"/>
    </row>
    <row r="46" spans="1:24">
      <c r="A46" t="s">
        <v>81</v>
      </c>
      <c r="B46" s="12" t="s">
        <v>550</v>
      </c>
      <c r="C46" s="12">
        <v>-25.303314999999998</v>
      </c>
      <c r="D46" s="12">
        <v>-25.303314999999998</v>
      </c>
      <c r="E46" s="12">
        <v>-25.303314999999998</v>
      </c>
      <c r="F46" s="12">
        <v>-25.303314999999998</v>
      </c>
      <c r="G46" s="12">
        <v>179.14747019999999</v>
      </c>
      <c r="H46" s="12">
        <v>179.14747019999999</v>
      </c>
      <c r="I46" s="12">
        <v>179.14747019999999</v>
      </c>
      <c r="J46" s="12">
        <v>179.14747019999999</v>
      </c>
      <c r="K46" s="12">
        <v>170.01786480000001</v>
      </c>
      <c r="L46" s="12">
        <v>170.01786480000001</v>
      </c>
      <c r="M46" s="12">
        <v>21.254784599999997</v>
      </c>
      <c r="N46" s="12">
        <v>141.698564</v>
      </c>
      <c r="O46" s="12">
        <v>141.698564</v>
      </c>
      <c r="P46" s="12">
        <v>141.698564</v>
      </c>
      <c r="Q46" s="12">
        <v>211.66537700000001</v>
      </c>
      <c r="R46" s="12">
        <v>211.66537700000001</v>
      </c>
      <c r="S46" t="s">
        <v>80</v>
      </c>
      <c r="T46" t="s">
        <v>26</v>
      </c>
      <c r="U46" s="324"/>
      <c r="V46" s="12"/>
      <c r="W46" s="12"/>
      <c r="X46" s="292"/>
    </row>
    <row r="47" spans="1:24">
      <c r="A47" t="s">
        <v>82</v>
      </c>
      <c r="B47" s="12" t="s">
        <v>494</v>
      </c>
      <c r="C47" s="12">
        <v>89235.037634656328</v>
      </c>
      <c r="D47" s="12">
        <v>89234.737495486523</v>
      </c>
      <c r="E47" s="12">
        <v>89234.737495486523</v>
      </c>
      <c r="F47" s="12">
        <v>66926.053121614896</v>
      </c>
      <c r="G47" s="12">
        <v>0</v>
      </c>
      <c r="H47" s="12">
        <v>0</v>
      </c>
      <c r="I47" s="12">
        <v>0</v>
      </c>
      <c r="J47" s="12">
        <v>0</v>
      </c>
      <c r="K47" s="12">
        <v>0</v>
      </c>
      <c r="L47" s="12">
        <v>-48518.545714285719</v>
      </c>
      <c r="M47" s="12">
        <v>0</v>
      </c>
      <c r="N47" s="12">
        <v>0</v>
      </c>
      <c r="O47" s="12">
        <v>0</v>
      </c>
      <c r="P47" s="12">
        <v>0</v>
      </c>
      <c r="Q47" s="12">
        <v>0</v>
      </c>
      <c r="R47" s="12">
        <v>0</v>
      </c>
      <c r="S47" t="s">
        <v>97</v>
      </c>
      <c r="T47" t="s">
        <v>24</v>
      </c>
      <c r="U47" s="324"/>
      <c r="V47" s="12"/>
      <c r="W47" s="12"/>
      <c r="X47" s="292"/>
    </row>
    <row r="48" spans="1:24">
      <c r="A48" t="s">
        <v>225</v>
      </c>
      <c r="B48" s="12" t="s">
        <v>555</v>
      </c>
      <c r="C48" s="12">
        <v>0</v>
      </c>
      <c r="D48" s="12">
        <v>0</v>
      </c>
      <c r="E48" s="12">
        <v>0</v>
      </c>
      <c r="F48" s="12">
        <v>22308.684373871631</v>
      </c>
      <c r="G48" s="12">
        <v>89234.737495486523</v>
      </c>
      <c r="H48" s="12">
        <v>90159.118373967591</v>
      </c>
      <c r="I48" s="12">
        <v>90159.118373967591</v>
      </c>
      <c r="J48" s="12">
        <v>90159.118373967591</v>
      </c>
      <c r="K48" s="12">
        <v>92132.448620537703</v>
      </c>
      <c r="L48" s="12">
        <v>92132.448620537703</v>
      </c>
      <c r="M48" s="12">
        <v>75464.804373230654</v>
      </c>
      <c r="N48" s="12">
        <v>84674.29105918284</v>
      </c>
      <c r="O48" s="12">
        <v>84674.29105918284</v>
      </c>
      <c r="P48" s="12">
        <v>84674.29105918284</v>
      </c>
      <c r="Q48" s="12">
        <v>91816.684925380512</v>
      </c>
      <c r="R48" s="12">
        <v>91816.684925380512</v>
      </c>
      <c r="S48" t="s">
        <v>225</v>
      </c>
      <c r="T48" t="s">
        <v>24</v>
      </c>
      <c r="U48" s="324"/>
      <c r="V48" s="12"/>
      <c r="W48" s="12"/>
      <c r="X48" s="292"/>
    </row>
    <row r="49" spans="1:24">
      <c r="A49" t="s">
        <v>344</v>
      </c>
      <c r="B49" s="12" t="s">
        <v>494</v>
      </c>
      <c r="C49" s="12">
        <v>0</v>
      </c>
      <c r="D49" s="12">
        <v>0</v>
      </c>
      <c r="E49" s="12">
        <v>0</v>
      </c>
      <c r="F49" s="12">
        <v>0</v>
      </c>
      <c r="G49" s="12">
        <v>0</v>
      </c>
      <c r="H49" s="12">
        <v>0</v>
      </c>
      <c r="I49" s="12">
        <v>0</v>
      </c>
      <c r="J49" s="12">
        <v>0</v>
      </c>
      <c r="K49" s="12">
        <v>0</v>
      </c>
      <c r="L49" s="12">
        <v>0</v>
      </c>
      <c r="M49" s="12">
        <v>49157.3050858653</v>
      </c>
      <c r="N49" s="12">
        <v>0</v>
      </c>
      <c r="O49" s="12">
        <v>0</v>
      </c>
      <c r="P49" s="12">
        <v>0</v>
      </c>
      <c r="Q49" s="12">
        <v>0</v>
      </c>
      <c r="R49" s="12">
        <v>0</v>
      </c>
      <c r="S49" t="s">
        <v>5</v>
      </c>
      <c r="T49" t="s">
        <v>24</v>
      </c>
      <c r="U49" s="324"/>
      <c r="V49" s="12"/>
      <c r="W49" s="12"/>
      <c r="X49" s="292"/>
    </row>
    <row r="50" spans="1:24">
      <c r="A50" t="s">
        <v>345</v>
      </c>
      <c r="B50" s="12" t="s">
        <v>494</v>
      </c>
      <c r="C50" s="12">
        <v>0</v>
      </c>
      <c r="D50" s="12">
        <v>0</v>
      </c>
      <c r="E50" s="12">
        <v>0</v>
      </c>
      <c r="F50" s="12">
        <v>0</v>
      </c>
      <c r="G50" s="12">
        <v>0</v>
      </c>
      <c r="H50" s="12">
        <v>0</v>
      </c>
      <c r="I50" s="12">
        <v>0</v>
      </c>
      <c r="J50" s="12">
        <v>0</v>
      </c>
      <c r="K50" s="12">
        <v>0</v>
      </c>
      <c r="L50" s="12">
        <v>0</v>
      </c>
      <c r="M50" s="12">
        <v>20399.187039640197</v>
      </c>
      <c r="N50" s="12">
        <v>0</v>
      </c>
      <c r="O50" s="12">
        <v>0</v>
      </c>
      <c r="P50" s="12">
        <v>0</v>
      </c>
      <c r="Q50" s="12">
        <v>0</v>
      </c>
      <c r="R50" s="12">
        <v>0</v>
      </c>
      <c r="S50" t="s">
        <v>5</v>
      </c>
      <c r="T50" t="s">
        <v>24</v>
      </c>
      <c r="U50" s="324"/>
      <c r="V50" s="12"/>
      <c r="W50" s="12"/>
      <c r="X50" s="292"/>
    </row>
    <row r="51" spans="1:24">
      <c r="A51" t="s">
        <v>346</v>
      </c>
      <c r="B51" s="12" t="s">
        <v>494</v>
      </c>
      <c r="C51" s="12">
        <v>0</v>
      </c>
      <c r="D51" s="12">
        <v>0</v>
      </c>
      <c r="E51" s="12">
        <v>0</v>
      </c>
      <c r="F51" s="12">
        <v>0</v>
      </c>
      <c r="G51" s="12">
        <v>0</v>
      </c>
      <c r="H51" s="12">
        <v>0</v>
      </c>
      <c r="I51" s="12">
        <v>0</v>
      </c>
      <c r="J51" s="12">
        <v>0</v>
      </c>
      <c r="K51" s="12">
        <v>0</v>
      </c>
      <c r="L51" s="12">
        <v>0</v>
      </c>
      <c r="M51" s="12">
        <v>5846.3905841522819</v>
      </c>
      <c r="N51" s="12">
        <v>0</v>
      </c>
      <c r="O51" s="12">
        <v>0</v>
      </c>
      <c r="P51" s="12">
        <v>0</v>
      </c>
      <c r="Q51" s="12">
        <v>0</v>
      </c>
      <c r="R51" s="12">
        <v>0</v>
      </c>
      <c r="S51" t="s">
        <v>3</v>
      </c>
      <c r="T51" t="s">
        <v>24</v>
      </c>
      <c r="U51" s="324"/>
      <c r="V51" s="12"/>
      <c r="W51" s="12"/>
      <c r="X51" s="292"/>
    </row>
    <row r="52" spans="1:24">
      <c r="A52" t="s">
        <v>346</v>
      </c>
      <c r="B52" s="12" t="s">
        <v>494</v>
      </c>
      <c r="C52" s="12">
        <v>0</v>
      </c>
      <c r="D52" s="12">
        <v>0</v>
      </c>
      <c r="E52" s="12">
        <v>0</v>
      </c>
      <c r="F52" s="12">
        <v>0</v>
      </c>
      <c r="G52" s="12">
        <v>0</v>
      </c>
      <c r="H52" s="12">
        <v>0</v>
      </c>
      <c r="I52" s="12">
        <v>0</v>
      </c>
      <c r="J52" s="12">
        <v>0</v>
      </c>
      <c r="K52" s="12">
        <v>0</v>
      </c>
      <c r="L52" s="12">
        <v>0</v>
      </c>
      <c r="M52" s="12">
        <v>45706.503939637616</v>
      </c>
      <c r="N52" s="12">
        <v>0</v>
      </c>
      <c r="O52" s="12">
        <v>0</v>
      </c>
      <c r="P52" s="12">
        <v>0</v>
      </c>
      <c r="Q52" s="12">
        <v>0</v>
      </c>
      <c r="R52" s="12">
        <v>0</v>
      </c>
      <c r="S52" t="s">
        <v>5</v>
      </c>
      <c r="T52" t="s">
        <v>24</v>
      </c>
      <c r="U52" s="324"/>
      <c r="V52" s="12"/>
      <c r="W52" s="12"/>
      <c r="X52" s="292"/>
    </row>
    <row r="53" spans="1:24">
      <c r="A53" t="s">
        <v>349</v>
      </c>
      <c r="B53" s="12" t="s">
        <v>494</v>
      </c>
      <c r="C53" s="12">
        <v>0</v>
      </c>
      <c r="D53" s="12">
        <v>0</v>
      </c>
      <c r="E53" s="12">
        <v>0</v>
      </c>
      <c r="F53" s="12">
        <v>0</v>
      </c>
      <c r="G53" s="12">
        <v>0</v>
      </c>
      <c r="H53" s="12">
        <v>0</v>
      </c>
      <c r="I53" s="12">
        <v>0</v>
      </c>
      <c r="J53" s="12">
        <v>0</v>
      </c>
      <c r="K53" s="12">
        <v>0</v>
      </c>
      <c r="L53" s="12">
        <v>0</v>
      </c>
      <c r="M53" s="12">
        <v>10746.45935073</v>
      </c>
      <c r="N53" s="12">
        <v>0</v>
      </c>
      <c r="O53" s="12">
        <v>0</v>
      </c>
      <c r="P53" s="12">
        <v>0</v>
      </c>
      <c r="Q53" s="12">
        <v>0</v>
      </c>
      <c r="R53" s="12">
        <v>0</v>
      </c>
      <c r="S53" t="s">
        <v>5</v>
      </c>
      <c r="T53" t="s">
        <v>24</v>
      </c>
      <c r="U53" s="324"/>
      <c r="V53" s="12"/>
      <c r="W53" s="12"/>
      <c r="X53" s="292"/>
    </row>
    <row r="54" spans="1:24">
      <c r="A54" t="s">
        <v>391</v>
      </c>
      <c r="B54" s="12" t="s">
        <v>556</v>
      </c>
      <c r="C54" s="12">
        <v>0</v>
      </c>
      <c r="D54" s="12">
        <v>0</v>
      </c>
      <c r="E54" s="12">
        <v>0</v>
      </c>
      <c r="F54" s="12">
        <v>0</v>
      </c>
      <c r="G54" s="12">
        <v>0</v>
      </c>
      <c r="H54" s="12">
        <v>0</v>
      </c>
      <c r="I54" s="12">
        <v>0</v>
      </c>
      <c r="J54" s="12">
        <v>0</v>
      </c>
      <c r="K54" s="12">
        <v>0</v>
      </c>
      <c r="L54" s="12">
        <v>0</v>
      </c>
      <c r="M54" s="12">
        <v>0</v>
      </c>
      <c r="N54" s="12">
        <v>5509.0894229999994</v>
      </c>
      <c r="O54" s="12">
        <v>5509.0894229999994</v>
      </c>
      <c r="P54" s="12">
        <v>5509.0894229999994</v>
      </c>
      <c r="Q54" s="12">
        <v>5814.5555999999997</v>
      </c>
      <c r="R54" s="12">
        <v>5814.5555999999997</v>
      </c>
      <c r="S54" t="s">
        <v>5</v>
      </c>
      <c r="T54" t="s">
        <v>24</v>
      </c>
      <c r="U54" s="324"/>
      <c r="V54" s="12"/>
      <c r="W54" s="12"/>
      <c r="X54" s="292"/>
    </row>
    <row r="55" spans="1:24">
      <c r="A55" t="s">
        <v>392</v>
      </c>
      <c r="B55" s="12" t="s">
        <v>548</v>
      </c>
      <c r="C55" s="12">
        <v>0</v>
      </c>
      <c r="D55" s="12">
        <v>0</v>
      </c>
      <c r="E55" s="12">
        <v>0</v>
      </c>
      <c r="F55" s="12">
        <v>0</v>
      </c>
      <c r="G55" s="12">
        <v>0</v>
      </c>
      <c r="H55" s="12">
        <v>0</v>
      </c>
      <c r="I55" s="12">
        <v>0</v>
      </c>
      <c r="J55" s="12">
        <v>0</v>
      </c>
      <c r="K55" s="12">
        <v>0</v>
      </c>
      <c r="L55" s="12">
        <v>0</v>
      </c>
      <c r="M55" s="12">
        <v>0</v>
      </c>
      <c r="N55" s="12">
        <v>646.63774141190402</v>
      </c>
      <c r="O55" s="12">
        <v>646.63774141190402</v>
      </c>
      <c r="P55" s="12">
        <v>646.63774141190402</v>
      </c>
      <c r="Q55" s="12">
        <v>80.182302790146849</v>
      </c>
      <c r="R55" s="12">
        <v>80.182302790146849</v>
      </c>
      <c r="S55" t="s">
        <v>392</v>
      </c>
      <c r="T55" t="s">
        <v>24</v>
      </c>
      <c r="U55" s="324"/>
      <c r="V55" s="12"/>
      <c r="W55" s="12"/>
      <c r="X55" s="292"/>
    </row>
    <row r="56" spans="1:24">
      <c r="A56" t="s">
        <v>399</v>
      </c>
      <c r="B56" s="12" t="s">
        <v>557</v>
      </c>
      <c r="C56" s="12">
        <v>0</v>
      </c>
      <c r="D56" s="12">
        <v>0</v>
      </c>
      <c r="E56" s="12">
        <v>0</v>
      </c>
      <c r="F56" s="12">
        <v>0</v>
      </c>
      <c r="G56" s="12">
        <v>0</v>
      </c>
      <c r="H56" s="12">
        <v>0</v>
      </c>
      <c r="I56" s="12">
        <v>0</v>
      </c>
      <c r="J56" s="12">
        <v>0</v>
      </c>
      <c r="K56" s="12">
        <v>0</v>
      </c>
      <c r="L56" s="12">
        <v>0</v>
      </c>
      <c r="M56" s="12">
        <v>0</v>
      </c>
      <c r="N56" s="12">
        <v>0</v>
      </c>
      <c r="O56" s="12">
        <v>241288.05862842887</v>
      </c>
      <c r="P56" s="12">
        <v>241288.05862842887</v>
      </c>
      <c r="Q56" s="12">
        <v>99794.80313630063</v>
      </c>
      <c r="R56" s="12">
        <v>99794.80313630063</v>
      </c>
      <c r="S56" t="s">
        <v>5</v>
      </c>
      <c r="T56" t="s">
        <v>24</v>
      </c>
      <c r="U56" s="324"/>
      <c r="V56" s="12"/>
      <c r="W56" s="12"/>
      <c r="X56" s="292"/>
    </row>
    <row r="57" spans="1:24">
      <c r="A57" t="s">
        <v>455</v>
      </c>
      <c r="B57" s="12" t="s">
        <v>558</v>
      </c>
      <c r="C57" s="12">
        <v>0</v>
      </c>
      <c r="D57" s="12">
        <v>0</v>
      </c>
      <c r="E57" s="12">
        <v>0</v>
      </c>
      <c r="F57" s="12">
        <v>0</v>
      </c>
      <c r="G57" s="12">
        <v>0</v>
      </c>
      <c r="H57" s="12">
        <v>0</v>
      </c>
      <c r="I57" s="12">
        <v>0</v>
      </c>
      <c r="J57" s="12">
        <v>0</v>
      </c>
      <c r="K57" s="12">
        <v>0</v>
      </c>
      <c r="L57" s="12">
        <v>0</v>
      </c>
      <c r="M57" s="12">
        <v>0</v>
      </c>
      <c r="N57" s="12">
        <v>0</v>
      </c>
      <c r="O57" s="12">
        <v>0</v>
      </c>
      <c r="P57" s="12">
        <v>30408.928623</v>
      </c>
      <c r="Q57" s="12">
        <v>31070.493173999996</v>
      </c>
      <c r="R57" s="12">
        <v>31070.493173999996</v>
      </c>
      <c r="S57" t="s">
        <v>5</v>
      </c>
      <c r="T57" t="s">
        <v>24</v>
      </c>
      <c r="U57" s="324"/>
      <c r="V57" s="12"/>
      <c r="W57" s="12"/>
      <c r="X57" s="292"/>
    </row>
    <row r="58" spans="1:24"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U58" s="324"/>
      <c r="V58" s="12"/>
      <c r="W58" s="12"/>
    </row>
    <row r="59" spans="1:24"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U59" s="324"/>
      <c r="V59" s="12"/>
      <c r="W59" s="12"/>
    </row>
    <row r="60" spans="1:24"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324"/>
      <c r="V60" s="12"/>
      <c r="W60" s="12"/>
    </row>
    <row r="61" spans="1:24">
      <c r="A61" s="18" t="s">
        <v>6</v>
      </c>
      <c r="B61" s="21"/>
      <c r="C61" s="21">
        <f t="shared" ref="C61:O61" si="0">SUM(C9:C60)</f>
        <v>3411681.2579689091</v>
      </c>
      <c r="D61" s="21">
        <f t="shared" si="0"/>
        <v>3225448.5594297396</v>
      </c>
      <c r="E61" s="21">
        <f t="shared" si="0"/>
        <v>3225448.5594297396</v>
      </c>
      <c r="F61" s="21">
        <f t="shared" si="0"/>
        <v>3225448.5594297391</v>
      </c>
      <c r="G61" s="21">
        <f t="shared" si="0"/>
        <v>3468551.2717425255</v>
      </c>
      <c r="H61" s="21">
        <f t="shared" si="0"/>
        <v>3210312.18271029</v>
      </c>
      <c r="I61" s="21">
        <f t="shared" si="0"/>
        <v>3210312.18271029</v>
      </c>
      <c r="J61" s="21">
        <f t="shared" si="0"/>
        <v>3210312.18271029</v>
      </c>
      <c r="K61" s="21">
        <f t="shared" si="0"/>
        <v>3147262.3997916635</v>
      </c>
      <c r="L61" s="21">
        <f t="shared" si="0"/>
        <v>3092865.1433476061</v>
      </c>
      <c r="M61" s="21">
        <f t="shared" si="0"/>
        <v>2976902.1512522702</v>
      </c>
      <c r="N61" s="21">
        <f t="shared" si="0"/>
        <v>2820201.6280327979</v>
      </c>
      <c r="O61" s="21">
        <f t="shared" si="0"/>
        <v>3112848.2857930851</v>
      </c>
      <c r="P61" s="21">
        <f>SUM(P9:P60)</f>
        <v>3143257.2144160853</v>
      </c>
      <c r="Q61" s="21">
        <f>SUM(Q9:Q60)</f>
        <v>3278558.7664345312</v>
      </c>
      <c r="R61" s="21">
        <f>SUM(R9:R60)</f>
        <v>3278558.7664345312</v>
      </c>
      <c r="S61" s="15"/>
      <c r="U61" s="324"/>
      <c r="V61" s="21"/>
      <c r="W61" s="12"/>
    </row>
    <row r="62" spans="1:24">
      <c r="U62" s="324"/>
      <c r="W62" s="12"/>
    </row>
    <row r="63" spans="1:24">
      <c r="A63" s="18" t="s">
        <v>7</v>
      </c>
      <c r="U63" s="324"/>
      <c r="W63" s="12"/>
    </row>
    <row r="64" spans="1:24">
      <c r="A64" t="s">
        <v>20</v>
      </c>
      <c r="B64" s="12" t="s">
        <v>550</v>
      </c>
      <c r="C64" s="12">
        <v>2460.8645955489001</v>
      </c>
      <c r="D64" s="12">
        <v>2460.8645955489001</v>
      </c>
      <c r="E64" s="12">
        <v>2460.8645955489001</v>
      </c>
      <c r="F64" s="12">
        <v>2460.8645955489001</v>
      </c>
      <c r="G64" s="12">
        <v>0</v>
      </c>
      <c r="H64" s="12">
        <v>0</v>
      </c>
      <c r="I64" s="12">
        <v>0</v>
      </c>
      <c r="J64" s="12">
        <v>0</v>
      </c>
      <c r="K64" s="12">
        <v>0</v>
      </c>
      <c r="L64" s="12">
        <v>0</v>
      </c>
      <c r="M64" s="12">
        <v>0</v>
      </c>
      <c r="N64" s="12">
        <v>3065.9919002135998</v>
      </c>
      <c r="O64" s="12">
        <v>3065.9919002135998</v>
      </c>
      <c r="P64" s="12">
        <v>3065.9919002135998</v>
      </c>
      <c r="Q64" s="12">
        <v>0</v>
      </c>
      <c r="R64" s="12">
        <v>0</v>
      </c>
      <c r="S64" t="s">
        <v>5</v>
      </c>
      <c r="T64" t="s">
        <v>24</v>
      </c>
      <c r="U64" s="324"/>
      <c r="V64" s="12"/>
      <c r="W64" s="12"/>
      <c r="X64" s="292"/>
    </row>
    <row r="65" spans="1:24">
      <c r="A65" t="s">
        <v>21</v>
      </c>
      <c r="B65" s="12" t="s">
        <v>494</v>
      </c>
      <c r="C65" s="12">
        <v>7842.9966589774358</v>
      </c>
      <c r="D65" s="12">
        <v>7842.9966589774358</v>
      </c>
      <c r="E65" s="12">
        <v>7842.9966589774358</v>
      </c>
      <c r="F65" s="12">
        <v>7842.9966589774358</v>
      </c>
      <c r="G65" s="12">
        <v>7578.9246840164033</v>
      </c>
      <c r="H65" s="12">
        <v>7578.9246840164033</v>
      </c>
      <c r="I65" s="12">
        <v>7578.9246840164033</v>
      </c>
      <c r="J65" s="12">
        <v>7578.9246840164033</v>
      </c>
      <c r="K65" s="12">
        <v>7575.7133050282164</v>
      </c>
      <c r="L65" s="12">
        <v>7575.7133050282164</v>
      </c>
      <c r="M65" s="12">
        <v>6782.9873780056369</v>
      </c>
      <c r="N65" s="12">
        <v>0</v>
      </c>
      <c r="O65" s="12">
        <v>0</v>
      </c>
      <c r="P65" s="12">
        <v>0</v>
      </c>
      <c r="Q65" s="12">
        <v>0</v>
      </c>
      <c r="R65" s="12">
        <v>0</v>
      </c>
      <c r="S65" t="s">
        <v>5</v>
      </c>
      <c r="T65" t="s">
        <v>24</v>
      </c>
      <c r="U65" s="324"/>
      <c r="V65" s="12"/>
      <c r="W65" s="12"/>
      <c r="X65" s="292"/>
    </row>
    <row r="66" spans="1:24">
      <c r="A66" t="s">
        <v>110</v>
      </c>
      <c r="B66" s="12" t="s">
        <v>559</v>
      </c>
      <c r="C66" s="12">
        <v>0</v>
      </c>
      <c r="D66" s="12">
        <v>0</v>
      </c>
      <c r="E66" s="12">
        <v>0</v>
      </c>
      <c r="F66" s="12">
        <v>0</v>
      </c>
      <c r="G66" s="12">
        <v>-18242.264576517904</v>
      </c>
      <c r="H66" s="12">
        <v>-18242.264576517904</v>
      </c>
      <c r="I66" s="12">
        <v>-18242.264576517904</v>
      </c>
      <c r="J66" s="12">
        <v>-18242.264576517904</v>
      </c>
      <c r="K66" s="12">
        <v>-10363.512138304784</v>
      </c>
      <c r="L66" s="12">
        <v>-10363.512138304784</v>
      </c>
      <c r="M66" s="12">
        <v>-10098.269566881992</v>
      </c>
      <c r="N66" s="12">
        <v>-9628.1291666901761</v>
      </c>
      <c r="O66" s="12">
        <v>-10421.975347421361</v>
      </c>
      <c r="P66" s="12">
        <v>-10421.975347421361</v>
      </c>
      <c r="Q66" s="12">
        <v>-9229.3669170651228</v>
      </c>
      <c r="R66" s="12">
        <v>-9229.3669170651228</v>
      </c>
      <c r="S66" t="s">
        <v>5</v>
      </c>
      <c r="T66" t="s">
        <v>24</v>
      </c>
      <c r="U66" s="324"/>
      <c r="V66" s="12"/>
      <c r="W66" s="12"/>
      <c r="X66" s="292"/>
    </row>
    <row r="67" spans="1:24">
      <c r="A67" t="s">
        <v>111</v>
      </c>
      <c r="B67" s="12" t="s">
        <v>560</v>
      </c>
      <c r="C67" s="12">
        <v>0</v>
      </c>
      <c r="D67" s="12">
        <v>0</v>
      </c>
      <c r="E67" s="12">
        <v>0</v>
      </c>
      <c r="F67" s="12">
        <v>0</v>
      </c>
      <c r="G67" s="12">
        <v>13838.708958752715</v>
      </c>
      <c r="H67" s="12">
        <v>13838.708958752715</v>
      </c>
      <c r="I67" s="12">
        <v>13838.708958752715</v>
      </c>
      <c r="J67" s="12">
        <v>13838.708958752715</v>
      </c>
      <c r="K67" s="12">
        <v>11822.733650287277</v>
      </c>
      <c r="L67" s="12">
        <v>11822.733650287277</v>
      </c>
      <c r="M67" s="12">
        <v>14749.202182647461</v>
      </c>
      <c r="N67" s="12">
        <v>17874.03602115027</v>
      </c>
      <c r="O67" s="12">
        <v>18549.958611841474</v>
      </c>
      <c r="P67" s="12">
        <v>18549.958611841474</v>
      </c>
      <c r="Q67" s="12">
        <v>15737.903139376944</v>
      </c>
      <c r="R67" s="12">
        <v>15737.903139376944</v>
      </c>
      <c r="S67" t="s">
        <v>5</v>
      </c>
      <c r="T67" t="s">
        <v>24</v>
      </c>
      <c r="U67" s="324"/>
      <c r="V67" s="12"/>
      <c r="W67" s="12"/>
      <c r="X67" s="292"/>
    </row>
    <row r="68" spans="1:24">
      <c r="A68" t="s">
        <v>112</v>
      </c>
      <c r="B68" s="12" t="s">
        <v>561</v>
      </c>
      <c r="C68" s="12">
        <v>0</v>
      </c>
      <c r="D68" s="12">
        <v>0</v>
      </c>
      <c r="E68" s="12">
        <v>0</v>
      </c>
      <c r="F68" s="12">
        <v>0</v>
      </c>
      <c r="G68" s="12">
        <v>297.65388165463486</v>
      </c>
      <c r="H68" s="12">
        <v>297.65388165463486</v>
      </c>
      <c r="I68" s="12">
        <v>297.65388165463486</v>
      </c>
      <c r="J68" s="12">
        <v>297.65388165463486</v>
      </c>
      <c r="K68" s="12">
        <v>2717.1226761587423</v>
      </c>
      <c r="L68" s="12">
        <v>2717.1226761587423</v>
      </c>
      <c r="M68" s="12">
        <v>3521.4260113924061</v>
      </c>
      <c r="N68" s="12">
        <v>3442.8771572392989</v>
      </c>
      <c r="O68" s="12">
        <v>3619.679406389409</v>
      </c>
      <c r="P68" s="12">
        <v>3619.679406389409</v>
      </c>
      <c r="Q68" s="12">
        <v>3464.1058374170839</v>
      </c>
      <c r="R68" s="12">
        <v>3464.1058374170839</v>
      </c>
      <c r="S68" t="s">
        <v>5</v>
      </c>
      <c r="T68" t="s">
        <v>24</v>
      </c>
      <c r="U68" s="324"/>
      <c r="V68" s="12"/>
      <c r="W68" s="12"/>
      <c r="X68" s="292"/>
    </row>
    <row r="69" spans="1:24">
      <c r="A69" t="s">
        <v>114</v>
      </c>
      <c r="B69" s="12" t="s">
        <v>562</v>
      </c>
      <c r="C69" s="12">
        <v>0</v>
      </c>
      <c r="D69" s="12">
        <v>0</v>
      </c>
      <c r="E69" s="12">
        <v>0</v>
      </c>
      <c r="F69" s="12">
        <v>0</v>
      </c>
      <c r="G69" s="12">
        <v>916.84931421797876</v>
      </c>
      <c r="H69" s="12">
        <v>916.84931421797876</v>
      </c>
      <c r="I69" s="12">
        <v>916.84931421797876</v>
      </c>
      <c r="J69" s="12">
        <v>916.84931421797876</v>
      </c>
      <c r="K69" s="12">
        <v>223.70722107676906</v>
      </c>
      <c r="L69" s="12">
        <v>223.70722107676906</v>
      </c>
      <c r="M69" s="12">
        <v>224.82059047319851</v>
      </c>
      <c r="N69" s="12">
        <v>222.196486445505</v>
      </c>
      <c r="O69" s="12">
        <v>228.67458897609933</v>
      </c>
      <c r="P69" s="12">
        <v>228.67458897609933</v>
      </c>
      <c r="Q69" s="12">
        <v>222.3452238648876</v>
      </c>
      <c r="R69" s="12">
        <v>222.3452238648876</v>
      </c>
      <c r="S69" t="s">
        <v>5</v>
      </c>
      <c r="T69" t="s">
        <v>24</v>
      </c>
      <c r="U69" s="324"/>
      <c r="V69" s="12"/>
      <c r="W69" s="12"/>
      <c r="X69" s="292"/>
    </row>
    <row r="70" spans="1:24">
      <c r="A70" t="s">
        <v>102</v>
      </c>
      <c r="B70" s="12" t="s">
        <v>494</v>
      </c>
      <c r="C70" s="12">
        <v>11774.82637087723</v>
      </c>
      <c r="D70" s="12">
        <v>11774.82637087723</v>
      </c>
      <c r="E70" s="12">
        <v>11774.82637087723</v>
      </c>
      <c r="F70" s="12">
        <v>11774.82637087723</v>
      </c>
      <c r="G70" s="12">
        <v>3849.8475114850912</v>
      </c>
      <c r="H70" s="12">
        <v>3849.8475114850912</v>
      </c>
      <c r="I70" s="12">
        <v>3849.8475114850912</v>
      </c>
      <c r="J70" s="12">
        <v>3849.8475114850912</v>
      </c>
      <c r="K70" s="12">
        <v>3707.071785513117</v>
      </c>
      <c r="L70" s="12">
        <v>3707.071785513117</v>
      </c>
      <c r="M70" s="12">
        <v>0</v>
      </c>
      <c r="N70" s="12">
        <v>0</v>
      </c>
      <c r="O70" s="12">
        <v>0</v>
      </c>
      <c r="P70" s="12">
        <v>0</v>
      </c>
      <c r="Q70" s="12">
        <v>0</v>
      </c>
      <c r="R70" s="12">
        <v>0</v>
      </c>
      <c r="S70" t="s">
        <v>5</v>
      </c>
      <c r="T70" t="s">
        <v>24</v>
      </c>
      <c r="U70" s="324"/>
      <c r="V70" s="12"/>
      <c r="W70" s="12"/>
      <c r="X70" s="292"/>
    </row>
    <row r="71" spans="1:24">
      <c r="A71" t="s">
        <v>23</v>
      </c>
      <c r="B71" s="12" t="s">
        <v>546</v>
      </c>
      <c r="C71" s="12">
        <v>5757.9420113573733</v>
      </c>
      <c r="D71" s="12">
        <v>6761.2327247173725</v>
      </c>
      <c r="E71" s="12">
        <v>6761.2327247173725</v>
      </c>
      <c r="F71" s="12">
        <v>6761.2327247173725</v>
      </c>
      <c r="G71" s="12">
        <v>4091.7015173161735</v>
      </c>
      <c r="H71" s="12">
        <v>4084.8366440600876</v>
      </c>
      <c r="I71" s="12">
        <v>4084.8366440600876</v>
      </c>
      <c r="J71" s="12">
        <v>5617.0971562606846</v>
      </c>
      <c r="K71" s="12">
        <v>7836.1328672590944</v>
      </c>
      <c r="L71" s="12">
        <v>7836.1328672590944</v>
      </c>
      <c r="M71" s="12">
        <v>11416.542000504454</v>
      </c>
      <c r="N71" s="12">
        <v>3285.8960466428071</v>
      </c>
      <c r="O71" s="12">
        <v>3285.8960466428071</v>
      </c>
      <c r="P71" s="12">
        <v>3642.5185187084066</v>
      </c>
      <c r="Q71" s="12">
        <v>8080.4813254924293</v>
      </c>
      <c r="R71" s="12">
        <v>8080.4813254924293</v>
      </c>
      <c r="S71" t="s">
        <v>5</v>
      </c>
      <c r="T71" t="s">
        <v>24</v>
      </c>
      <c r="U71" s="324"/>
      <c r="V71" s="12"/>
      <c r="W71" s="12"/>
      <c r="X71" s="292"/>
    </row>
    <row r="72" spans="1:24">
      <c r="A72" s="434" t="s">
        <v>478</v>
      </c>
      <c r="B72" s="12" t="s">
        <v>563</v>
      </c>
      <c r="C72" s="12">
        <v>0</v>
      </c>
      <c r="D72" s="12">
        <v>0</v>
      </c>
      <c r="E72" s="12">
        <v>0</v>
      </c>
      <c r="F72" s="12">
        <v>0</v>
      </c>
      <c r="G72" s="12">
        <v>0</v>
      </c>
      <c r="H72" s="12">
        <v>0</v>
      </c>
      <c r="I72" s="12">
        <v>0</v>
      </c>
      <c r="J72" s="12">
        <v>9151.8938528029503</v>
      </c>
      <c r="K72" s="12">
        <v>9150.7938542165066</v>
      </c>
      <c r="L72" s="12">
        <v>9150.7938542165066</v>
      </c>
      <c r="M72" s="12">
        <v>0</v>
      </c>
      <c r="N72" s="12">
        <v>0</v>
      </c>
      <c r="O72" s="12">
        <v>0</v>
      </c>
      <c r="P72" s="12">
        <v>0</v>
      </c>
      <c r="Q72" s="12">
        <v>1911.1177514729998</v>
      </c>
      <c r="R72" s="12">
        <v>1911.1177514729998</v>
      </c>
      <c r="S72" t="s">
        <v>5</v>
      </c>
      <c r="T72" t="s">
        <v>24</v>
      </c>
      <c r="U72" s="324"/>
      <c r="V72" s="12"/>
      <c r="W72" s="12"/>
      <c r="X72" s="292"/>
    </row>
    <row r="73" spans="1:24">
      <c r="A73" t="s">
        <v>354</v>
      </c>
      <c r="B73" s="12" t="s">
        <v>564</v>
      </c>
      <c r="C73" s="12">
        <v>0</v>
      </c>
      <c r="D73" s="12">
        <v>0</v>
      </c>
      <c r="E73" s="12">
        <v>0</v>
      </c>
      <c r="F73" s="12">
        <v>0</v>
      </c>
      <c r="G73" s="12">
        <v>0</v>
      </c>
      <c r="H73" s="12">
        <v>0</v>
      </c>
      <c r="I73" s="12">
        <v>0</v>
      </c>
      <c r="J73" s="12">
        <v>0</v>
      </c>
      <c r="K73" s="12">
        <v>0</v>
      </c>
      <c r="L73" s="12">
        <v>0</v>
      </c>
      <c r="M73" s="12">
        <v>19553.413197438818</v>
      </c>
      <c r="N73" s="12">
        <v>6630.1442245618264</v>
      </c>
      <c r="O73" s="12">
        <v>6947.6822545118957</v>
      </c>
      <c r="P73" s="12">
        <v>6947.6822545118957</v>
      </c>
      <c r="Q73" s="12">
        <v>6753.3473998666186</v>
      </c>
      <c r="R73" s="12">
        <v>6753.3473998666186</v>
      </c>
      <c r="S73" t="s">
        <v>5</v>
      </c>
      <c r="T73" t="s">
        <v>24</v>
      </c>
      <c r="U73" s="324"/>
      <c r="V73" s="12"/>
      <c r="W73" s="12"/>
      <c r="X73" s="292"/>
    </row>
    <row r="74" spans="1:24">
      <c r="A74" s="434" t="s">
        <v>237</v>
      </c>
      <c r="B74" s="12" t="s">
        <v>494</v>
      </c>
      <c r="C74" s="12">
        <v>0</v>
      </c>
      <c r="D74" s="12">
        <v>0</v>
      </c>
      <c r="E74" s="12">
        <v>0</v>
      </c>
      <c r="F74" s="12">
        <v>0</v>
      </c>
      <c r="G74" s="12">
        <v>-333.56654586959996</v>
      </c>
      <c r="H74" s="12">
        <v>-333.56654586959996</v>
      </c>
      <c r="I74" s="12">
        <v>-333.56654586959996</v>
      </c>
      <c r="J74" s="12">
        <v>-333.56654586959996</v>
      </c>
      <c r="K74" s="12">
        <v>0</v>
      </c>
      <c r="L74" s="12">
        <v>0</v>
      </c>
      <c r="M74" s="12">
        <v>0</v>
      </c>
      <c r="N74" s="12">
        <v>0</v>
      </c>
      <c r="O74" s="12">
        <v>0</v>
      </c>
      <c r="P74" s="12">
        <v>0</v>
      </c>
      <c r="Q74" s="12">
        <v>0</v>
      </c>
      <c r="R74" s="12">
        <v>0</v>
      </c>
      <c r="S74" t="s">
        <v>5</v>
      </c>
      <c r="T74" t="s">
        <v>26</v>
      </c>
      <c r="U74" s="324"/>
      <c r="V74" s="12"/>
      <c r="W74" s="12"/>
      <c r="X74" s="292"/>
    </row>
    <row r="75" spans="1:24">
      <c r="A75" s="434" t="s">
        <v>238</v>
      </c>
      <c r="B75" s="12" t="s">
        <v>550</v>
      </c>
      <c r="C75" s="12">
        <v>0</v>
      </c>
      <c r="D75" s="12">
        <v>0</v>
      </c>
      <c r="E75" s="12">
        <v>0</v>
      </c>
      <c r="F75" s="12">
        <v>0</v>
      </c>
      <c r="G75" s="12">
        <v>62042.099340000001</v>
      </c>
      <c r="H75" s="12">
        <v>62042.099340000001</v>
      </c>
      <c r="I75" s="12">
        <v>62042.099340000001</v>
      </c>
      <c r="J75" s="12">
        <v>62042.099340000001</v>
      </c>
      <c r="K75" s="12">
        <v>97834.232665999996</v>
      </c>
      <c r="L75" s="12">
        <v>97834.232665999996</v>
      </c>
      <c r="M75" s="12">
        <v>96619.676042399995</v>
      </c>
      <c r="N75" s="12">
        <v>85598.38471649999</v>
      </c>
      <c r="O75" s="12">
        <v>85598.38471649999</v>
      </c>
      <c r="P75" s="12">
        <v>85598.38471649999</v>
      </c>
      <c r="Q75" s="12">
        <v>-7088.5662644999993</v>
      </c>
      <c r="R75" s="12">
        <v>-7088.5662644999993</v>
      </c>
      <c r="S75" t="s">
        <v>5</v>
      </c>
      <c r="T75" t="s">
        <v>26</v>
      </c>
      <c r="U75" s="324"/>
      <c r="V75" s="12"/>
      <c r="W75" s="12"/>
      <c r="X75" s="292"/>
    </row>
    <row r="76" spans="1:24">
      <c r="A76" t="s">
        <v>28</v>
      </c>
      <c r="B76" s="12" t="s">
        <v>550</v>
      </c>
      <c r="C76" s="12">
        <v>14304.957620399999</v>
      </c>
      <c r="D76" s="12">
        <v>14304.957620399999</v>
      </c>
      <c r="E76" s="12">
        <v>14304.957620399999</v>
      </c>
      <c r="F76" s="12">
        <v>14304.957620399999</v>
      </c>
      <c r="G76" s="12">
        <v>14618.280596999999</v>
      </c>
      <c r="H76" s="12">
        <v>14618.280596999999</v>
      </c>
      <c r="I76" s="12">
        <v>14618.280596999999</v>
      </c>
      <c r="J76" s="12">
        <v>14618.280596999999</v>
      </c>
      <c r="K76" s="12">
        <v>12263.7715892</v>
      </c>
      <c r="L76" s="12">
        <v>12263.7715892</v>
      </c>
      <c r="M76" s="12">
        <v>11368.8515814</v>
      </c>
      <c r="N76" s="12">
        <v>10448.595024299999</v>
      </c>
      <c r="O76" s="12">
        <v>10448.595024299999</v>
      </c>
      <c r="P76" s="12">
        <v>10448.595024299999</v>
      </c>
      <c r="Q76" s="12">
        <v>7863.1481354999987</v>
      </c>
      <c r="R76" s="12">
        <v>7863.1481354999987</v>
      </c>
      <c r="S76" t="s">
        <v>5</v>
      </c>
      <c r="T76" t="s">
        <v>26</v>
      </c>
      <c r="U76" s="324"/>
      <c r="V76" s="12"/>
      <c r="W76" s="12"/>
      <c r="X76" s="292"/>
    </row>
    <row r="77" spans="1:24">
      <c r="A77" t="s">
        <v>29</v>
      </c>
      <c r="B77" s="12" t="s">
        <v>550</v>
      </c>
      <c r="C77" s="12">
        <v>-6227.0347865999993</v>
      </c>
      <c r="D77" s="12">
        <v>-6227.0347865999993</v>
      </c>
      <c r="E77" s="12">
        <v>-6227.0347865999993</v>
      </c>
      <c r="F77" s="12">
        <v>-6227.0347865999993</v>
      </c>
      <c r="G77" s="12">
        <v>2817.8318027999999</v>
      </c>
      <c r="H77" s="12">
        <v>2817.8318027999999</v>
      </c>
      <c r="I77" s="12">
        <v>2817.8318027999999</v>
      </c>
      <c r="J77" s="12">
        <v>2817.8318027999999</v>
      </c>
      <c r="K77" s="12">
        <v>-12060.447343600001</v>
      </c>
      <c r="L77" s="12">
        <v>-12060.447343600001</v>
      </c>
      <c r="M77" s="12">
        <v>-63.2870913</v>
      </c>
      <c r="N77" s="12">
        <v>1908.7884732863999</v>
      </c>
      <c r="O77" s="12">
        <v>1908.7884732863999</v>
      </c>
      <c r="P77" s="12">
        <v>1908.7884732863999</v>
      </c>
      <c r="Q77" s="12">
        <v>681.13365599999997</v>
      </c>
      <c r="R77" s="12">
        <v>681.13365599999997</v>
      </c>
      <c r="S77" t="s">
        <v>5</v>
      </c>
      <c r="T77" t="s">
        <v>26</v>
      </c>
      <c r="U77" s="324"/>
      <c r="V77" s="12"/>
      <c r="W77" s="12"/>
      <c r="X77" s="292"/>
    </row>
    <row r="78" spans="1:24">
      <c r="A78" t="s">
        <v>32</v>
      </c>
      <c r="B78" s="12" t="s">
        <v>494</v>
      </c>
      <c r="C78" s="12">
        <v>111.01178309999999</v>
      </c>
      <c r="D78" s="12">
        <v>111.01178309999999</v>
      </c>
      <c r="E78" s="12">
        <v>111.01178309999999</v>
      </c>
      <c r="F78" s="12">
        <v>111.01178309999999</v>
      </c>
      <c r="G78" s="12">
        <v>108.9367965</v>
      </c>
      <c r="H78" s="12">
        <v>108.9367965</v>
      </c>
      <c r="I78" s="12">
        <v>108.9367965</v>
      </c>
      <c r="J78" s="12">
        <v>108.9367965</v>
      </c>
      <c r="K78" s="12">
        <v>0</v>
      </c>
      <c r="L78" s="12">
        <v>0</v>
      </c>
      <c r="M78" s="12">
        <v>0</v>
      </c>
      <c r="N78" s="12">
        <v>0</v>
      </c>
      <c r="O78" s="12">
        <v>0</v>
      </c>
      <c r="P78" s="12">
        <v>0</v>
      </c>
      <c r="Q78" s="12">
        <v>0</v>
      </c>
      <c r="R78" s="12">
        <v>0</v>
      </c>
      <c r="S78" t="s">
        <v>5</v>
      </c>
      <c r="T78" t="s">
        <v>26</v>
      </c>
      <c r="U78" s="324"/>
      <c r="V78" s="12"/>
      <c r="W78" s="12"/>
      <c r="X78" s="292"/>
    </row>
    <row r="79" spans="1:24">
      <c r="A79" t="s">
        <v>33</v>
      </c>
      <c r="B79" s="12" t="s">
        <v>550</v>
      </c>
      <c r="C79" s="12">
        <v>3717.3384938999998</v>
      </c>
      <c r="D79" s="12">
        <v>3717.3384938999998</v>
      </c>
      <c r="E79" s="12">
        <v>3717.3384938999998</v>
      </c>
      <c r="F79" s="12">
        <v>3717.3384938999998</v>
      </c>
      <c r="G79" s="12">
        <v>3739.1258531999997</v>
      </c>
      <c r="H79" s="12">
        <v>3739.1258531999997</v>
      </c>
      <c r="I79" s="12">
        <v>3739.1258531999997</v>
      </c>
      <c r="J79" s="12">
        <v>3739.1258531999997</v>
      </c>
      <c r="K79" s="12">
        <v>3376.6347929999997</v>
      </c>
      <c r="L79" s="12">
        <v>3376.6347929999997</v>
      </c>
      <c r="M79" s="12">
        <v>1615.3770680999999</v>
      </c>
      <c r="N79" s="12">
        <v>-631.83341969999992</v>
      </c>
      <c r="O79" s="12">
        <v>-631.83341969999992</v>
      </c>
      <c r="P79" s="12">
        <v>-631.83341969999992</v>
      </c>
      <c r="Q79" s="12">
        <v>0</v>
      </c>
      <c r="R79" s="12">
        <v>0</v>
      </c>
      <c r="S79" t="s">
        <v>5</v>
      </c>
      <c r="T79" t="s">
        <v>26</v>
      </c>
      <c r="U79" s="324"/>
      <c r="V79" s="12"/>
      <c r="W79" s="12"/>
      <c r="X79" s="292"/>
    </row>
    <row r="80" spans="1:24">
      <c r="A80" t="s">
        <v>317</v>
      </c>
      <c r="B80" s="12" t="s">
        <v>494</v>
      </c>
      <c r="C80" s="12">
        <v>0</v>
      </c>
      <c r="D80" s="12">
        <v>0</v>
      </c>
      <c r="E80" s="12">
        <v>0</v>
      </c>
      <c r="F80" s="12">
        <v>0</v>
      </c>
      <c r="G80" s="12">
        <v>0</v>
      </c>
      <c r="H80" s="12">
        <v>0</v>
      </c>
      <c r="I80" s="12">
        <v>0</v>
      </c>
      <c r="J80" s="12">
        <v>0</v>
      </c>
      <c r="K80" s="12">
        <v>420.13428299999998</v>
      </c>
      <c r="L80" s="12">
        <v>420.13428299999998</v>
      </c>
      <c r="M80" s="12">
        <v>3.1124798999999999</v>
      </c>
      <c r="N80" s="12">
        <v>0</v>
      </c>
      <c r="O80" s="12">
        <v>0</v>
      </c>
      <c r="P80" s="12">
        <v>0</v>
      </c>
      <c r="Q80" s="12">
        <v>0</v>
      </c>
      <c r="R80" s="12">
        <v>0</v>
      </c>
      <c r="S80" t="s">
        <v>5</v>
      </c>
      <c r="T80" t="s">
        <v>26</v>
      </c>
      <c r="U80" s="324"/>
      <c r="V80" s="12"/>
      <c r="W80" s="12"/>
      <c r="X80" s="292"/>
    </row>
    <row r="81" spans="1:24">
      <c r="A81" t="s">
        <v>318</v>
      </c>
      <c r="B81" s="12" t="s">
        <v>550</v>
      </c>
      <c r="C81" s="12">
        <v>0</v>
      </c>
      <c r="D81" s="12">
        <v>0</v>
      </c>
      <c r="E81" s="12">
        <v>0</v>
      </c>
      <c r="F81" s="12">
        <v>0</v>
      </c>
      <c r="G81" s="12">
        <v>0</v>
      </c>
      <c r="H81" s="12">
        <v>0</v>
      </c>
      <c r="I81" s="12">
        <v>0</v>
      </c>
      <c r="J81" s="12">
        <v>0</v>
      </c>
      <c r="K81" s="12">
        <v>17012.84504</v>
      </c>
      <c r="L81" s="12">
        <v>17012.84504</v>
      </c>
      <c r="M81" s="12">
        <v>17014.89012</v>
      </c>
      <c r="N81" s="12">
        <v>60589.608719999997</v>
      </c>
      <c r="O81" s="12">
        <v>60589.608719999997</v>
      </c>
      <c r="P81" s="12">
        <v>60589.608719999997</v>
      </c>
      <c r="Q81" s="12">
        <v>-37379.285999999993</v>
      </c>
      <c r="R81" s="12">
        <v>-37379.285999999993</v>
      </c>
      <c r="S81" t="s">
        <v>5</v>
      </c>
      <c r="T81" t="s">
        <v>26</v>
      </c>
      <c r="U81" s="324"/>
      <c r="V81" s="12"/>
      <c r="W81" s="12"/>
      <c r="X81" s="292"/>
    </row>
    <row r="82" spans="1:24">
      <c r="A82" s="13" t="s">
        <v>35</v>
      </c>
      <c r="B82" s="12" t="s">
        <v>550</v>
      </c>
      <c r="C82" s="12">
        <v>8196.1970700000002</v>
      </c>
      <c r="D82" s="12">
        <v>8196.1970700000002</v>
      </c>
      <c r="E82" s="12">
        <v>8196.1970700000002</v>
      </c>
      <c r="F82" s="12">
        <v>8196.1970700000002</v>
      </c>
      <c r="G82" s="12">
        <v>7148.328837</v>
      </c>
      <c r="H82" s="12">
        <v>7148.328837</v>
      </c>
      <c r="I82" s="12">
        <v>7148.328837</v>
      </c>
      <c r="J82" s="12">
        <v>7148.328837</v>
      </c>
      <c r="K82" s="12">
        <v>12956.733813999999</v>
      </c>
      <c r="L82" s="12">
        <v>12956.733813999999</v>
      </c>
      <c r="M82" s="12">
        <v>18197.632482000001</v>
      </c>
      <c r="N82" s="12">
        <v>17949.671583299998</v>
      </c>
      <c r="O82" s="12">
        <v>17949.671583299998</v>
      </c>
      <c r="P82" s="12">
        <v>17949.671583299998</v>
      </c>
      <c r="Q82" s="12">
        <v>22809.670967999999</v>
      </c>
      <c r="R82" s="12">
        <v>22809.670967999999</v>
      </c>
      <c r="S82" t="s">
        <v>5</v>
      </c>
      <c r="T82" t="s">
        <v>26</v>
      </c>
      <c r="U82" s="324"/>
      <c r="V82" s="12"/>
      <c r="W82" s="12"/>
      <c r="X82" s="292"/>
    </row>
    <row r="83" spans="1:24">
      <c r="A83" s="13" t="s">
        <v>36</v>
      </c>
      <c r="B83" s="12" t="s">
        <v>550</v>
      </c>
      <c r="C83" s="12">
        <v>2384.1596033999999</v>
      </c>
      <c r="D83" s="12">
        <v>2384.1596033999999</v>
      </c>
      <c r="E83" s="12">
        <v>2384.1596033999999</v>
      </c>
      <c r="F83" s="12">
        <v>2384.1596033999999</v>
      </c>
      <c r="G83" s="12">
        <v>2386.23459</v>
      </c>
      <c r="H83" s="12">
        <v>2386.23459</v>
      </c>
      <c r="I83" s="12">
        <v>2386.23459</v>
      </c>
      <c r="J83" s="12">
        <v>2386.23459</v>
      </c>
      <c r="K83" s="12">
        <v>2480.3483225999998</v>
      </c>
      <c r="L83" s="12">
        <v>2480.3483225999998</v>
      </c>
      <c r="M83" s="12">
        <v>756.33261570000002</v>
      </c>
      <c r="N83" s="12">
        <v>599.67112739999993</v>
      </c>
      <c r="O83" s="12">
        <v>599.67112739999993</v>
      </c>
      <c r="P83" s="12">
        <v>599.67112739999993</v>
      </c>
      <c r="Q83" s="12">
        <v>1971.7573364999998</v>
      </c>
      <c r="R83" s="12">
        <v>1971.7573364999998</v>
      </c>
      <c r="S83" t="s">
        <v>5</v>
      </c>
      <c r="T83" t="s">
        <v>26</v>
      </c>
      <c r="U83" s="324"/>
      <c r="V83" s="12"/>
      <c r="W83" s="12"/>
      <c r="X83" s="292"/>
    </row>
    <row r="84" spans="1:24">
      <c r="A84" s="13" t="s">
        <v>37</v>
      </c>
      <c r="B84" s="12" t="s">
        <v>494</v>
      </c>
      <c r="C84" s="12">
        <v>0</v>
      </c>
      <c r="D84" s="12">
        <v>0</v>
      </c>
      <c r="E84" s="12">
        <v>0</v>
      </c>
      <c r="F84" s="12">
        <v>0</v>
      </c>
      <c r="G84" s="12">
        <v>0</v>
      </c>
      <c r="H84" s="12">
        <v>0</v>
      </c>
      <c r="I84" s="12">
        <v>0</v>
      </c>
      <c r="J84" s="12">
        <v>0</v>
      </c>
      <c r="K84" s="12">
        <v>0</v>
      </c>
      <c r="L84" s="12">
        <v>0</v>
      </c>
      <c r="M84" s="12">
        <v>0</v>
      </c>
      <c r="N84" s="12">
        <v>0</v>
      </c>
      <c r="O84" s="12">
        <v>0</v>
      </c>
      <c r="P84" s="12">
        <v>0</v>
      </c>
      <c r="Q84" s="12">
        <v>0</v>
      </c>
      <c r="R84" s="12">
        <v>0</v>
      </c>
      <c r="S84" t="s">
        <v>5</v>
      </c>
      <c r="T84" t="s">
        <v>26</v>
      </c>
      <c r="U84" s="324"/>
      <c r="V84" s="12"/>
      <c r="W84" s="12"/>
      <c r="X84" s="292"/>
    </row>
    <row r="85" spans="1:24">
      <c r="A85" s="441" t="s">
        <v>247</v>
      </c>
      <c r="B85" s="12" t="s">
        <v>550</v>
      </c>
      <c r="C85" s="12">
        <v>0</v>
      </c>
      <c r="D85" s="12">
        <v>0</v>
      </c>
      <c r="E85" s="12">
        <v>0</v>
      </c>
      <c r="F85" s="12">
        <v>0</v>
      </c>
      <c r="G85" s="12">
        <v>-274.93572449999999</v>
      </c>
      <c r="H85" s="12">
        <v>-274.93572449999999</v>
      </c>
      <c r="I85" s="12">
        <v>-274.93572449999999</v>
      </c>
      <c r="J85" s="12">
        <v>-274.93572449999999</v>
      </c>
      <c r="K85" s="12">
        <v>597.52431360000003</v>
      </c>
      <c r="L85" s="12">
        <v>597.52431360000003</v>
      </c>
      <c r="M85" s="12">
        <v>-18.674879399999998</v>
      </c>
      <c r="N85" s="12">
        <v>179.48634089999999</v>
      </c>
      <c r="O85" s="12">
        <v>179.48634089999999</v>
      </c>
      <c r="P85" s="12">
        <v>179.48634089999999</v>
      </c>
      <c r="Q85" s="12">
        <v>-354.06490349999996</v>
      </c>
      <c r="R85" s="12">
        <v>-354.06490349999996</v>
      </c>
      <c r="S85" t="s">
        <v>5</v>
      </c>
      <c r="T85" t="s">
        <v>26</v>
      </c>
      <c r="U85" s="324"/>
      <c r="V85" s="12"/>
      <c r="W85" s="12"/>
      <c r="X85" s="292"/>
    </row>
    <row r="86" spans="1:24">
      <c r="A86" s="441" t="s">
        <v>248</v>
      </c>
      <c r="B86" s="12" t="s">
        <v>550</v>
      </c>
      <c r="C86" s="12">
        <v>0</v>
      </c>
      <c r="D86" s="12">
        <v>0</v>
      </c>
      <c r="E86" s="12">
        <v>0</v>
      </c>
      <c r="F86" s="12">
        <v>0</v>
      </c>
      <c r="G86" s="12">
        <v>-283.2356709</v>
      </c>
      <c r="H86" s="12">
        <v>-283.2356709</v>
      </c>
      <c r="I86" s="12">
        <v>-283.2356709</v>
      </c>
      <c r="J86" s="12">
        <v>-283.2356709</v>
      </c>
      <c r="K86" s="12">
        <v>-1.675350289</v>
      </c>
      <c r="L86" s="12">
        <v>-1.675350289</v>
      </c>
      <c r="M86" s="12">
        <v>0</v>
      </c>
      <c r="N86" s="12">
        <v>-3.1124798999999999</v>
      </c>
      <c r="O86" s="12">
        <v>-3.1124798999999999</v>
      </c>
      <c r="P86" s="12">
        <v>-3.1124798999999999</v>
      </c>
      <c r="Q86" s="12">
        <v>-2649.7760519999997</v>
      </c>
      <c r="R86" s="12">
        <v>-2649.7760519999997</v>
      </c>
      <c r="S86" t="s">
        <v>5</v>
      </c>
      <c r="T86" t="s">
        <v>26</v>
      </c>
      <c r="U86" s="324"/>
      <c r="V86" s="12"/>
      <c r="W86" s="12"/>
      <c r="X86" s="292"/>
    </row>
    <row r="87" spans="1:24">
      <c r="A87" s="13" t="s">
        <v>38</v>
      </c>
      <c r="B87" s="12" t="s">
        <v>494</v>
      </c>
      <c r="C87" s="12">
        <v>0</v>
      </c>
      <c r="D87" s="12">
        <v>0</v>
      </c>
      <c r="E87" s="12">
        <v>0</v>
      </c>
      <c r="F87" s="12">
        <v>0</v>
      </c>
      <c r="G87" s="12">
        <v>0</v>
      </c>
      <c r="H87" s="12">
        <v>0</v>
      </c>
      <c r="I87" s="12">
        <v>0</v>
      </c>
      <c r="J87" s="12">
        <v>0</v>
      </c>
      <c r="K87" s="12">
        <v>0</v>
      </c>
      <c r="L87" s="12">
        <v>0</v>
      </c>
      <c r="M87" s="12">
        <v>0</v>
      </c>
      <c r="N87" s="12">
        <v>0</v>
      </c>
      <c r="O87" s="12">
        <v>0</v>
      </c>
      <c r="P87" s="12">
        <v>0</v>
      </c>
      <c r="Q87" s="12">
        <v>0</v>
      </c>
      <c r="R87" s="12">
        <v>0</v>
      </c>
      <c r="S87" t="s">
        <v>5</v>
      </c>
      <c r="T87" t="s">
        <v>26</v>
      </c>
      <c r="U87" s="324"/>
      <c r="V87" s="12"/>
      <c r="W87" s="12"/>
      <c r="X87" s="292"/>
    </row>
    <row r="88" spans="1:24">
      <c r="A88" s="13" t="s">
        <v>209</v>
      </c>
      <c r="B88" s="12" t="s">
        <v>494</v>
      </c>
      <c r="C88" s="12">
        <v>-1769.9635698</v>
      </c>
      <c r="D88" s="12">
        <v>-1769.9635698</v>
      </c>
      <c r="E88" s="12">
        <v>-1769.9635698</v>
      </c>
      <c r="F88" s="12">
        <v>-1769.9635698</v>
      </c>
      <c r="G88" s="12">
        <v>0</v>
      </c>
      <c r="H88" s="12">
        <v>0</v>
      </c>
      <c r="I88" s="12">
        <v>0</v>
      </c>
      <c r="J88" s="12">
        <v>0</v>
      </c>
      <c r="K88" s="12">
        <v>147.47958175619999</v>
      </c>
      <c r="L88" s="12">
        <v>147.47958175619999</v>
      </c>
      <c r="M88" s="12">
        <v>0</v>
      </c>
      <c r="N88" s="12">
        <v>0</v>
      </c>
      <c r="O88" s="12">
        <v>0</v>
      </c>
      <c r="P88" s="12">
        <v>0</v>
      </c>
      <c r="Q88" s="12">
        <v>0</v>
      </c>
      <c r="R88" s="12">
        <v>0</v>
      </c>
      <c r="S88" t="s">
        <v>5</v>
      </c>
      <c r="T88" t="s">
        <v>26</v>
      </c>
      <c r="U88" s="324"/>
      <c r="V88" s="12"/>
      <c r="W88" s="12"/>
      <c r="X88" s="292"/>
    </row>
    <row r="89" spans="1:24">
      <c r="A89" s="13" t="s">
        <v>309</v>
      </c>
      <c r="B89" s="12" t="s">
        <v>550</v>
      </c>
      <c r="C89" s="12">
        <v>0</v>
      </c>
      <c r="D89" s="12">
        <v>0</v>
      </c>
      <c r="E89" s="12">
        <v>0</v>
      </c>
      <c r="F89" s="12">
        <v>0</v>
      </c>
      <c r="G89" s="12">
        <v>0</v>
      </c>
      <c r="H89" s="12">
        <v>0</v>
      </c>
      <c r="I89" s="12">
        <v>0</v>
      </c>
      <c r="J89" s="12">
        <v>0</v>
      </c>
      <c r="K89" s="12">
        <v>2258.3514421999998</v>
      </c>
      <c r="L89" s="12">
        <v>2258.3514421999998</v>
      </c>
      <c r="M89" s="12">
        <v>5482.1145971999995</v>
      </c>
      <c r="N89" s="12">
        <v>70662.631169699991</v>
      </c>
      <c r="O89" s="12">
        <v>70662.631169699991</v>
      </c>
      <c r="P89" s="12">
        <v>70662.631169699991</v>
      </c>
      <c r="Q89" s="12">
        <v>753.8156009999999</v>
      </c>
      <c r="R89" s="12">
        <v>753.8156009999999</v>
      </c>
      <c r="S89" t="s">
        <v>5</v>
      </c>
      <c r="T89" t="s">
        <v>26</v>
      </c>
      <c r="U89" s="324"/>
      <c r="V89" s="12"/>
      <c r="W89" s="12"/>
      <c r="X89" s="292"/>
    </row>
    <row r="90" spans="1:24">
      <c r="A90" s="13" t="s">
        <v>323</v>
      </c>
      <c r="B90" s="12" t="s">
        <v>550</v>
      </c>
      <c r="C90" s="12">
        <v>0</v>
      </c>
      <c r="D90" s="12">
        <v>0</v>
      </c>
      <c r="E90" s="12">
        <v>0</v>
      </c>
      <c r="F90" s="12">
        <v>0</v>
      </c>
      <c r="G90" s="12">
        <v>0</v>
      </c>
      <c r="H90" s="12">
        <v>0</v>
      </c>
      <c r="I90" s="12">
        <v>0</v>
      </c>
      <c r="J90" s="12">
        <v>0</v>
      </c>
      <c r="K90" s="12">
        <v>1324.7225299000002</v>
      </c>
      <c r="L90" s="12">
        <v>1324.7225299000002</v>
      </c>
      <c r="M90" s="12">
        <v>3295.5037456</v>
      </c>
      <c r="N90" s="12">
        <v>11326.775926599999</v>
      </c>
      <c r="O90" s="12">
        <v>11326.775926599999</v>
      </c>
      <c r="P90" s="12">
        <v>11326.775926599999</v>
      </c>
      <c r="Q90" s="12">
        <v>120.517607</v>
      </c>
      <c r="R90" s="12">
        <v>120.517607</v>
      </c>
      <c r="S90" t="s">
        <v>3</v>
      </c>
      <c r="T90" t="s">
        <v>26</v>
      </c>
      <c r="U90" s="324"/>
      <c r="V90" s="12"/>
      <c r="W90" s="12"/>
      <c r="X90" s="292"/>
    </row>
    <row r="91" spans="1:24">
      <c r="A91" t="s">
        <v>316</v>
      </c>
      <c r="B91" s="12" t="s">
        <v>550</v>
      </c>
      <c r="C91" s="12">
        <v>959.50170479999997</v>
      </c>
      <c r="D91" s="12">
        <v>959.50170479999997</v>
      </c>
      <c r="E91" s="12">
        <v>959.50170479999997</v>
      </c>
      <c r="F91" s="12">
        <v>959.50170479999997</v>
      </c>
      <c r="G91" s="12">
        <v>824.88806899999997</v>
      </c>
      <c r="H91" s="12">
        <v>824.88806899999997</v>
      </c>
      <c r="I91" s="12">
        <v>824.88806899999997</v>
      </c>
      <c r="J91" s="12">
        <v>824.88806899999997</v>
      </c>
      <c r="K91" s="12">
        <v>955.3384784000001</v>
      </c>
      <c r="L91" s="12">
        <v>955.3384784000001</v>
      </c>
      <c r="M91" s="12">
        <v>-173.07467459999998</v>
      </c>
      <c r="N91" s="12">
        <v>282.38499539999998</v>
      </c>
      <c r="O91" s="12">
        <v>282.38499539999998</v>
      </c>
      <c r="P91" s="12">
        <v>282.38499539999998</v>
      </c>
      <c r="Q91" s="12">
        <v>-166.09149200000002</v>
      </c>
      <c r="R91" s="12">
        <v>-166.09149200000002</v>
      </c>
      <c r="S91" t="s">
        <v>3</v>
      </c>
      <c r="T91" t="s">
        <v>26</v>
      </c>
      <c r="U91" s="324"/>
      <c r="V91" s="12"/>
      <c r="W91" s="12"/>
      <c r="X91" s="292"/>
    </row>
    <row r="92" spans="1:24">
      <c r="A92" t="s">
        <v>22</v>
      </c>
      <c r="B92" s="12" t="s">
        <v>565</v>
      </c>
      <c r="C92" s="12">
        <v>10384.438789999989</v>
      </c>
      <c r="D92" s="12">
        <v>10384.438789999989</v>
      </c>
      <c r="E92" s="12">
        <v>10384.438789999989</v>
      </c>
      <c r="F92" s="12">
        <v>10384.438789999989</v>
      </c>
      <c r="G92" s="12">
        <v>14512.247960000124</v>
      </c>
      <c r="H92" s="12">
        <v>14512.247960000124</v>
      </c>
      <c r="I92" s="12">
        <v>14512.247960000124</v>
      </c>
      <c r="J92" s="12">
        <v>14512.247960000124</v>
      </c>
      <c r="K92" s="12">
        <v>13108.984509999978</v>
      </c>
      <c r="L92" s="12">
        <v>13108.984509999978</v>
      </c>
      <c r="M92" s="12">
        <v>17468.285040000002</v>
      </c>
      <c r="N92" s="12">
        <v>21772.850630000012</v>
      </c>
      <c r="O92" s="12">
        <v>21772.850630000012</v>
      </c>
      <c r="P92" s="12">
        <v>21772.850630000012</v>
      </c>
      <c r="Q92" s="12">
        <v>23803.573559999997</v>
      </c>
      <c r="R92" s="12">
        <v>23803.573559999997</v>
      </c>
      <c r="S92" t="s">
        <v>5</v>
      </c>
      <c r="T92" t="s">
        <v>24</v>
      </c>
      <c r="U92" s="324"/>
      <c r="V92" s="12"/>
      <c r="W92" s="12"/>
      <c r="X92" s="292"/>
    </row>
    <row r="93" spans="1:24">
      <c r="A93" s="13" t="s">
        <v>43</v>
      </c>
      <c r="B93" s="12" t="s">
        <v>566</v>
      </c>
      <c r="C93" s="12">
        <v>-1006.6484500001117</v>
      </c>
      <c r="D93" s="12">
        <v>-1006.6484500001117</v>
      </c>
      <c r="E93" s="12">
        <v>-1006.6484500001117</v>
      </c>
      <c r="F93" s="12">
        <v>-1006.6484500001117</v>
      </c>
      <c r="G93" s="12">
        <v>-2412.1108600000562</v>
      </c>
      <c r="H93" s="12">
        <v>-2412.1108600000562</v>
      </c>
      <c r="I93" s="12">
        <v>-2412.1108600000562</v>
      </c>
      <c r="J93" s="12">
        <v>-2412.1108600000562</v>
      </c>
      <c r="K93" s="12">
        <v>-2771.0864299999776</v>
      </c>
      <c r="L93" s="12">
        <v>-2771.0864299999776</v>
      </c>
      <c r="M93" s="12">
        <v>-1178.0985599999967</v>
      </c>
      <c r="N93" s="12">
        <v>-1423.5695200000023</v>
      </c>
      <c r="O93" s="12">
        <v>-1423.5695200000023</v>
      </c>
      <c r="P93" s="12">
        <v>-1423.5695200000023</v>
      </c>
      <c r="Q93" s="12">
        <v>-1046.2193100000015</v>
      </c>
      <c r="R93" s="12">
        <v>-1046.2193100000015</v>
      </c>
      <c r="S93" t="s">
        <v>3</v>
      </c>
      <c r="T93" t="s">
        <v>24</v>
      </c>
      <c r="U93" s="324"/>
      <c r="V93" s="12"/>
      <c r="W93" s="12"/>
      <c r="X93" s="292"/>
    </row>
    <row r="94" spans="1:24">
      <c r="A94" s="13" t="s">
        <v>44</v>
      </c>
      <c r="B94" s="12" t="s">
        <v>566</v>
      </c>
      <c r="C94" s="12">
        <v>23000.546209997989</v>
      </c>
      <c r="D94" s="12">
        <v>23000.546209997989</v>
      </c>
      <c r="E94" s="12">
        <v>23000.546209997989</v>
      </c>
      <c r="F94" s="12">
        <v>23000.546209997989</v>
      </c>
      <c r="G94" s="12">
        <v>6461.6487400032402</v>
      </c>
      <c r="H94" s="12">
        <v>6461.6487400032402</v>
      </c>
      <c r="I94" s="12">
        <v>6461.6487400032402</v>
      </c>
      <c r="J94" s="12">
        <v>6461.6487400032402</v>
      </c>
      <c r="K94" s="12">
        <v>-9516.3053999996482</v>
      </c>
      <c r="L94" s="12">
        <v>-9516.3053999996482</v>
      </c>
      <c r="M94" s="12">
        <v>8785.1610399999317</v>
      </c>
      <c r="N94" s="12">
        <v>7929.8560599999728</v>
      </c>
      <c r="O94" s="12">
        <v>7929.8560599999728</v>
      </c>
      <c r="P94" s="12">
        <v>7929.8560599999728</v>
      </c>
      <c r="Q94" s="12">
        <v>2801.1993099999727</v>
      </c>
      <c r="R94" s="12">
        <v>2801.1993099999727</v>
      </c>
      <c r="S94" t="s">
        <v>3</v>
      </c>
      <c r="T94" t="s">
        <v>24</v>
      </c>
      <c r="U94" s="324"/>
      <c r="V94" s="12"/>
      <c r="W94" s="12"/>
      <c r="X94" s="292"/>
    </row>
    <row r="95" spans="1:24">
      <c r="A95" s="13" t="s">
        <v>45</v>
      </c>
      <c r="B95" s="12" t="s">
        <v>567</v>
      </c>
      <c r="C95" s="12">
        <v>191.3576699999968</v>
      </c>
      <c r="D95" s="12">
        <v>191.3576699999968</v>
      </c>
      <c r="E95" s="12">
        <v>191.3576699999968</v>
      </c>
      <c r="F95" s="12">
        <v>191.3576699999968</v>
      </c>
      <c r="G95" s="12">
        <v>52.435750000001498</v>
      </c>
      <c r="H95" s="12">
        <v>52.435750000001498</v>
      </c>
      <c r="I95" s="12">
        <v>52.435750000001498</v>
      </c>
      <c r="J95" s="12">
        <v>52.435750000001498</v>
      </c>
      <c r="K95" s="12">
        <v>924.59608999999921</v>
      </c>
      <c r="L95" s="12">
        <v>924.59608999999921</v>
      </c>
      <c r="M95" s="12">
        <v>455.58558000001125</v>
      </c>
      <c r="N95" s="12">
        <v>329.55970000000065</v>
      </c>
      <c r="O95" s="12">
        <v>329.55970000000065</v>
      </c>
      <c r="P95" s="12">
        <v>329.55970000000065</v>
      </c>
      <c r="Q95" s="12">
        <v>184.03196999999997</v>
      </c>
      <c r="R95" s="12">
        <v>184.03196999999997</v>
      </c>
      <c r="S95" t="s">
        <v>3</v>
      </c>
      <c r="T95" t="s">
        <v>24</v>
      </c>
      <c r="U95" s="324"/>
      <c r="V95" s="12"/>
      <c r="W95" s="12"/>
      <c r="X95" s="292"/>
    </row>
    <row r="96" spans="1:24">
      <c r="A96" s="13" t="s">
        <v>46</v>
      </c>
      <c r="B96" s="12" t="s">
        <v>565</v>
      </c>
      <c r="C96" s="12">
        <v>-106.41925999997184</v>
      </c>
      <c r="D96" s="12">
        <v>-106.41925999997184</v>
      </c>
      <c r="E96" s="12">
        <v>-106.41925999997184</v>
      </c>
      <c r="F96" s="12">
        <v>-106.41925999997184</v>
      </c>
      <c r="G96" s="12">
        <v>317.79030000004639</v>
      </c>
      <c r="H96" s="12">
        <v>317.79030000004639</v>
      </c>
      <c r="I96" s="12">
        <v>317.79030000004639</v>
      </c>
      <c r="J96" s="12">
        <v>317.79030000004639</v>
      </c>
      <c r="K96" s="12">
        <v>-290.2039800000079</v>
      </c>
      <c r="L96" s="12">
        <v>-290.2039800000079</v>
      </c>
      <c r="M96" s="12">
        <v>103.88005999999493</v>
      </c>
      <c r="N96" s="12">
        <v>1346.6115899999961</v>
      </c>
      <c r="O96" s="12">
        <v>1346.6115899999961</v>
      </c>
      <c r="P96" s="12">
        <v>1346.6115899999961</v>
      </c>
      <c r="Q96" s="12">
        <v>1756.5771699999907</v>
      </c>
      <c r="R96" s="12">
        <v>1756.5771699999907</v>
      </c>
      <c r="S96" t="s">
        <v>3</v>
      </c>
      <c r="T96" t="s">
        <v>24</v>
      </c>
      <c r="U96" s="324"/>
      <c r="V96" s="12"/>
      <c r="W96" s="12"/>
      <c r="X96" s="292"/>
    </row>
    <row r="97" spans="1:24">
      <c r="A97" s="14" t="s">
        <v>47</v>
      </c>
      <c r="B97" s="12" t="s">
        <v>568</v>
      </c>
      <c r="C97" s="12">
        <v>-218.36895000001789</v>
      </c>
      <c r="D97" s="12">
        <v>-218.36895000001789</v>
      </c>
      <c r="E97" s="12">
        <v>-218.36895000001789</v>
      </c>
      <c r="F97" s="12">
        <v>-218.36895000001789</v>
      </c>
      <c r="G97" s="12">
        <v>615.40979000003267</v>
      </c>
      <c r="H97" s="12">
        <v>615.40979000003267</v>
      </c>
      <c r="I97" s="12">
        <v>615.40979000003267</v>
      </c>
      <c r="J97" s="12">
        <v>615.40979000003267</v>
      </c>
      <c r="K97" s="12">
        <v>418.28167999988051</v>
      </c>
      <c r="L97" s="12">
        <v>418.28167999988051</v>
      </c>
      <c r="M97" s="12">
        <v>1447.6496099999938</v>
      </c>
      <c r="N97" s="12">
        <v>477.35870999999997</v>
      </c>
      <c r="O97" s="12">
        <v>477.35870999999997</v>
      </c>
      <c r="P97" s="12">
        <v>477.35870999999997</v>
      </c>
      <c r="Q97" s="12">
        <v>293.14443999999946</v>
      </c>
      <c r="R97" s="12">
        <v>293.14443999999946</v>
      </c>
      <c r="S97" t="s">
        <v>3</v>
      </c>
      <c r="T97" t="s">
        <v>24</v>
      </c>
      <c r="U97" s="324"/>
      <c r="V97" s="12"/>
      <c r="W97" s="12"/>
      <c r="X97" s="292"/>
    </row>
    <row r="98" spans="1:24">
      <c r="A98" s="14" t="s">
        <v>48</v>
      </c>
      <c r="B98" s="12" t="s">
        <v>568</v>
      </c>
      <c r="C98" s="12">
        <v>14155.425600007415</v>
      </c>
      <c r="D98" s="12">
        <v>14155.425600007415</v>
      </c>
      <c r="E98" s="12">
        <v>14155.425600007415</v>
      </c>
      <c r="F98" s="12">
        <v>14155.425600007415</v>
      </c>
      <c r="G98" s="12">
        <v>7976.6311100022194</v>
      </c>
      <c r="H98" s="12">
        <v>7976.6311100022194</v>
      </c>
      <c r="I98" s="12">
        <v>7976.6311100022194</v>
      </c>
      <c r="J98" s="12">
        <v>7976.6311100022194</v>
      </c>
      <c r="K98" s="12">
        <v>3865.5688600117564</v>
      </c>
      <c r="L98" s="12">
        <v>3865.5688600117564</v>
      </c>
      <c r="M98" s="12">
        <v>5532.6434999999701</v>
      </c>
      <c r="N98" s="12">
        <v>1773.2363299999981</v>
      </c>
      <c r="O98" s="12">
        <v>1773.2363299999981</v>
      </c>
      <c r="P98" s="12">
        <v>1773.2363299999981</v>
      </c>
      <c r="Q98" s="12">
        <v>1877.2533700000047</v>
      </c>
      <c r="R98" s="12">
        <v>1877.2533700000047</v>
      </c>
      <c r="S98" t="s">
        <v>3</v>
      </c>
      <c r="T98" t="s">
        <v>24</v>
      </c>
      <c r="U98" s="324"/>
      <c r="V98" s="12"/>
      <c r="W98" s="12"/>
      <c r="X98" s="292"/>
    </row>
    <row r="99" spans="1:24">
      <c r="A99" s="14" t="s">
        <v>49</v>
      </c>
      <c r="B99" s="12" t="s">
        <v>568</v>
      </c>
      <c r="C99" s="12">
        <v>14.466140000000014</v>
      </c>
      <c r="D99" s="12">
        <v>14.466140000000014</v>
      </c>
      <c r="E99" s="12">
        <v>14.466140000000014</v>
      </c>
      <c r="F99" s="12">
        <v>14.466140000000014</v>
      </c>
      <c r="G99" s="12">
        <v>5.1695499999999885</v>
      </c>
      <c r="H99" s="12">
        <v>5.1695499999999885</v>
      </c>
      <c r="I99" s="12">
        <v>5.1695499999999885</v>
      </c>
      <c r="J99" s="12">
        <v>5.1695499999999885</v>
      </c>
      <c r="K99" s="12">
        <v>5.3989899999999329</v>
      </c>
      <c r="L99" s="12">
        <v>5.3989899999999329</v>
      </c>
      <c r="M99" s="12">
        <v>22.662190000000002</v>
      </c>
      <c r="N99" s="12">
        <v>9.902400000000009</v>
      </c>
      <c r="O99" s="12">
        <v>9.902400000000009</v>
      </c>
      <c r="P99" s="12">
        <v>9.902400000000009</v>
      </c>
      <c r="Q99" s="12">
        <v>6.0792299999999964</v>
      </c>
      <c r="R99" s="12">
        <v>6.0792299999999964</v>
      </c>
      <c r="S99" t="s">
        <v>3</v>
      </c>
      <c r="T99" t="s">
        <v>24</v>
      </c>
      <c r="U99" s="324"/>
      <c r="V99" s="12"/>
      <c r="W99" s="12"/>
      <c r="X99" s="292"/>
    </row>
    <row r="100" spans="1:24">
      <c r="A100" s="14" t="s">
        <v>54</v>
      </c>
      <c r="B100" s="12" t="s">
        <v>494</v>
      </c>
      <c r="C100" s="12">
        <v>-2901.6067196047434</v>
      </c>
      <c r="D100" s="12">
        <v>-2901.6067196047434</v>
      </c>
      <c r="E100" s="12">
        <v>-2901.6067196047434</v>
      </c>
      <c r="F100" s="12">
        <v>-2901.6067196047434</v>
      </c>
      <c r="G100" s="12">
        <v>-2901.6067196047434</v>
      </c>
      <c r="H100" s="12">
        <v>-1656.5705868665918</v>
      </c>
      <c r="I100" s="12">
        <v>-1656.5705868665918</v>
      </c>
      <c r="J100" s="12">
        <v>-1656.5705868665918</v>
      </c>
      <c r="K100" s="12">
        <v>0</v>
      </c>
      <c r="L100" s="12">
        <v>0</v>
      </c>
      <c r="M100" s="12">
        <v>0</v>
      </c>
      <c r="N100" s="12">
        <v>0</v>
      </c>
      <c r="O100" s="12">
        <v>0</v>
      </c>
      <c r="P100" s="12">
        <v>0</v>
      </c>
      <c r="Q100" s="12">
        <v>0</v>
      </c>
      <c r="R100" s="12">
        <v>0</v>
      </c>
      <c r="S100" t="s">
        <v>98</v>
      </c>
      <c r="T100" t="s">
        <v>24</v>
      </c>
      <c r="U100" s="324"/>
      <c r="V100" s="12"/>
      <c r="W100" s="12"/>
      <c r="X100" s="292"/>
    </row>
    <row r="101" spans="1:24">
      <c r="A101" s="14" t="s">
        <v>55</v>
      </c>
      <c r="B101" s="12" t="s">
        <v>553</v>
      </c>
      <c r="C101" s="12">
        <v>-87310.418381812095</v>
      </c>
      <c r="D101" s="12">
        <v>-87310.418381812095</v>
      </c>
      <c r="E101" s="12">
        <v>-87310.418381812095</v>
      </c>
      <c r="F101" s="12">
        <v>-87310.418381812095</v>
      </c>
      <c r="G101" s="12">
        <v>-87310.418381812095</v>
      </c>
      <c r="H101" s="12">
        <v>-93536.339217096684</v>
      </c>
      <c r="I101" s="12">
        <v>-93536.339217096684</v>
      </c>
      <c r="J101" s="12">
        <v>-93536.339217096684</v>
      </c>
      <c r="K101" s="12">
        <v>-190908.3696552389</v>
      </c>
      <c r="L101" s="12">
        <v>-190908.3696552389</v>
      </c>
      <c r="M101" s="12">
        <v>-182489.27020956861</v>
      </c>
      <c r="N101" s="12">
        <v>-232593.89170328664</v>
      </c>
      <c r="O101" s="12">
        <v>-232593.89170328664</v>
      </c>
      <c r="P101" s="12">
        <v>-232593.89170328664</v>
      </c>
      <c r="Q101" s="12">
        <v>-246532.22998150348</v>
      </c>
      <c r="R101" s="12">
        <v>-246532.22998150348</v>
      </c>
      <c r="S101" t="s">
        <v>98</v>
      </c>
      <c r="T101" t="s">
        <v>24</v>
      </c>
      <c r="U101" s="324"/>
      <c r="V101" s="12"/>
      <c r="W101" s="12"/>
      <c r="X101" s="292"/>
    </row>
    <row r="102" spans="1:24">
      <c r="A102" t="s">
        <v>270</v>
      </c>
      <c r="B102" s="12" t="s">
        <v>569</v>
      </c>
      <c r="C102" s="12">
        <v>115112.231</v>
      </c>
      <c r="D102" s="12">
        <v>115112.231</v>
      </c>
      <c r="E102" s="12">
        <v>115112.231</v>
      </c>
      <c r="F102" s="12">
        <v>115112.231</v>
      </c>
      <c r="G102" s="12">
        <v>128081.288</v>
      </c>
      <c r="H102" s="12">
        <v>128081.288</v>
      </c>
      <c r="I102" s="12">
        <v>128081.288</v>
      </c>
      <c r="J102" s="12">
        <v>128081.288</v>
      </c>
      <c r="K102" s="12">
        <v>144870.24400000001</v>
      </c>
      <c r="L102" s="12">
        <v>144870.24400000001</v>
      </c>
      <c r="M102" s="12">
        <v>186051.41</v>
      </c>
      <c r="N102" s="12">
        <v>220326.85200000001</v>
      </c>
      <c r="O102" s="12">
        <v>220326.85200000001</v>
      </c>
      <c r="P102" s="12">
        <v>220326.85200000001</v>
      </c>
      <c r="Q102" s="12">
        <v>210348.519</v>
      </c>
      <c r="R102" s="12">
        <v>210348.519</v>
      </c>
      <c r="S102" t="s">
        <v>100</v>
      </c>
      <c r="T102" t="s">
        <v>24</v>
      </c>
      <c r="U102" s="324"/>
      <c r="V102" s="12"/>
      <c r="W102" s="12"/>
      <c r="X102" s="292"/>
    </row>
    <row r="103" spans="1:24">
      <c r="A103" t="s">
        <v>61</v>
      </c>
      <c r="B103" s="12" t="s">
        <v>569</v>
      </c>
      <c r="C103" s="12">
        <v>15145.043</v>
      </c>
      <c r="D103" s="12">
        <v>15145.043</v>
      </c>
      <c r="E103" s="12">
        <v>15145.043</v>
      </c>
      <c r="F103" s="12">
        <v>15145.043</v>
      </c>
      <c r="G103" s="12">
        <v>0</v>
      </c>
      <c r="H103" s="12">
        <v>0</v>
      </c>
      <c r="I103" s="12">
        <v>0</v>
      </c>
      <c r="J103" s="12">
        <v>0</v>
      </c>
      <c r="K103" s="12">
        <v>4191.1350000000002</v>
      </c>
      <c r="L103" s="12">
        <v>4191.1350000000002</v>
      </c>
      <c r="M103" s="12">
        <v>14728.338</v>
      </c>
      <c r="N103" s="12">
        <v>16389.363000000001</v>
      </c>
      <c r="O103" s="12">
        <v>16389.363000000001</v>
      </c>
      <c r="P103" s="12">
        <v>16389.363000000001</v>
      </c>
      <c r="Q103" s="12">
        <v>17427.594000000001</v>
      </c>
      <c r="R103" s="12">
        <v>17427.594000000001</v>
      </c>
      <c r="S103" t="s">
        <v>100</v>
      </c>
      <c r="T103" t="s">
        <v>24</v>
      </c>
      <c r="U103" s="324"/>
      <c r="V103" s="12"/>
      <c r="W103" s="12"/>
      <c r="X103" s="292"/>
    </row>
    <row r="104" spans="1:24">
      <c r="A104" t="s">
        <v>435</v>
      </c>
      <c r="B104" s="12" t="s">
        <v>569</v>
      </c>
      <c r="C104" s="12">
        <v>84166.665600000008</v>
      </c>
      <c r="D104" s="12">
        <v>84166.665600000008</v>
      </c>
      <c r="E104" s="12">
        <v>84166.665600000008</v>
      </c>
      <c r="F104" s="12">
        <v>84166.665600000008</v>
      </c>
      <c r="G104" s="12">
        <v>77750.887799999997</v>
      </c>
      <c r="H104" s="12">
        <v>77750.887799999997</v>
      </c>
      <c r="I104" s="12">
        <v>77750.887799999997</v>
      </c>
      <c r="J104" s="12">
        <v>77750.887799999997</v>
      </c>
      <c r="K104" s="12">
        <v>80275.317999999999</v>
      </c>
      <c r="L104" s="12">
        <v>80275.317999999999</v>
      </c>
      <c r="M104" s="12">
        <v>117574.094</v>
      </c>
      <c r="N104" s="12">
        <v>56297.355000000003</v>
      </c>
      <c r="O104" s="12">
        <v>56297.355000000003</v>
      </c>
      <c r="P104" s="12">
        <v>56297.355000000003</v>
      </c>
      <c r="Q104" s="12">
        <v>48660.707999999999</v>
      </c>
      <c r="R104" s="12">
        <v>48660.707999999999</v>
      </c>
      <c r="S104" t="s">
        <v>100</v>
      </c>
      <c r="T104" t="s">
        <v>24</v>
      </c>
      <c r="U104" s="324"/>
      <c r="V104" s="12"/>
      <c r="W104" s="12"/>
      <c r="X104" s="292"/>
    </row>
    <row r="105" spans="1:24">
      <c r="A105" t="s">
        <v>62</v>
      </c>
      <c r="B105" s="12" t="s">
        <v>569</v>
      </c>
      <c r="C105" s="12">
        <v>16280</v>
      </c>
      <c r="D105" s="12">
        <v>16280</v>
      </c>
      <c r="E105" s="12">
        <v>16280</v>
      </c>
      <c r="F105" s="12">
        <v>16280</v>
      </c>
      <c r="G105" s="12">
        <v>13024</v>
      </c>
      <c r="H105" s="12">
        <v>13024</v>
      </c>
      <c r="I105" s="12">
        <v>13024</v>
      </c>
      <c r="J105" s="12">
        <v>13024</v>
      </c>
      <c r="K105" s="12">
        <v>19157.599999999995</v>
      </c>
      <c r="L105" s="12">
        <v>19157.599999999995</v>
      </c>
      <c r="M105" s="12">
        <v>16279.999999999998</v>
      </c>
      <c r="N105" s="12">
        <v>16279.999999999998</v>
      </c>
      <c r="O105" s="12">
        <v>16279.999999999998</v>
      </c>
      <c r="P105" s="12">
        <v>16279.999999999998</v>
      </c>
      <c r="Q105" s="12">
        <v>16279.999999999998</v>
      </c>
      <c r="R105" s="12">
        <v>16279.999999999998</v>
      </c>
      <c r="S105" t="s">
        <v>100</v>
      </c>
      <c r="T105" t="s">
        <v>24</v>
      </c>
      <c r="U105" s="324"/>
      <c r="V105" s="12"/>
      <c r="W105" s="12"/>
      <c r="X105" s="292"/>
    </row>
    <row r="106" spans="1:24">
      <c r="A106" t="s">
        <v>63</v>
      </c>
      <c r="B106" s="12" t="s">
        <v>569</v>
      </c>
      <c r="C106" s="12">
        <v>2601.8919999999998</v>
      </c>
      <c r="D106" s="12">
        <v>2601.8919999999998</v>
      </c>
      <c r="E106" s="12">
        <v>2601.8919999999998</v>
      </c>
      <c r="F106" s="12">
        <v>2601.8919999999998</v>
      </c>
      <c r="G106" s="12">
        <v>3458</v>
      </c>
      <c r="H106" s="12">
        <v>3458</v>
      </c>
      <c r="I106" s="12">
        <v>3458</v>
      </c>
      <c r="J106" s="12">
        <v>3458</v>
      </c>
      <c r="K106" s="12">
        <v>4414.4930000000004</v>
      </c>
      <c r="L106" s="12">
        <v>4414.4930000000004</v>
      </c>
      <c r="M106" s="12">
        <v>4783.058</v>
      </c>
      <c r="N106" s="12">
        <v>5102.9219999999996</v>
      </c>
      <c r="O106" s="12">
        <v>5102.9219999999996</v>
      </c>
      <c r="P106" s="12">
        <v>5102.9219999999996</v>
      </c>
      <c r="Q106" s="12">
        <v>4267.1790000000001</v>
      </c>
      <c r="R106" s="12">
        <v>4267.1790000000001</v>
      </c>
      <c r="S106" t="s">
        <v>100</v>
      </c>
      <c r="T106" t="s">
        <v>24</v>
      </c>
      <c r="U106" s="324"/>
      <c r="V106" s="12"/>
      <c r="W106" s="12"/>
      <c r="X106" s="292"/>
    </row>
    <row r="107" spans="1:24">
      <c r="A107" t="s">
        <v>64</v>
      </c>
      <c r="B107" s="12" t="s">
        <v>570</v>
      </c>
      <c r="C107" s="12">
        <v>0</v>
      </c>
      <c r="D107" s="12">
        <v>26759.200000000001</v>
      </c>
      <c r="E107" s="12">
        <v>26759.200000000001</v>
      </c>
      <c r="F107" s="12">
        <v>26759.200000000001</v>
      </c>
      <c r="G107" s="12">
        <v>20069.400000000001</v>
      </c>
      <c r="H107" s="12">
        <v>20069.400000000001</v>
      </c>
      <c r="I107" s="12">
        <v>20069.400000000001</v>
      </c>
      <c r="J107" s="12">
        <v>20069.400000000001</v>
      </c>
      <c r="K107" s="12">
        <v>20069.400000000001</v>
      </c>
      <c r="L107" s="12">
        <v>20069.400000000001</v>
      </c>
      <c r="M107" s="12">
        <v>20069.400000000001</v>
      </c>
      <c r="N107" s="12">
        <v>22022.400000000001</v>
      </c>
      <c r="O107" s="12">
        <v>22022.400000000001</v>
      </c>
      <c r="P107" s="12">
        <v>22022.400000000001</v>
      </c>
      <c r="Q107" s="12">
        <v>0</v>
      </c>
      <c r="R107" s="12">
        <v>0</v>
      </c>
      <c r="S107" t="s">
        <v>100</v>
      </c>
      <c r="T107" t="s">
        <v>24</v>
      </c>
      <c r="U107" s="324"/>
      <c r="V107" s="12"/>
      <c r="W107" s="12"/>
      <c r="X107" s="292"/>
    </row>
    <row r="108" spans="1:24">
      <c r="A108" t="s">
        <v>65</v>
      </c>
      <c r="B108" s="12" t="s">
        <v>494</v>
      </c>
      <c r="C108" s="12">
        <v>0</v>
      </c>
      <c r="D108" s="12">
        <v>0</v>
      </c>
      <c r="E108" s="12">
        <v>0</v>
      </c>
      <c r="F108" s="12">
        <v>0</v>
      </c>
      <c r="G108" s="12">
        <v>0</v>
      </c>
      <c r="H108" s="12">
        <v>0</v>
      </c>
      <c r="I108" s="12">
        <v>0</v>
      </c>
      <c r="J108" s="12">
        <v>0</v>
      </c>
      <c r="K108" s="12">
        <v>0</v>
      </c>
      <c r="L108" s="12">
        <v>0</v>
      </c>
      <c r="M108" s="12">
        <v>0</v>
      </c>
      <c r="N108" s="12">
        <v>0</v>
      </c>
      <c r="O108" s="12">
        <v>0</v>
      </c>
      <c r="P108" s="12">
        <v>0</v>
      </c>
      <c r="Q108" s="12">
        <v>0</v>
      </c>
      <c r="R108" s="12">
        <v>0</v>
      </c>
      <c r="S108" t="s">
        <v>100</v>
      </c>
      <c r="T108" t="s">
        <v>24</v>
      </c>
      <c r="U108" s="324"/>
      <c r="V108" s="12"/>
      <c r="W108" s="12"/>
      <c r="X108" s="292"/>
    </row>
    <row r="109" spans="1:24">
      <c r="A109" t="s">
        <v>66</v>
      </c>
      <c r="B109" s="12" t="s">
        <v>569</v>
      </c>
      <c r="C109" s="12">
        <v>32.645000000000003</v>
      </c>
      <c r="D109" s="12">
        <v>32.645000000000003</v>
      </c>
      <c r="E109" s="12">
        <v>32.645000000000003</v>
      </c>
      <c r="F109" s="12">
        <v>32.645000000000003</v>
      </c>
      <c r="G109" s="12">
        <v>31</v>
      </c>
      <c r="H109" s="12">
        <v>31</v>
      </c>
      <c r="I109" s="12">
        <v>31</v>
      </c>
      <c r="J109" s="12">
        <v>31</v>
      </c>
      <c r="K109" s="12">
        <v>41.46</v>
      </c>
      <c r="L109" s="12">
        <v>41.46</v>
      </c>
      <c r="M109" s="12">
        <v>35.700000000000003</v>
      </c>
      <c r="N109" s="12">
        <v>32</v>
      </c>
      <c r="O109" s="12">
        <v>32</v>
      </c>
      <c r="P109" s="12">
        <v>32</v>
      </c>
      <c r="Q109" s="12">
        <v>32</v>
      </c>
      <c r="R109" s="12">
        <v>32</v>
      </c>
      <c r="S109" t="s">
        <v>100</v>
      </c>
      <c r="T109" t="s">
        <v>24</v>
      </c>
      <c r="U109" s="324"/>
      <c r="V109" s="12"/>
      <c r="W109" s="12"/>
      <c r="X109" s="292"/>
    </row>
    <row r="110" spans="1:24">
      <c r="A110" t="s">
        <v>241</v>
      </c>
      <c r="B110" s="12" t="s">
        <v>494</v>
      </c>
      <c r="C110" s="12">
        <v>0</v>
      </c>
      <c r="D110" s="12">
        <v>0</v>
      </c>
      <c r="E110" s="12">
        <v>0</v>
      </c>
      <c r="F110" s="12">
        <v>0</v>
      </c>
      <c r="G110" s="12">
        <v>2079</v>
      </c>
      <c r="H110" s="12">
        <v>2079</v>
      </c>
      <c r="I110" s="12">
        <v>2079</v>
      </c>
      <c r="J110" s="12">
        <v>2079</v>
      </c>
      <c r="K110" s="12">
        <v>0</v>
      </c>
      <c r="L110" s="12">
        <v>0</v>
      </c>
      <c r="M110" s="12">
        <v>0</v>
      </c>
      <c r="N110" s="12">
        <v>0</v>
      </c>
      <c r="O110" s="12">
        <v>0</v>
      </c>
      <c r="P110" s="12">
        <v>0</v>
      </c>
      <c r="Q110" s="12">
        <v>0</v>
      </c>
      <c r="R110" s="12">
        <v>0</v>
      </c>
      <c r="S110" t="s">
        <v>100</v>
      </c>
      <c r="T110" t="s">
        <v>24</v>
      </c>
      <c r="U110" s="324"/>
      <c r="V110" s="12"/>
      <c r="W110" s="12"/>
      <c r="X110" s="292"/>
    </row>
    <row r="111" spans="1:24">
      <c r="A111" t="s">
        <v>242</v>
      </c>
      <c r="B111" s="12" t="s">
        <v>494</v>
      </c>
      <c r="C111" s="12">
        <v>0</v>
      </c>
      <c r="D111" s="12">
        <v>0</v>
      </c>
      <c r="E111" s="12">
        <v>0</v>
      </c>
      <c r="F111" s="12">
        <v>0</v>
      </c>
      <c r="G111" s="12">
        <v>1464</v>
      </c>
      <c r="H111" s="12">
        <v>1464</v>
      </c>
      <c r="I111" s="12">
        <v>1464</v>
      </c>
      <c r="J111" s="12">
        <v>1464</v>
      </c>
      <c r="K111" s="12">
        <v>1100</v>
      </c>
      <c r="L111" s="12">
        <v>1100</v>
      </c>
      <c r="M111" s="12">
        <v>0</v>
      </c>
      <c r="N111" s="12">
        <v>0</v>
      </c>
      <c r="O111" s="12">
        <v>0</v>
      </c>
      <c r="P111" s="12">
        <v>0</v>
      </c>
      <c r="Q111" s="12">
        <v>0</v>
      </c>
      <c r="R111" s="12">
        <v>0</v>
      </c>
      <c r="S111" t="s">
        <v>100</v>
      </c>
      <c r="T111" t="s">
        <v>24</v>
      </c>
      <c r="U111" s="324"/>
      <c r="V111" s="12"/>
      <c r="W111" s="12"/>
      <c r="X111" s="292"/>
    </row>
    <row r="112" spans="1:24">
      <c r="A112" t="s">
        <v>307</v>
      </c>
      <c r="B112" s="12" t="s">
        <v>494</v>
      </c>
      <c r="C112" s="12">
        <v>0</v>
      </c>
      <c r="D112" s="12">
        <v>0</v>
      </c>
      <c r="E112" s="12">
        <v>0</v>
      </c>
      <c r="F112" s="12">
        <v>0</v>
      </c>
      <c r="G112" s="12">
        <v>0</v>
      </c>
      <c r="H112" s="12">
        <v>0</v>
      </c>
      <c r="I112" s="12">
        <v>0</v>
      </c>
      <c r="J112" s="12">
        <v>40867.582000000002</v>
      </c>
      <c r="K112" s="12">
        <v>62899.071711428565</v>
      </c>
      <c r="L112" s="12">
        <v>62899.071711428565</v>
      </c>
      <c r="M112" s="12">
        <v>18884.133900000001</v>
      </c>
      <c r="N112" s="12">
        <v>0</v>
      </c>
      <c r="O112" s="12">
        <v>0</v>
      </c>
      <c r="P112" s="12">
        <v>0</v>
      </c>
      <c r="Q112" s="12">
        <v>0</v>
      </c>
      <c r="R112" s="12">
        <v>0</v>
      </c>
      <c r="S112" t="s">
        <v>100</v>
      </c>
      <c r="T112" t="s">
        <v>24</v>
      </c>
      <c r="U112" s="324"/>
      <c r="V112" s="12"/>
      <c r="W112" s="12"/>
      <c r="X112" s="292"/>
    </row>
    <row r="113" spans="1:24">
      <c r="A113" t="s">
        <v>313</v>
      </c>
      <c r="B113" s="12" t="s">
        <v>494</v>
      </c>
      <c r="C113" s="12">
        <v>0</v>
      </c>
      <c r="D113" s="12">
        <v>0</v>
      </c>
      <c r="E113" s="12">
        <v>0</v>
      </c>
      <c r="F113" s="12">
        <v>0</v>
      </c>
      <c r="G113" s="12">
        <v>0</v>
      </c>
      <c r="H113" s="12">
        <v>0</v>
      </c>
      <c r="I113" s="12">
        <v>0</v>
      </c>
      <c r="J113" s="12">
        <v>0</v>
      </c>
      <c r="K113" s="12">
        <v>0</v>
      </c>
      <c r="L113" s="12">
        <v>0</v>
      </c>
      <c r="M113" s="12">
        <v>0</v>
      </c>
      <c r="N113" s="12">
        <v>0</v>
      </c>
      <c r="O113" s="12">
        <v>0</v>
      </c>
      <c r="P113" s="12">
        <v>0</v>
      </c>
      <c r="Q113" s="12">
        <v>0</v>
      </c>
      <c r="R113" s="12">
        <v>0</v>
      </c>
      <c r="S113" t="s">
        <v>100</v>
      </c>
      <c r="T113" t="s">
        <v>24</v>
      </c>
      <c r="U113" s="324"/>
      <c r="V113" s="12"/>
      <c r="W113" s="12"/>
      <c r="X113" s="292"/>
    </row>
    <row r="114" spans="1:24">
      <c r="A114" t="s">
        <v>314</v>
      </c>
      <c r="B114" s="12" t="s">
        <v>569</v>
      </c>
      <c r="C114" s="12">
        <v>0</v>
      </c>
      <c r="D114" s="12">
        <v>0</v>
      </c>
      <c r="E114" s="12">
        <v>0</v>
      </c>
      <c r="F114" s="12">
        <v>0</v>
      </c>
      <c r="G114" s="12">
        <v>0</v>
      </c>
      <c r="H114" s="12">
        <v>0</v>
      </c>
      <c r="I114" s="12">
        <v>0</v>
      </c>
      <c r="J114" s="12">
        <v>0</v>
      </c>
      <c r="K114" s="12">
        <v>2400</v>
      </c>
      <c r="L114" s="12">
        <v>2400</v>
      </c>
      <c r="M114" s="12">
        <v>3200</v>
      </c>
      <c r="N114" s="12">
        <v>0</v>
      </c>
      <c r="O114" s="12">
        <v>0</v>
      </c>
      <c r="P114" s="12">
        <v>0</v>
      </c>
      <c r="Q114" s="12">
        <v>4400</v>
      </c>
      <c r="R114" s="12">
        <v>4400</v>
      </c>
      <c r="S114" t="s">
        <v>100</v>
      </c>
      <c r="T114" t="s">
        <v>24</v>
      </c>
      <c r="U114" s="324"/>
      <c r="V114" s="12"/>
      <c r="W114" s="12"/>
      <c r="X114" s="292"/>
    </row>
    <row r="115" spans="1:24">
      <c r="A115" t="s">
        <v>315</v>
      </c>
      <c r="B115" s="12" t="s">
        <v>569</v>
      </c>
      <c r="C115" s="12">
        <v>0</v>
      </c>
      <c r="D115" s="12">
        <v>0</v>
      </c>
      <c r="E115" s="12">
        <v>0</v>
      </c>
      <c r="F115" s="12">
        <v>0</v>
      </c>
      <c r="G115" s="12">
        <v>0</v>
      </c>
      <c r="H115" s="12">
        <v>0</v>
      </c>
      <c r="I115" s="12">
        <v>0</v>
      </c>
      <c r="J115" s="12">
        <v>0</v>
      </c>
      <c r="K115" s="12">
        <v>237.21700000000001</v>
      </c>
      <c r="L115" s="12">
        <v>237.21700000000001</v>
      </c>
      <c r="M115" s="12">
        <v>192</v>
      </c>
      <c r="N115" s="12">
        <v>503</v>
      </c>
      <c r="O115" s="12">
        <v>503</v>
      </c>
      <c r="P115" s="12">
        <v>503</v>
      </c>
      <c r="Q115" s="12">
        <v>553.29999999999995</v>
      </c>
      <c r="R115" s="12">
        <v>553.29999999999995</v>
      </c>
      <c r="S115" t="s">
        <v>100</v>
      </c>
      <c r="T115" t="s">
        <v>24</v>
      </c>
      <c r="U115" s="324"/>
      <c r="V115" s="12"/>
      <c r="W115" s="12"/>
      <c r="X115" s="292"/>
    </row>
    <row r="116" spans="1:24">
      <c r="A116" t="s">
        <v>308</v>
      </c>
      <c r="B116" s="12" t="s">
        <v>494</v>
      </c>
      <c r="C116" s="12">
        <v>0</v>
      </c>
      <c r="D116" s="12">
        <v>0</v>
      </c>
      <c r="E116" s="12">
        <v>0</v>
      </c>
      <c r="F116" s="12">
        <v>0</v>
      </c>
      <c r="G116" s="12">
        <v>0</v>
      </c>
      <c r="H116" s="12">
        <v>0</v>
      </c>
      <c r="I116" s="12">
        <v>0</v>
      </c>
      <c r="J116" s="12">
        <v>0</v>
      </c>
      <c r="K116" s="12">
        <v>5987.7629999999999</v>
      </c>
      <c r="L116" s="12">
        <v>5987.7629999999999</v>
      </c>
      <c r="M116" s="12">
        <v>0</v>
      </c>
      <c r="N116" s="12">
        <v>0</v>
      </c>
      <c r="O116" s="12">
        <v>0</v>
      </c>
      <c r="P116" s="12">
        <v>0</v>
      </c>
      <c r="Q116" s="12">
        <v>0</v>
      </c>
      <c r="R116" s="12">
        <v>0</v>
      </c>
      <c r="S116" t="s">
        <v>100</v>
      </c>
      <c r="T116" t="s">
        <v>24</v>
      </c>
      <c r="U116" s="324"/>
      <c r="V116" s="12"/>
      <c r="W116" s="12"/>
      <c r="X116" s="292"/>
    </row>
    <row r="117" spans="1:24">
      <c r="A117" t="s">
        <v>351</v>
      </c>
      <c r="B117" s="12" t="s">
        <v>494</v>
      </c>
      <c r="C117" s="12">
        <v>0</v>
      </c>
      <c r="D117" s="12">
        <v>0</v>
      </c>
      <c r="E117" s="12">
        <v>0</v>
      </c>
      <c r="F117" s="12">
        <v>0</v>
      </c>
      <c r="G117" s="12">
        <v>0</v>
      </c>
      <c r="H117" s="12">
        <v>0</v>
      </c>
      <c r="I117" s="12">
        <v>0</v>
      </c>
      <c r="J117" s="12">
        <v>0</v>
      </c>
      <c r="K117" s="12">
        <v>0</v>
      </c>
      <c r="L117" s="12">
        <v>0</v>
      </c>
      <c r="M117" s="12">
        <v>300</v>
      </c>
      <c r="N117" s="12">
        <v>0</v>
      </c>
      <c r="O117" s="12">
        <v>0</v>
      </c>
      <c r="P117" s="12">
        <v>0</v>
      </c>
      <c r="Q117" s="12">
        <v>0</v>
      </c>
      <c r="R117" s="12">
        <v>0</v>
      </c>
      <c r="S117" t="s">
        <v>100</v>
      </c>
      <c r="T117" t="s">
        <v>26</v>
      </c>
      <c r="U117" s="324"/>
      <c r="V117" s="12"/>
      <c r="W117" s="12"/>
      <c r="X117" s="292"/>
    </row>
    <row r="118" spans="1:24">
      <c r="A118" t="s">
        <v>243</v>
      </c>
      <c r="B118" s="12" t="s">
        <v>494</v>
      </c>
      <c r="C118" s="12">
        <v>0</v>
      </c>
      <c r="D118" s="12">
        <v>0</v>
      </c>
      <c r="E118" s="12">
        <v>0</v>
      </c>
      <c r="F118" s="12">
        <v>0</v>
      </c>
      <c r="G118" s="12">
        <v>286.30700000000002</v>
      </c>
      <c r="H118" s="12">
        <v>286.30700000000002</v>
      </c>
      <c r="I118" s="12">
        <v>286.30700000000002</v>
      </c>
      <c r="J118" s="12">
        <v>286.30700000000002</v>
      </c>
      <c r="K118" s="12">
        <v>0</v>
      </c>
      <c r="L118" s="12">
        <v>0</v>
      </c>
      <c r="M118" s="12">
        <v>0</v>
      </c>
      <c r="N118" s="12">
        <v>0</v>
      </c>
      <c r="O118" s="12">
        <v>0</v>
      </c>
      <c r="P118" s="12">
        <v>0</v>
      </c>
      <c r="Q118" s="12">
        <v>0</v>
      </c>
      <c r="R118" s="12">
        <v>0</v>
      </c>
      <c r="S118" t="s">
        <v>100</v>
      </c>
      <c r="T118" t="s">
        <v>24</v>
      </c>
      <c r="U118" s="324"/>
      <c r="V118" s="12"/>
      <c r="W118" s="12"/>
      <c r="X118" s="292"/>
    </row>
    <row r="119" spans="1:24">
      <c r="A119" t="s">
        <v>205</v>
      </c>
      <c r="B119" s="12" t="s">
        <v>553</v>
      </c>
      <c r="C119" s="262">
        <v>14835</v>
      </c>
      <c r="D119" s="262">
        <v>14835</v>
      </c>
      <c r="E119" s="262">
        <v>14835</v>
      </c>
      <c r="F119" s="262">
        <v>14835</v>
      </c>
      <c r="G119" s="262">
        <v>14835</v>
      </c>
      <c r="H119" s="262">
        <v>14651.904000019034</v>
      </c>
      <c r="I119" s="262">
        <v>14651.904000019034</v>
      </c>
      <c r="J119" s="262">
        <v>14651.904000019034</v>
      </c>
      <c r="K119" s="262">
        <v>14163.280499999997</v>
      </c>
      <c r="L119" s="262">
        <v>14163.280499999997</v>
      </c>
      <c r="M119" s="262">
        <v>671.75099999999998</v>
      </c>
      <c r="N119" s="534"/>
      <c r="O119" s="534"/>
      <c r="P119" s="534"/>
      <c r="Q119" s="534"/>
      <c r="R119" s="534"/>
      <c r="S119" t="s">
        <v>100</v>
      </c>
      <c r="T119" t="s">
        <v>24</v>
      </c>
      <c r="U119" s="324"/>
      <c r="V119" s="12"/>
      <c r="W119" s="12"/>
      <c r="X119" s="292"/>
    </row>
    <row r="120" spans="1:24">
      <c r="A120" t="s">
        <v>67</v>
      </c>
      <c r="B120" s="12" t="s">
        <v>571</v>
      </c>
      <c r="C120" s="12">
        <v>9000</v>
      </c>
      <c r="D120" s="12">
        <v>9000</v>
      </c>
      <c r="E120" s="12">
        <v>9000</v>
      </c>
      <c r="F120" s="12">
        <v>9000</v>
      </c>
      <c r="G120" s="12">
        <v>2000</v>
      </c>
      <c r="H120" s="12">
        <v>2000</v>
      </c>
      <c r="I120" s="12">
        <v>2000</v>
      </c>
      <c r="J120" s="12">
        <v>2000</v>
      </c>
      <c r="K120" s="12">
        <v>34000</v>
      </c>
      <c r="L120" s="12">
        <v>34000</v>
      </c>
      <c r="M120" s="12">
        <v>79000</v>
      </c>
      <c r="N120" s="12">
        <v>39000</v>
      </c>
      <c r="O120" s="12">
        <v>39000</v>
      </c>
      <c r="P120" s="12">
        <v>39000</v>
      </c>
      <c r="Q120" s="12">
        <v>-14000</v>
      </c>
      <c r="R120" s="12">
        <v>-14000</v>
      </c>
      <c r="S120" t="s">
        <v>100</v>
      </c>
      <c r="T120" t="s">
        <v>26</v>
      </c>
      <c r="U120" s="324"/>
      <c r="V120" s="12"/>
      <c r="W120" s="12"/>
      <c r="X120" s="292"/>
    </row>
    <row r="121" spans="1:24">
      <c r="A121" t="s">
        <v>68</v>
      </c>
      <c r="B121" s="12" t="s">
        <v>571</v>
      </c>
      <c r="C121" s="12">
        <v>-2000</v>
      </c>
      <c r="D121" s="12">
        <v>-2000</v>
      </c>
      <c r="E121" s="12">
        <v>-2000</v>
      </c>
      <c r="F121" s="12">
        <v>-2000</v>
      </c>
      <c r="G121" s="12">
        <v>0</v>
      </c>
      <c r="H121" s="12">
        <v>0</v>
      </c>
      <c r="I121" s="12">
        <v>0</v>
      </c>
      <c r="J121" s="12">
        <v>0</v>
      </c>
      <c r="K121" s="12">
        <v>0</v>
      </c>
      <c r="L121" s="12">
        <v>0</v>
      </c>
      <c r="M121" s="12">
        <v>0</v>
      </c>
      <c r="N121" s="12">
        <v>-8500</v>
      </c>
      <c r="O121" s="12">
        <v>-8500</v>
      </c>
      <c r="P121" s="12">
        <v>-8500</v>
      </c>
      <c r="Q121" s="12">
        <v>-1000</v>
      </c>
      <c r="R121" s="12">
        <v>-1000</v>
      </c>
      <c r="S121" t="s">
        <v>100</v>
      </c>
      <c r="T121" t="s">
        <v>26</v>
      </c>
      <c r="U121" s="324"/>
      <c r="V121" s="12"/>
      <c r="W121" s="12"/>
      <c r="X121" s="292"/>
    </row>
    <row r="122" spans="1:24">
      <c r="A122" t="s">
        <v>69</v>
      </c>
      <c r="B122" s="12" t="s">
        <v>571</v>
      </c>
      <c r="C122" s="12">
        <v>-13000</v>
      </c>
      <c r="D122" s="12">
        <v>-13000</v>
      </c>
      <c r="E122" s="12">
        <v>-13000</v>
      </c>
      <c r="F122" s="12">
        <v>-13000</v>
      </c>
      <c r="G122" s="12">
        <v>-33500</v>
      </c>
      <c r="H122" s="12">
        <v>-33500</v>
      </c>
      <c r="I122" s="12">
        <v>-33500</v>
      </c>
      <c r="J122" s="12">
        <v>-33500</v>
      </c>
      <c r="K122" s="12">
        <v>-45440</v>
      </c>
      <c r="L122" s="12">
        <v>-45440</v>
      </c>
      <c r="M122" s="12">
        <v>0</v>
      </c>
      <c r="N122" s="12">
        <v>-31000</v>
      </c>
      <c r="O122" s="12">
        <v>-31000</v>
      </c>
      <c r="P122" s="12">
        <v>-31000</v>
      </c>
      <c r="Q122" s="12">
        <v>0</v>
      </c>
      <c r="R122" s="12">
        <v>0</v>
      </c>
      <c r="S122" t="s">
        <v>100</v>
      </c>
      <c r="T122" t="s">
        <v>26</v>
      </c>
      <c r="U122" s="324"/>
      <c r="V122" s="12"/>
      <c r="W122" s="12"/>
      <c r="X122" s="292"/>
    </row>
    <row r="123" spans="1:24">
      <c r="A123" t="s">
        <v>70</v>
      </c>
      <c r="B123" s="12" t="s">
        <v>494</v>
      </c>
      <c r="C123" s="12">
        <v>0</v>
      </c>
      <c r="D123" s="12">
        <v>0</v>
      </c>
      <c r="E123" s="12">
        <v>0</v>
      </c>
      <c r="F123" s="12">
        <v>0</v>
      </c>
      <c r="G123" s="12">
        <v>-928.26216999999997</v>
      </c>
      <c r="H123" s="12">
        <v>-928.26216999999997</v>
      </c>
      <c r="I123" s="12">
        <v>-928.26216999999997</v>
      </c>
      <c r="J123" s="12">
        <v>-928.26216999999997</v>
      </c>
      <c r="K123" s="12">
        <v>-10396.87976</v>
      </c>
      <c r="L123" s="12">
        <v>-10396.87976</v>
      </c>
      <c r="M123" s="12">
        <v>0</v>
      </c>
      <c r="N123" s="12">
        <v>0</v>
      </c>
      <c r="O123" s="12">
        <v>0</v>
      </c>
      <c r="P123" s="12">
        <v>0</v>
      </c>
      <c r="Q123" s="12">
        <v>0</v>
      </c>
      <c r="R123" s="12">
        <v>0</v>
      </c>
      <c r="S123" t="s">
        <v>100</v>
      </c>
      <c r="T123" t="s">
        <v>26</v>
      </c>
      <c r="U123" s="324"/>
      <c r="V123" s="12"/>
      <c r="W123" s="12"/>
      <c r="X123" s="292"/>
    </row>
    <row r="124" spans="1:24">
      <c r="A124" t="s">
        <v>71</v>
      </c>
      <c r="B124" s="12" t="s">
        <v>494</v>
      </c>
      <c r="C124" s="12">
        <v>221</v>
      </c>
      <c r="D124" s="12">
        <v>221</v>
      </c>
      <c r="E124" s="12">
        <v>221</v>
      </c>
      <c r="F124" s="12">
        <v>221</v>
      </c>
      <c r="G124" s="12">
        <v>1203</v>
      </c>
      <c r="H124" s="12">
        <v>1203</v>
      </c>
      <c r="I124" s="12">
        <v>1203</v>
      </c>
      <c r="J124" s="12">
        <v>1203</v>
      </c>
      <c r="K124" s="12">
        <v>514.08761000000038</v>
      </c>
      <c r="L124" s="12">
        <v>514.08761000000038</v>
      </c>
      <c r="M124" s="12">
        <v>0</v>
      </c>
      <c r="N124" s="12">
        <v>0</v>
      </c>
      <c r="O124" s="12">
        <v>0</v>
      </c>
      <c r="P124" s="12">
        <v>0</v>
      </c>
      <c r="Q124" s="12">
        <v>0</v>
      </c>
      <c r="R124" s="12">
        <v>0</v>
      </c>
      <c r="S124" t="s">
        <v>100</v>
      </c>
      <c r="T124" t="s">
        <v>26</v>
      </c>
      <c r="U124" s="324"/>
      <c r="V124" s="12"/>
      <c r="W124" s="12"/>
      <c r="X124" s="292"/>
    </row>
    <row r="125" spans="1:24">
      <c r="A125" t="s">
        <v>72</v>
      </c>
      <c r="B125" s="12" t="s">
        <v>571</v>
      </c>
      <c r="C125" s="12">
        <v>223</v>
      </c>
      <c r="D125" s="12">
        <v>223</v>
      </c>
      <c r="E125" s="12">
        <v>223</v>
      </c>
      <c r="F125" s="12">
        <v>223</v>
      </c>
      <c r="G125" s="12">
        <v>671</v>
      </c>
      <c r="H125" s="12">
        <v>671</v>
      </c>
      <c r="I125" s="12">
        <v>671</v>
      </c>
      <c r="J125" s="12">
        <v>671</v>
      </c>
      <c r="K125" s="12">
        <v>1300</v>
      </c>
      <c r="L125" s="12">
        <v>1300</v>
      </c>
      <c r="M125" s="12">
        <v>1000</v>
      </c>
      <c r="N125" s="12">
        <v>0</v>
      </c>
      <c r="O125" s="12">
        <v>0</v>
      </c>
      <c r="P125" s="12">
        <v>0</v>
      </c>
      <c r="Q125" s="12">
        <v>-800</v>
      </c>
      <c r="R125" s="12">
        <v>-800</v>
      </c>
      <c r="S125" t="s">
        <v>100</v>
      </c>
      <c r="T125" t="s">
        <v>26</v>
      </c>
      <c r="U125" s="324"/>
      <c r="V125" s="12"/>
      <c r="W125" s="12"/>
      <c r="X125" s="292"/>
    </row>
    <row r="126" spans="1:24">
      <c r="A126" t="s">
        <v>73</v>
      </c>
      <c r="B126" s="12" t="s">
        <v>494</v>
      </c>
      <c r="C126" s="12">
        <v>0</v>
      </c>
      <c r="D126" s="12">
        <v>0</v>
      </c>
      <c r="E126" s="12">
        <v>0</v>
      </c>
      <c r="F126" s="12">
        <v>0</v>
      </c>
      <c r="G126" s="12">
        <v>0</v>
      </c>
      <c r="H126" s="12">
        <v>0</v>
      </c>
      <c r="I126" s="12">
        <v>0</v>
      </c>
      <c r="J126" s="12">
        <v>0</v>
      </c>
      <c r="K126" s="12">
        <v>30.905999999999999</v>
      </c>
      <c r="L126" s="12">
        <v>30.905999999999999</v>
      </c>
      <c r="M126" s="12">
        <v>0</v>
      </c>
      <c r="N126" s="12">
        <v>0</v>
      </c>
      <c r="O126" s="12">
        <v>0</v>
      </c>
      <c r="P126" s="12">
        <v>0</v>
      </c>
      <c r="Q126" s="12">
        <v>0</v>
      </c>
      <c r="R126" s="12">
        <v>0</v>
      </c>
      <c r="S126" t="s">
        <v>100</v>
      </c>
      <c r="T126" t="s">
        <v>26</v>
      </c>
      <c r="U126" s="324"/>
      <c r="V126" s="12"/>
      <c r="W126" s="12"/>
      <c r="X126" s="292"/>
    </row>
    <row r="127" spans="1:24">
      <c r="A127" t="s">
        <v>74</v>
      </c>
      <c r="B127" s="12" t="s">
        <v>494</v>
      </c>
      <c r="C127" s="12">
        <v>0</v>
      </c>
      <c r="D127" s="12">
        <v>0</v>
      </c>
      <c r="E127" s="12">
        <v>0</v>
      </c>
      <c r="F127" s="12">
        <v>0</v>
      </c>
      <c r="G127" s="12">
        <v>0</v>
      </c>
      <c r="H127" s="12">
        <v>0</v>
      </c>
      <c r="I127" s="12">
        <v>0</v>
      </c>
      <c r="J127" s="12">
        <v>0</v>
      </c>
      <c r="K127" s="12">
        <v>0</v>
      </c>
      <c r="L127" s="12">
        <v>0</v>
      </c>
      <c r="M127" s="12">
        <v>0</v>
      </c>
      <c r="N127" s="12">
        <v>0</v>
      </c>
      <c r="O127" s="12">
        <v>0</v>
      </c>
      <c r="P127" s="12">
        <v>0</v>
      </c>
      <c r="Q127" s="12">
        <v>0</v>
      </c>
      <c r="R127" s="12">
        <v>0</v>
      </c>
      <c r="S127" t="s">
        <v>100</v>
      </c>
      <c r="T127" t="s">
        <v>26</v>
      </c>
      <c r="U127" s="324"/>
      <c r="V127" s="12"/>
      <c r="W127" s="12"/>
      <c r="X127" s="292"/>
    </row>
    <row r="128" spans="1:24">
      <c r="A128" t="s">
        <v>75</v>
      </c>
      <c r="B128" s="12" t="s">
        <v>572</v>
      </c>
      <c r="C128" s="12">
        <v>0</v>
      </c>
      <c r="D128" s="12">
        <v>0</v>
      </c>
      <c r="E128" s="12">
        <v>0</v>
      </c>
      <c r="F128" s="12">
        <v>0</v>
      </c>
      <c r="G128" s="12">
        <v>0</v>
      </c>
      <c r="H128" s="12">
        <v>0</v>
      </c>
      <c r="I128" s="12">
        <v>0</v>
      </c>
      <c r="J128" s="12">
        <v>0</v>
      </c>
      <c r="K128" s="12">
        <v>0</v>
      </c>
      <c r="L128" s="12">
        <v>0</v>
      </c>
      <c r="M128" s="12">
        <v>0</v>
      </c>
      <c r="N128" s="12">
        <v>-9942.5857699999997</v>
      </c>
      <c r="O128" s="12">
        <v>-9942.5857699999997</v>
      </c>
      <c r="P128" s="12">
        <v>-9942.5857699999997</v>
      </c>
      <c r="Q128" s="12">
        <v>0</v>
      </c>
      <c r="R128" s="12">
        <v>0</v>
      </c>
      <c r="S128" t="s">
        <v>100</v>
      </c>
      <c r="T128" t="s">
        <v>26</v>
      </c>
      <c r="U128" s="324"/>
      <c r="V128" s="12"/>
      <c r="W128" s="12"/>
      <c r="X128" s="292"/>
    </row>
    <row r="129" spans="1:24">
      <c r="A129" t="s">
        <v>76</v>
      </c>
      <c r="B129" s="12" t="s">
        <v>571</v>
      </c>
      <c r="C129" s="12">
        <v>14</v>
      </c>
      <c r="D129" s="12">
        <v>14</v>
      </c>
      <c r="E129" s="12">
        <v>14</v>
      </c>
      <c r="F129" s="12">
        <v>14</v>
      </c>
      <c r="G129" s="12">
        <v>22</v>
      </c>
      <c r="H129" s="12">
        <v>22</v>
      </c>
      <c r="I129" s="12">
        <v>22</v>
      </c>
      <c r="J129" s="12">
        <v>22</v>
      </c>
      <c r="K129" s="12">
        <v>12</v>
      </c>
      <c r="L129" s="12">
        <v>12</v>
      </c>
      <c r="M129" s="12">
        <v>11</v>
      </c>
      <c r="N129" s="12">
        <v>31</v>
      </c>
      <c r="O129" s="12">
        <v>31</v>
      </c>
      <c r="P129" s="12">
        <v>31</v>
      </c>
      <c r="Q129" s="12">
        <v>10</v>
      </c>
      <c r="R129" s="12">
        <v>10</v>
      </c>
      <c r="S129" t="s">
        <v>100</v>
      </c>
      <c r="T129" t="s">
        <v>26</v>
      </c>
      <c r="U129" s="324"/>
      <c r="V129" s="12"/>
      <c r="W129" s="12"/>
      <c r="X129" s="292"/>
    </row>
    <row r="130" spans="1:24">
      <c r="A130" s="434" t="s">
        <v>244</v>
      </c>
      <c r="B130" s="12" t="s">
        <v>571</v>
      </c>
      <c r="C130" s="12">
        <v>0</v>
      </c>
      <c r="D130" s="12">
        <v>0</v>
      </c>
      <c r="E130" s="12">
        <v>0</v>
      </c>
      <c r="F130" s="12">
        <v>0</v>
      </c>
      <c r="G130" s="12">
        <v>0</v>
      </c>
      <c r="H130" s="12">
        <v>0</v>
      </c>
      <c r="I130" s="12">
        <v>0</v>
      </c>
      <c r="J130" s="12">
        <v>0</v>
      </c>
      <c r="K130" s="12">
        <v>0</v>
      </c>
      <c r="L130" s="12">
        <v>0</v>
      </c>
      <c r="M130" s="12">
        <v>0</v>
      </c>
      <c r="N130" s="12">
        <v>-411.07335</v>
      </c>
      <c r="O130" s="12">
        <v>-411.07335</v>
      </c>
      <c r="P130" s="12">
        <v>-411.07335</v>
      </c>
      <c r="Q130" s="12">
        <v>1.0186340659856796E-13</v>
      </c>
      <c r="R130" s="12">
        <v>1.0186340659856796E-13</v>
      </c>
      <c r="S130" t="s">
        <v>100</v>
      </c>
      <c r="T130" t="s">
        <v>26</v>
      </c>
      <c r="U130" s="324"/>
      <c r="V130" s="12"/>
      <c r="W130" s="12"/>
      <c r="X130" s="292"/>
    </row>
    <row r="131" spans="1:24">
      <c r="A131" s="434" t="s">
        <v>245</v>
      </c>
      <c r="B131" s="12" t="s">
        <v>494</v>
      </c>
      <c r="C131" s="12">
        <v>0</v>
      </c>
      <c r="D131" s="12">
        <v>0</v>
      </c>
      <c r="E131" s="12">
        <v>0</v>
      </c>
      <c r="F131" s="12">
        <v>0</v>
      </c>
      <c r="G131" s="12">
        <v>1430</v>
      </c>
      <c r="H131" s="12">
        <v>1430</v>
      </c>
      <c r="I131" s="12">
        <v>1430</v>
      </c>
      <c r="J131" s="12">
        <v>1430</v>
      </c>
      <c r="K131" s="12">
        <v>320</v>
      </c>
      <c r="L131" s="12">
        <v>320</v>
      </c>
      <c r="M131" s="12">
        <v>-985.40700000000004</v>
      </c>
      <c r="N131" s="12">
        <v>0</v>
      </c>
      <c r="O131" s="12">
        <v>0</v>
      </c>
      <c r="P131" s="12">
        <v>0</v>
      </c>
      <c r="Q131" s="12">
        <v>0</v>
      </c>
      <c r="R131" s="12">
        <v>0</v>
      </c>
      <c r="S131" t="s">
        <v>100</v>
      </c>
      <c r="T131" t="s">
        <v>26</v>
      </c>
      <c r="U131" s="324"/>
      <c r="V131" s="12"/>
      <c r="W131" s="12"/>
      <c r="X131" s="292"/>
    </row>
    <row r="132" spans="1:24">
      <c r="A132" s="434" t="s">
        <v>246</v>
      </c>
      <c r="B132" s="12" t="s">
        <v>571</v>
      </c>
      <c r="C132" s="12">
        <v>0</v>
      </c>
      <c r="D132" s="12">
        <v>0</v>
      </c>
      <c r="E132" s="12">
        <v>0</v>
      </c>
      <c r="F132" s="12">
        <v>0</v>
      </c>
      <c r="G132" s="12">
        <v>0</v>
      </c>
      <c r="H132" s="12">
        <v>0</v>
      </c>
      <c r="I132" s="12">
        <v>0</v>
      </c>
      <c r="J132" s="12">
        <v>0</v>
      </c>
      <c r="K132" s="12">
        <v>0</v>
      </c>
      <c r="L132" s="12">
        <v>0</v>
      </c>
      <c r="M132" s="12">
        <v>0</v>
      </c>
      <c r="N132" s="12">
        <v>0</v>
      </c>
      <c r="O132" s="12">
        <v>0</v>
      </c>
      <c r="P132" s="12">
        <v>0</v>
      </c>
      <c r="Q132" s="12">
        <v>400</v>
      </c>
      <c r="R132" s="12">
        <v>400</v>
      </c>
      <c r="S132" t="s">
        <v>100</v>
      </c>
      <c r="T132" t="s">
        <v>26</v>
      </c>
      <c r="U132" s="324"/>
      <c r="V132" s="12"/>
      <c r="W132" s="12"/>
      <c r="X132" s="292"/>
    </row>
    <row r="133" spans="1:24">
      <c r="A133" s="434" t="s">
        <v>319</v>
      </c>
      <c r="B133" s="12" t="s">
        <v>571</v>
      </c>
      <c r="C133" s="12">
        <v>0</v>
      </c>
      <c r="D133" s="12">
        <v>0</v>
      </c>
      <c r="E133" s="12">
        <v>0</v>
      </c>
      <c r="F133" s="12">
        <v>0</v>
      </c>
      <c r="G133" s="12">
        <v>0</v>
      </c>
      <c r="H133" s="12">
        <v>0</v>
      </c>
      <c r="I133" s="12">
        <v>0</v>
      </c>
      <c r="J133" s="12">
        <v>0</v>
      </c>
      <c r="K133" s="12">
        <v>3200</v>
      </c>
      <c r="L133" s="12">
        <v>3200</v>
      </c>
      <c r="M133" s="12">
        <v>6700</v>
      </c>
      <c r="N133" s="12">
        <v>8100</v>
      </c>
      <c r="O133" s="12">
        <v>8100</v>
      </c>
      <c r="P133" s="12">
        <v>8100</v>
      </c>
      <c r="Q133" s="12">
        <v>27000</v>
      </c>
      <c r="R133" s="12">
        <v>27000</v>
      </c>
      <c r="S133" t="s">
        <v>100</v>
      </c>
      <c r="T133" t="s">
        <v>26</v>
      </c>
      <c r="U133" s="324"/>
      <c r="V133" s="12"/>
      <c r="W133" s="12"/>
      <c r="X133" s="292"/>
    </row>
    <row r="134" spans="1:24">
      <c r="A134" s="434" t="s">
        <v>320</v>
      </c>
      <c r="B134" s="12" t="s">
        <v>571</v>
      </c>
      <c r="C134" s="12">
        <v>0</v>
      </c>
      <c r="D134" s="12">
        <v>0</v>
      </c>
      <c r="E134" s="12">
        <v>0</v>
      </c>
      <c r="F134" s="12">
        <v>0</v>
      </c>
      <c r="G134" s="12">
        <v>0</v>
      </c>
      <c r="H134" s="12">
        <v>0</v>
      </c>
      <c r="I134" s="12">
        <v>0</v>
      </c>
      <c r="J134" s="12">
        <v>0</v>
      </c>
      <c r="K134" s="12">
        <v>0</v>
      </c>
      <c r="L134" s="12">
        <v>0</v>
      </c>
      <c r="M134" s="12">
        <v>600</v>
      </c>
      <c r="N134" s="12">
        <v>-300</v>
      </c>
      <c r="O134" s="12">
        <v>-300</v>
      </c>
      <c r="P134" s="12">
        <v>-300</v>
      </c>
      <c r="Q134" s="12">
        <v>0</v>
      </c>
      <c r="R134" s="12">
        <v>0</v>
      </c>
      <c r="S134" t="s">
        <v>100</v>
      </c>
      <c r="T134" t="s">
        <v>26</v>
      </c>
      <c r="U134" s="324"/>
      <c r="V134" s="12"/>
      <c r="W134" s="12"/>
      <c r="X134" s="292"/>
    </row>
    <row r="135" spans="1:24">
      <c r="A135" s="434" t="s">
        <v>321</v>
      </c>
      <c r="B135" s="12" t="s">
        <v>571</v>
      </c>
      <c r="C135" s="12">
        <v>0</v>
      </c>
      <c r="D135" s="12">
        <v>0</v>
      </c>
      <c r="E135" s="12">
        <v>0</v>
      </c>
      <c r="F135" s="12">
        <v>0</v>
      </c>
      <c r="G135" s="12">
        <v>0</v>
      </c>
      <c r="H135" s="12">
        <v>0</v>
      </c>
      <c r="I135" s="12">
        <v>0</v>
      </c>
      <c r="J135" s="12">
        <v>0</v>
      </c>
      <c r="K135" s="12">
        <v>0</v>
      </c>
      <c r="L135" s="12">
        <v>0</v>
      </c>
      <c r="M135" s="12">
        <v>0</v>
      </c>
      <c r="N135" s="12">
        <v>2900</v>
      </c>
      <c r="O135" s="12">
        <v>2900</v>
      </c>
      <c r="P135" s="12">
        <v>2900</v>
      </c>
      <c r="Q135" s="12">
        <v>0</v>
      </c>
      <c r="R135" s="12">
        <v>0</v>
      </c>
      <c r="S135" t="s">
        <v>100</v>
      </c>
      <c r="T135" t="s">
        <v>26</v>
      </c>
      <c r="U135" s="324"/>
      <c r="V135" s="12"/>
      <c r="W135" s="12"/>
      <c r="X135" s="292"/>
    </row>
    <row r="136" spans="1:24">
      <c r="A136" s="434" t="s">
        <v>322</v>
      </c>
      <c r="B136" s="12" t="s">
        <v>571</v>
      </c>
      <c r="C136" s="12">
        <v>0</v>
      </c>
      <c r="D136" s="12">
        <v>0</v>
      </c>
      <c r="E136" s="12">
        <v>0</v>
      </c>
      <c r="F136" s="12">
        <v>0</v>
      </c>
      <c r="G136" s="12">
        <v>0</v>
      </c>
      <c r="H136" s="12">
        <v>0</v>
      </c>
      <c r="I136" s="12">
        <v>0</v>
      </c>
      <c r="J136" s="12">
        <v>0</v>
      </c>
      <c r="K136" s="12">
        <v>340</v>
      </c>
      <c r="L136" s="12">
        <v>340</v>
      </c>
      <c r="M136" s="12">
        <v>140</v>
      </c>
      <c r="N136" s="12">
        <v>430</v>
      </c>
      <c r="O136" s="12">
        <v>430</v>
      </c>
      <c r="P136" s="12">
        <v>430</v>
      </c>
      <c r="Q136" s="12">
        <v>700</v>
      </c>
      <c r="R136" s="12">
        <v>700</v>
      </c>
      <c r="S136" t="s">
        <v>100</v>
      </c>
      <c r="T136" t="s">
        <v>26</v>
      </c>
      <c r="U136" s="324"/>
      <c r="V136" s="12"/>
      <c r="W136" s="12"/>
      <c r="X136" s="292"/>
    </row>
    <row r="137" spans="1:24">
      <c r="A137" t="s">
        <v>206</v>
      </c>
      <c r="B137" s="12" t="s">
        <v>571</v>
      </c>
      <c r="C137" s="12">
        <v>21354.984</v>
      </c>
      <c r="D137" s="12">
        <v>21354.984</v>
      </c>
      <c r="E137" s="12">
        <v>21354.984</v>
      </c>
      <c r="F137" s="12">
        <v>21354.984</v>
      </c>
      <c r="G137" s="12">
        <v>2170.9180000000001</v>
      </c>
      <c r="H137" s="12">
        <v>2170.9180000000001</v>
      </c>
      <c r="I137" s="12">
        <v>2170.9180000000001</v>
      </c>
      <c r="J137" s="12">
        <v>2170.9180000000001</v>
      </c>
      <c r="K137" s="12">
        <v>9362.7150000000001</v>
      </c>
      <c r="L137" s="12">
        <v>9362.7150000000001</v>
      </c>
      <c r="M137" s="12">
        <v>18725.337</v>
      </c>
      <c r="N137" s="12">
        <v>-37450.673999999999</v>
      </c>
      <c r="O137" s="12">
        <v>-37450.673999999999</v>
      </c>
      <c r="P137" s="12">
        <v>-37450.673999999999</v>
      </c>
      <c r="Q137" s="12">
        <v>0</v>
      </c>
      <c r="R137" s="12">
        <v>0</v>
      </c>
      <c r="S137" t="s">
        <v>100</v>
      </c>
      <c r="T137" t="s">
        <v>26</v>
      </c>
      <c r="U137" s="324"/>
      <c r="V137" s="12"/>
      <c r="W137" s="12"/>
      <c r="X137" s="292"/>
    </row>
    <row r="138" spans="1:24">
      <c r="A138" t="s">
        <v>77</v>
      </c>
      <c r="B138" s="12" t="s">
        <v>573</v>
      </c>
      <c r="C138" s="12">
        <v>60000</v>
      </c>
      <c r="D138" s="12">
        <v>60000</v>
      </c>
      <c r="E138" s="12">
        <v>60000</v>
      </c>
      <c r="F138" s="12">
        <v>60000</v>
      </c>
      <c r="G138" s="12">
        <v>80000</v>
      </c>
      <c r="H138" s="12">
        <v>80000</v>
      </c>
      <c r="I138" s="12">
        <v>80000</v>
      </c>
      <c r="J138" s="12">
        <v>80000</v>
      </c>
      <c r="K138" s="12">
        <v>80000</v>
      </c>
      <c r="L138" s="12">
        <v>80000</v>
      </c>
      <c r="M138" s="12">
        <v>1000</v>
      </c>
      <c r="N138" s="12">
        <v>9000</v>
      </c>
      <c r="O138" s="12">
        <v>9000</v>
      </c>
      <c r="P138" s="12">
        <v>9000</v>
      </c>
      <c r="Q138" s="12">
        <v>0</v>
      </c>
      <c r="R138" s="12">
        <v>0</v>
      </c>
      <c r="S138" t="s">
        <v>78</v>
      </c>
      <c r="T138" t="s">
        <v>26</v>
      </c>
      <c r="U138" s="324"/>
      <c r="V138" s="12"/>
      <c r="W138" s="12"/>
      <c r="X138" s="292"/>
    </row>
    <row r="139" spans="1:24">
      <c r="A139" t="s">
        <v>350</v>
      </c>
      <c r="B139" s="12" t="s">
        <v>550</v>
      </c>
      <c r="C139" s="12">
        <v>0</v>
      </c>
      <c r="D139" s="12">
        <v>0</v>
      </c>
      <c r="E139" s="12">
        <v>0</v>
      </c>
      <c r="F139" s="12">
        <v>0</v>
      </c>
      <c r="G139" s="12">
        <v>0</v>
      </c>
      <c r="H139" s="12">
        <v>0</v>
      </c>
      <c r="I139" s="12">
        <v>0</v>
      </c>
      <c r="J139" s="12">
        <v>0</v>
      </c>
      <c r="K139" s="12">
        <v>0</v>
      </c>
      <c r="L139" s="12">
        <v>0</v>
      </c>
      <c r="M139" s="12">
        <v>67.437064499999991</v>
      </c>
      <c r="N139" s="12">
        <v>376.61006789999999</v>
      </c>
      <c r="O139" s="12">
        <v>376.61006789999999</v>
      </c>
      <c r="P139" s="12">
        <v>376.61006789999999</v>
      </c>
      <c r="Q139" s="12">
        <v>115.25279849999998</v>
      </c>
      <c r="R139" s="12">
        <v>115.25279849999998</v>
      </c>
      <c r="S139" t="s">
        <v>5</v>
      </c>
      <c r="T139" t="s">
        <v>26</v>
      </c>
      <c r="U139" s="324"/>
      <c r="V139" s="12"/>
      <c r="W139" s="12"/>
      <c r="X139" s="292"/>
    </row>
    <row r="140" spans="1:24">
      <c r="A140" t="s">
        <v>347</v>
      </c>
      <c r="B140" s="12" t="s">
        <v>574</v>
      </c>
      <c r="C140" s="12">
        <v>0</v>
      </c>
      <c r="D140" s="12">
        <v>0</v>
      </c>
      <c r="E140" s="12">
        <v>0</v>
      </c>
      <c r="F140" s="12">
        <v>0</v>
      </c>
      <c r="G140" s="12">
        <v>0</v>
      </c>
      <c r="H140" s="12">
        <v>0</v>
      </c>
      <c r="I140" s="12">
        <v>0</v>
      </c>
      <c r="J140" s="12">
        <v>0</v>
      </c>
      <c r="K140" s="12">
        <v>0</v>
      </c>
      <c r="L140" s="12">
        <v>0</v>
      </c>
      <c r="M140" s="12">
        <v>336</v>
      </c>
      <c r="N140" s="12">
        <v>379.5</v>
      </c>
      <c r="O140" s="12">
        <v>379.5</v>
      </c>
      <c r="P140" s="12">
        <v>379.5</v>
      </c>
      <c r="Q140" s="12">
        <v>0</v>
      </c>
      <c r="R140" s="12">
        <v>0</v>
      </c>
      <c r="S140" t="s">
        <v>100</v>
      </c>
      <c r="T140" t="s">
        <v>24</v>
      </c>
      <c r="U140" s="324"/>
      <c r="V140" s="12"/>
      <c r="W140" s="12"/>
      <c r="X140" s="292"/>
    </row>
    <row r="141" spans="1:24">
      <c r="A141" t="s">
        <v>348</v>
      </c>
      <c r="B141" s="12" t="s">
        <v>574</v>
      </c>
      <c r="C141" s="12">
        <v>0</v>
      </c>
      <c r="D141" s="12">
        <v>0</v>
      </c>
      <c r="E141" s="12">
        <v>0</v>
      </c>
      <c r="F141" s="12">
        <v>0</v>
      </c>
      <c r="G141" s="12">
        <v>0</v>
      </c>
      <c r="H141" s="12">
        <v>0</v>
      </c>
      <c r="I141" s="12">
        <v>0</v>
      </c>
      <c r="J141" s="12">
        <v>0</v>
      </c>
      <c r="K141" s="12">
        <v>0</v>
      </c>
      <c r="L141" s="12">
        <v>0</v>
      </c>
      <c r="M141" s="12">
        <v>295.5</v>
      </c>
      <c r="N141" s="12">
        <v>325.5</v>
      </c>
      <c r="O141" s="12">
        <v>325.5</v>
      </c>
      <c r="P141" s="12">
        <v>325.5</v>
      </c>
      <c r="Q141" s="12">
        <v>0</v>
      </c>
      <c r="R141" s="12">
        <v>0</v>
      </c>
      <c r="S141" t="s">
        <v>100</v>
      </c>
      <c r="T141" t="s">
        <v>24</v>
      </c>
      <c r="U141" s="324"/>
      <c r="V141" s="12"/>
      <c r="W141" s="12"/>
      <c r="X141" s="292"/>
    </row>
    <row r="142" spans="1:24">
      <c r="A142" t="s">
        <v>388</v>
      </c>
      <c r="B142" s="12" t="s">
        <v>571</v>
      </c>
      <c r="C142" s="12">
        <v>0</v>
      </c>
      <c r="D142" s="12">
        <v>0</v>
      </c>
      <c r="E142" s="12">
        <v>0</v>
      </c>
      <c r="F142" s="12">
        <v>0</v>
      </c>
      <c r="G142" s="12">
        <v>0</v>
      </c>
      <c r="H142" s="12">
        <v>0</v>
      </c>
      <c r="I142" s="12">
        <v>0</v>
      </c>
      <c r="J142" s="12">
        <v>0</v>
      </c>
      <c r="K142" s="12">
        <v>0</v>
      </c>
      <c r="L142" s="12">
        <v>0</v>
      </c>
      <c r="M142" s="12">
        <v>0</v>
      </c>
      <c r="N142" s="12">
        <v>400</v>
      </c>
      <c r="O142" s="12">
        <v>400</v>
      </c>
      <c r="P142" s="12">
        <v>400</v>
      </c>
      <c r="Q142" s="12">
        <v>700</v>
      </c>
      <c r="R142" s="12">
        <v>700</v>
      </c>
      <c r="S142" t="s">
        <v>100</v>
      </c>
      <c r="T142" t="s">
        <v>26</v>
      </c>
      <c r="U142" s="324"/>
      <c r="V142" s="12"/>
      <c r="W142" s="12"/>
      <c r="X142" s="292"/>
    </row>
    <row r="143" spans="1:24">
      <c r="A143" t="s">
        <v>389</v>
      </c>
      <c r="B143" s="12" t="s">
        <v>571</v>
      </c>
      <c r="C143" s="12">
        <v>0</v>
      </c>
      <c r="D143" s="12">
        <v>0</v>
      </c>
      <c r="E143" s="12">
        <v>0</v>
      </c>
      <c r="F143" s="12">
        <v>0</v>
      </c>
      <c r="G143" s="12">
        <v>0</v>
      </c>
      <c r="H143" s="12">
        <v>0</v>
      </c>
      <c r="I143" s="12">
        <v>0</v>
      </c>
      <c r="J143" s="12">
        <v>0</v>
      </c>
      <c r="K143" s="12">
        <v>0</v>
      </c>
      <c r="L143" s="12">
        <v>0</v>
      </c>
      <c r="M143" s="12">
        <v>0</v>
      </c>
      <c r="N143" s="12">
        <v>300</v>
      </c>
      <c r="O143" s="12">
        <v>300</v>
      </c>
      <c r="P143" s="12">
        <v>300</v>
      </c>
      <c r="Q143" s="12">
        <v>500</v>
      </c>
      <c r="R143" s="12">
        <v>500</v>
      </c>
      <c r="S143" t="s">
        <v>100</v>
      </c>
      <c r="T143" t="s">
        <v>26</v>
      </c>
      <c r="U143" s="324"/>
      <c r="V143" s="12"/>
      <c r="W143" s="12"/>
      <c r="X143" s="292"/>
    </row>
    <row r="144" spans="1:24">
      <c r="A144" t="s">
        <v>390</v>
      </c>
      <c r="B144" s="12" t="s">
        <v>494</v>
      </c>
      <c r="C144" s="12">
        <v>0</v>
      </c>
      <c r="D144" s="12">
        <v>0</v>
      </c>
      <c r="E144" s="12">
        <v>0</v>
      </c>
      <c r="F144" s="12">
        <v>0</v>
      </c>
      <c r="G144" s="12">
        <v>0</v>
      </c>
      <c r="H144" s="12">
        <v>0</v>
      </c>
      <c r="I144" s="12">
        <v>0</v>
      </c>
      <c r="J144" s="12">
        <v>0</v>
      </c>
      <c r="K144" s="12">
        <v>0</v>
      </c>
      <c r="L144" s="12">
        <v>0</v>
      </c>
      <c r="M144" s="12">
        <v>0</v>
      </c>
      <c r="N144" s="12">
        <v>0</v>
      </c>
      <c r="O144" s="12">
        <v>0</v>
      </c>
      <c r="P144" s="12">
        <v>0</v>
      </c>
      <c r="Q144" s="12">
        <v>0</v>
      </c>
      <c r="R144" s="12">
        <v>0</v>
      </c>
      <c r="S144" t="s">
        <v>100</v>
      </c>
      <c r="T144" t="s">
        <v>26</v>
      </c>
      <c r="U144" s="324"/>
      <c r="V144" s="12"/>
      <c r="W144" s="12"/>
      <c r="X144" s="292"/>
    </row>
    <row r="145" spans="1:24">
      <c r="A145" t="s">
        <v>393</v>
      </c>
      <c r="B145" s="12" t="s">
        <v>550</v>
      </c>
      <c r="C145" s="12">
        <v>0</v>
      </c>
      <c r="D145" s="12">
        <v>0</v>
      </c>
      <c r="E145" s="12">
        <v>0</v>
      </c>
      <c r="F145" s="12">
        <v>0</v>
      </c>
      <c r="G145" s="12">
        <v>0</v>
      </c>
      <c r="H145" s="12">
        <v>0</v>
      </c>
      <c r="I145" s="12">
        <v>0</v>
      </c>
      <c r="J145" s="12">
        <v>0</v>
      </c>
      <c r="K145" s="12">
        <v>0</v>
      </c>
      <c r="L145" s="12">
        <v>0</v>
      </c>
      <c r="M145" s="12">
        <v>0</v>
      </c>
      <c r="N145" s="12">
        <v>248.998392</v>
      </c>
      <c r="O145" s="12">
        <v>248.998392</v>
      </c>
      <c r="P145" s="12">
        <v>248.998392</v>
      </c>
      <c r="Q145" s="12">
        <v>285.53621249999998</v>
      </c>
      <c r="R145" s="12">
        <v>285.53621249999998</v>
      </c>
      <c r="S145" t="s">
        <v>5</v>
      </c>
      <c r="T145" t="s">
        <v>26</v>
      </c>
      <c r="U145" s="324"/>
      <c r="V145" s="12"/>
      <c r="W145" s="12"/>
      <c r="X145" s="292"/>
    </row>
    <row r="146" spans="1:24">
      <c r="A146" t="s">
        <v>394</v>
      </c>
      <c r="B146" s="12" t="s">
        <v>550</v>
      </c>
      <c r="C146" s="12">
        <v>0</v>
      </c>
      <c r="D146" s="12">
        <v>0</v>
      </c>
      <c r="E146" s="12">
        <v>0</v>
      </c>
      <c r="F146" s="12">
        <v>0</v>
      </c>
      <c r="G146" s="12">
        <v>0</v>
      </c>
      <c r="H146" s="12">
        <v>0</v>
      </c>
      <c r="I146" s="12">
        <v>0</v>
      </c>
      <c r="J146" s="12">
        <v>0</v>
      </c>
      <c r="K146" s="12">
        <v>0</v>
      </c>
      <c r="L146" s="12">
        <v>0</v>
      </c>
      <c r="M146" s="12">
        <v>0</v>
      </c>
      <c r="N146" s="12">
        <v>7.2624531000000001</v>
      </c>
      <c r="O146" s="12">
        <v>7.2624531000000001</v>
      </c>
      <c r="P146" s="12">
        <v>7.2624531000000001</v>
      </c>
      <c r="Q146" s="12">
        <v>20.766269999999999</v>
      </c>
      <c r="R146" s="12">
        <v>20.766269999999999</v>
      </c>
      <c r="S146" t="s">
        <v>5</v>
      </c>
      <c r="T146" t="s">
        <v>26</v>
      </c>
      <c r="U146" s="324"/>
      <c r="V146" s="12"/>
      <c r="W146" s="12"/>
      <c r="X146" s="292"/>
    </row>
    <row r="147" spans="1:24" ht="13.9" customHeight="1">
      <c r="A147" t="s">
        <v>395</v>
      </c>
      <c r="B147" s="12" t="s">
        <v>550</v>
      </c>
      <c r="C147" s="12">
        <v>0</v>
      </c>
      <c r="D147" s="12">
        <v>0</v>
      </c>
      <c r="E147" s="12">
        <v>0</v>
      </c>
      <c r="F147" s="12">
        <v>0</v>
      </c>
      <c r="G147" s="12">
        <v>0</v>
      </c>
      <c r="H147" s="12">
        <v>0</v>
      </c>
      <c r="I147" s="12">
        <v>0</v>
      </c>
      <c r="J147" s="12">
        <v>0</v>
      </c>
      <c r="K147" s="12">
        <v>0</v>
      </c>
      <c r="L147" s="12">
        <v>0</v>
      </c>
      <c r="M147" s="12">
        <v>0</v>
      </c>
      <c r="N147" s="12">
        <v>43.574718599999997</v>
      </c>
      <c r="O147" s="12">
        <v>43.574718599999997</v>
      </c>
      <c r="P147" s="12">
        <v>43.574718599999997</v>
      </c>
      <c r="Q147" s="12">
        <v>61.260496499999995</v>
      </c>
      <c r="R147" s="12">
        <v>61.260496499999995</v>
      </c>
      <c r="S147" t="s">
        <v>5</v>
      </c>
      <c r="T147" t="s">
        <v>26</v>
      </c>
      <c r="U147" s="324"/>
      <c r="V147" s="12"/>
      <c r="W147" s="12"/>
      <c r="X147" s="292"/>
    </row>
    <row r="148" spans="1:24">
      <c r="A148" t="s">
        <v>456</v>
      </c>
      <c r="B148" s="12" t="s">
        <v>575</v>
      </c>
      <c r="C148" s="12">
        <v>0</v>
      </c>
      <c r="D148" s="12">
        <v>0</v>
      </c>
      <c r="E148" s="12">
        <v>0</v>
      </c>
      <c r="F148" s="12">
        <v>0</v>
      </c>
      <c r="G148" s="12">
        <v>0</v>
      </c>
      <c r="H148" s="12">
        <v>0</v>
      </c>
      <c r="I148" s="12">
        <v>0</v>
      </c>
      <c r="J148" s="12">
        <v>0</v>
      </c>
      <c r="K148" s="12">
        <v>0</v>
      </c>
      <c r="L148" s="12">
        <v>0</v>
      </c>
      <c r="M148" s="12">
        <v>0</v>
      </c>
      <c r="N148" s="12">
        <v>0</v>
      </c>
      <c r="O148" s="12">
        <v>0</v>
      </c>
      <c r="P148" s="12">
        <v>9511.6319999999996</v>
      </c>
      <c r="Q148" s="12">
        <v>29165.073599999996</v>
      </c>
      <c r="R148" s="12">
        <v>29165.073599999996</v>
      </c>
      <c r="S148" t="s">
        <v>100</v>
      </c>
      <c r="T148" t="s">
        <v>24</v>
      </c>
      <c r="U148" s="324"/>
      <c r="V148" s="12"/>
      <c r="W148" s="12"/>
      <c r="X148" s="292"/>
    </row>
    <row r="149" spans="1:24">
      <c r="A149" t="s">
        <v>477</v>
      </c>
      <c r="B149" s="12" t="s">
        <v>576</v>
      </c>
      <c r="C149" s="12">
        <v>0</v>
      </c>
      <c r="D149" s="12">
        <v>0</v>
      </c>
      <c r="E149" s="12">
        <v>0</v>
      </c>
      <c r="F149" s="12">
        <v>0</v>
      </c>
      <c r="G149" s="12">
        <v>0</v>
      </c>
      <c r="H149" s="12">
        <v>0</v>
      </c>
      <c r="I149" s="12">
        <v>0</v>
      </c>
      <c r="J149" s="12">
        <v>0</v>
      </c>
      <c r="K149" s="12">
        <v>0</v>
      </c>
      <c r="L149" s="12">
        <v>0</v>
      </c>
      <c r="M149" s="12">
        <v>0</v>
      </c>
      <c r="N149" s="12">
        <v>0</v>
      </c>
      <c r="O149" s="12">
        <v>0</v>
      </c>
      <c r="P149" s="12">
        <v>0</v>
      </c>
      <c r="Q149" s="12">
        <v>60523</v>
      </c>
      <c r="R149" s="12">
        <v>60523</v>
      </c>
      <c r="S149" t="s">
        <v>100</v>
      </c>
      <c r="T149" t="s">
        <v>24</v>
      </c>
      <c r="U149" s="324"/>
      <c r="V149" s="15"/>
      <c r="W149" s="12"/>
      <c r="X149" s="292"/>
    </row>
    <row r="150" spans="1:24">
      <c r="A150" t="s">
        <v>479</v>
      </c>
      <c r="B150" s="12" t="s">
        <v>577</v>
      </c>
      <c r="C150" s="12">
        <v>0</v>
      </c>
      <c r="D150" s="12">
        <v>0</v>
      </c>
      <c r="E150" s="12">
        <v>0</v>
      </c>
      <c r="F150" s="12">
        <v>0</v>
      </c>
      <c r="G150" s="12">
        <v>0</v>
      </c>
      <c r="H150" s="12">
        <v>0</v>
      </c>
      <c r="I150" s="12">
        <v>0</v>
      </c>
      <c r="J150" s="12">
        <v>0</v>
      </c>
      <c r="K150" s="12">
        <v>0</v>
      </c>
      <c r="L150" s="12">
        <v>0</v>
      </c>
      <c r="M150" s="12">
        <v>0</v>
      </c>
      <c r="N150" s="12">
        <v>0</v>
      </c>
      <c r="O150" s="12">
        <v>0</v>
      </c>
      <c r="P150" s="12">
        <v>0</v>
      </c>
      <c r="Q150" s="473">
        <v>2520</v>
      </c>
      <c r="R150" s="473">
        <v>2520</v>
      </c>
      <c r="S150" t="s">
        <v>100</v>
      </c>
      <c r="T150" t="s">
        <v>24</v>
      </c>
      <c r="U150" s="324"/>
      <c r="V150" s="15"/>
      <c r="W150" s="12"/>
      <c r="X150" s="292"/>
    </row>
    <row r="151" spans="1:24">
      <c r="A151" t="s">
        <v>480</v>
      </c>
      <c r="B151" s="12" t="s">
        <v>578</v>
      </c>
      <c r="C151" s="12">
        <v>0</v>
      </c>
      <c r="D151" s="12">
        <v>0</v>
      </c>
      <c r="E151" s="12">
        <v>0</v>
      </c>
      <c r="F151" s="12">
        <v>0</v>
      </c>
      <c r="G151" s="12">
        <v>0</v>
      </c>
      <c r="H151" s="12">
        <v>0</v>
      </c>
      <c r="I151" s="12">
        <v>0</v>
      </c>
      <c r="J151" s="12">
        <v>0</v>
      </c>
      <c r="K151" s="12">
        <v>0</v>
      </c>
      <c r="L151" s="12">
        <v>0</v>
      </c>
      <c r="M151" s="12">
        <v>0</v>
      </c>
      <c r="N151" s="12">
        <v>0</v>
      </c>
      <c r="O151" s="12">
        <v>0</v>
      </c>
      <c r="P151" s="12">
        <v>0</v>
      </c>
      <c r="Q151" s="473">
        <v>1959.0642899999996</v>
      </c>
      <c r="R151" s="473">
        <v>1959.0642899999996</v>
      </c>
      <c r="S151" t="s">
        <v>5</v>
      </c>
      <c r="T151" t="s">
        <v>24</v>
      </c>
      <c r="U151" s="324"/>
      <c r="V151" s="15"/>
      <c r="W151" s="12"/>
      <c r="X151" s="292"/>
    </row>
    <row r="152" spans="1:24">
      <c r="A152" s="13" t="s">
        <v>481</v>
      </c>
      <c r="B152" s="12" t="s">
        <v>578</v>
      </c>
      <c r="C152" s="12">
        <v>0</v>
      </c>
      <c r="D152" s="12">
        <v>0</v>
      </c>
      <c r="E152" s="12">
        <v>0</v>
      </c>
      <c r="F152" s="12">
        <v>0</v>
      </c>
      <c r="G152" s="12">
        <v>0</v>
      </c>
      <c r="H152" s="12">
        <v>0</v>
      </c>
      <c r="I152" s="12">
        <v>0</v>
      </c>
      <c r="J152" s="12">
        <v>0</v>
      </c>
      <c r="K152" s="12">
        <v>0</v>
      </c>
      <c r="L152" s="12">
        <v>0</v>
      </c>
      <c r="M152" s="12">
        <v>0</v>
      </c>
      <c r="N152" s="12">
        <v>0</v>
      </c>
      <c r="O152" s="12">
        <v>0</v>
      </c>
      <c r="P152" s="12">
        <v>0</v>
      </c>
      <c r="Q152" s="473">
        <v>824.16204999999979</v>
      </c>
      <c r="R152" s="473">
        <v>824.16204999999979</v>
      </c>
      <c r="S152" t="s">
        <v>3</v>
      </c>
      <c r="T152" t="s">
        <v>24</v>
      </c>
      <c r="U152" s="324"/>
      <c r="V152" s="15"/>
      <c r="W152" s="12"/>
      <c r="X152" s="292"/>
    </row>
    <row r="153" spans="1:24">
      <c r="A153" s="13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U153" s="324"/>
      <c r="V153" s="15"/>
      <c r="W153" s="12"/>
      <c r="X153" s="292"/>
    </row>
    <row r="154" spans="1:24">
      <c r="A154" s="13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U154" s="324"/>
      <c r="V154" s="15"/>
      <c r="W154" s="12"/>
      <c r="X154" s="292"/>
    </row>
    <row r="155" spans="1:24">
      <c r="A155" s="18" t="s">
        <v>8</v>
      </c>
      <c r="B155" s="21"/>
      <c r="C155" s="21">
        <f t="shared" ref="C155:O155" si="1">SUM(C64:C154)</f>
        <v>329702.0308045494</v>
      </c>
      <c r="D155" s="21">
        <f t="shared" si="1"/>
        <v>357464.52151790942</v>
      </c>
      <c r="E155" s="21">
        <f t="shared" si="1"/>
        <v>357464.52151790942</v>
      </c>
      <c r="F155" s="21">
        <f t="shared" si="1"/>
        <v>357464.52151790942</v>
      </c>
      <c r="G155" s="21">
        <f t="shared" si="1"/>
        <v>356590.14510374423</v>
      </c>
      <c r="H155" s="21">
        <f t="shared" si="1"/>
        <v>351419.29952796071</v>
      </c>
      <c r="I155" s="21">
        <f t="shared" si="1"/>
        <v>351419.29952796071</v>
      </c>
      <c r="J155" s="21">
        <f t="shared" si="1"/>
        <v>402971.03589296434</v>
      </c>
      <c r="K155" s="21">
        <f t="shared" si="1"/>
        <v>420122.43310720375</v>
      </c>
      <c r="L155" s="21">
        <f t="shared" si="1"/>
        <v>420122.43310720375</v>
      </c>
      <c r="M155" s="21">
        <f t="shared" si="1"/>
        <v>540056.82609551121</v>
      </c>
      <c r="N155" s="21">
        <f t="shared" si="1"/>
        <v>394317.98355566274</v>
      </c>
      <c r="O155" s="21">
        <f t="shared" si="1"/>
        <v>394700.8783472536</v>
      </c>
      <c r="P155" s="21">
        <f>SUM(P64:P154)</f>
        <v>404569.13281931909</v>
      </c>
      <c r="Q155" s="21">
        <f>SUM(Q64:Q154)</f>
        <v>207599.01782842237</v>
      </c>
      <c r="R155" s="21">
        <f>SUM(R64:R154)</f>
        <v>207599.01782842237</v>
      </c>
      <c r="U155" s="324"/>
      <c r="V155" s="21"/>
      <c r="W155" s="12"/>
      <c r="X155" s="292"/>
    </row>
    <row r="156" spans="1:24"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U156" s="324"/>
      <c r="V156" s="15"/>
      <c r="W156" s="12"/>
      <c r="X156" s="292"/>
    </row>
    <row r="157" spans="1:24">
      <c r="A157" s="18" t="s">
        <v>9</v>
      </c>
      <c r="U157" s="324"/>
      <c r="W157" s="12"/>
      <c r="X157" s="292"/>
    </row>
    <row r="158" spans="1:24">
      <c r="A158" t="s">
        <v>83</v>
      </c>
      <c r="B158" s="12" t="s">
        <v>579</v>
      </c>
      <c r="C158" s="15">
        <v>868299.98992230475</v>
      </c>
      <c r="D158" s="15">
        <v>868299.98992230475</v>
      </c>
      <c r="E158" s="15">
        <v>868299.98992230475</v>
      </c>
      <c r="F158" s="15">
        <v>868299.98992230475</v>
      </c>
      <c r="G158" s="15">
        <v>1035770.6823141619</v>
      </c>
      <c r="H158" s="15">
        <v>1035770.6823141619</v>
      </c>
      <c r="I158" s="15">
        <v>1035770.6823141619</v>
      </c>
      <c r="J158" s="15">
        <v>1035770.6823141619</v>
      </c>
      <c r="K158" s="15">
        <v>1074297.3462269725</v>
      </c>
      <c r="L158" s="15">
        <v>1074297.3462269725</v>
      </c>
      <c r="M158" s="15">
        <v>1193257.0559192772</v>
      </c>
      <c r="N158" s="15">
        <v>1015801.8622927812</v>
      </c>
      <c r="O158" s="15">
        <v>1015801.8622927812</v>
      </c>
      <c r="P158" s="12">
        <v>1015801.8622927812</v>
      </c>
      <c r="Q158" s="12">
        <v>1015801.8622927812</v>
      </c>
      <c r="R158" s="12">
        <v>1241611.5256814267</v>
      </c>
      <c r="S158" t="s">
        <v>10</v>
      </c>
      <c r="T158" t="s">
        <v>24</v>
      </c>
      <c r="U158" s="324"/>
      <c r="V158" s="15"/>
      <c r="W158" s="12"/>
      <c r="X158" s="292"/>
    </row>
    <row r="159" spans="1:24">
      <c r="A159" t="s">
        <v>84</v>
      </c>
      <c r="B159" s="12" t="s">
        <v>580</v>
      </c>
      <c r="C159" s="12">
        <v>-290446.64441818016</v>
      </c>
      <c r="D159" s="12">
        <v>-290446.64441818016</v>
      </c>
      <c r="E159" s="12">
        <v>-290446.64441818016</v>
      </c>
      <c r="F159" s="12">
        <v>-290446.64441818016</v>
      </c>
      <c r="G159" s="12">
        <v>-277683.71417458501</v>
      </c>
      <c r="H159" s="12">
        <v>-277683.71417458501</v>
      </c>
      <c r="I159" s="12">
        <v>-277683.71417458501</v>
      </c>
      <c r="J159" s="12">
        <v>-277683.71417458501</v>
      </c>
      <c r="K159" s="12">
        <v>-278898.97072907857</v>
      </c>
      <c r="L159" s="12">
        <v>-278898.97072907857</v>
      </c>
      <c r="M159" s="12">
        <v>-290681.11501687701</v>
      </c>
      <c r="N159" s="12">
        <v>-281192.87689030415</v>
      </c>
      <c r="O159" s="12">
        <v>-281192.87689030415</v>
      </c>
      <c r="P159" s="12">
        <v>-281192.87689030415</v>
      </c>
      <c r="Q159" s="12">
        <v>-338074.81254709855</v>
      </c>
      <c r="R159" s="12">
        <v>-338074.81254709855</v>
      </c>
      <c r="S159" t="s">
        <v>10</v>
      </c>
      <c r="T159" t="s">
        <v>26</v>
      </c>
      <c r="U159" s="324"/>
      <c r="V159" s="12"/>
      <c r="W159" s="12"/>
      <c r="X159" s="292"/>
    </row>
    <row r="160" spans="1:24">
      <c r="A160" t="s">
        <v>85</v>
      </c>
      <c r="B160" s="12" t="s">
        <v>581</v>
      </c>
      <c r="C160" s="12">
        <v>-19395.786457506467</v>
      </c>
      <c r="D160" s="12">
        <v>-19395.786457506467</v>
      </c>
      <c r="E160" s="12">
        <v>-19395.786457506467</v>
      </c>
      <c r="F160" s="12">
        <v>-19395.786457506467</v>
      </c>
      <c r="G160" s="12">
        <v>-21666.547322748575</v>
      </c>
      <c r="H160" s="12">
        <v>-21666.547322748575</v>
      </c>
      <c r="I160" s="12">
        <v>-21666.547322748575</v>
      </c>
      <c r="J160" s="12">
        <v>-21666.547322748575</v>
      </c>
      <c r="K160" s="12">
        <v>-22726.988940683394</v>
      </c>
      <c r="L160" s="12">
        <v>-22726.988940683394</v>
      </c>
      <c r="M160" s="12">
        <v>-42946.287503795225</v>
      </c>
      <c r="N160" s="12">
        <v>-49504.512347211225</v>
      </c>
      <c r="O160" s="12">
        <v>-49504.512347211225</v>
      </c>
      <c r="P160" s="12">
        <v>-49504.512347211225</v>
      </c>
      <c r="Q160" s="12">
        <v>-40831.286867283969</v>
      </c>
      <c r="R160" s="12">
        <v>-40831.286867283969</v>
      </c>
      <c r="S160" t="s">
        <v>10</v>
      </c>
      <c r="T160" t="s">
        <v>26</v>
      </c>
      <c r="U160" s="324"/>
      <c r="V160" s="12"/>
      <c r="W160" s="12"/>
      <c r="X160" s="292"/>
    </row>
    <row r="161" spans="1:24">
      <c r="A161" t="s">
        <v>86</v>
      </c>
      <c r="B161" s="12" t="s">
        <v>582</v>
      </c>
      <c r="C161" s="12">
        <v>631.66948234935251</v>
      </c>
      <c r="D161" s="12">
        <v>631.66948234935251</v>
      </c>
      <c r="E161" s="12">
        <v>631.66948234935251</v>
      </c>
      <c r="F161" s="12">
        <v>631.66948234935251</v>
      </c>
      <c r="G161" s="12">
        <v>-245.06877306482485</v>
      </c>
      <c r="H161" s="12">
        <v>-245.06877306482485</v>
      </c>
      <c r="I161" s="12">
        <v>-245.06877306482485</v>
      </c>
      <c r="J161" s="12">
        <v>-245.06877306482485</v>
      </c>
      <c r="K161" s="12">
        <v>151.21123428324981</v>
      </c>
      <c r="L161" s="12">
        <v>151.21123428324981</v>
      </c>
      <c r="M161" s="12">
        <v>557.06449752135018</v>
      </c>
      <c r="N161" s="12">
        <v>141.01499621368913</v>
      </c>
      <c r="O161" s="12">
        <v>141.01499621368913</v>
      </c>
      <c r="P161" s="12">
        <v>141.01499621368913</v>
      </c>
      <c r="Q161" s="12">
        <v>178.76388774267036</v>
      </c>
      <c r="R161" s="12">
        <v>178.76388774267036</v>
      </c>
      <c r="S161" t="s">
        <v>87</v>
      </c>
      <c r="T161" t="s">
        <v>26</v>
      </c>
      <c r="U161" s="324"/>
      <c r="V161" s="12"/>
      <c r="W161" s="12"/>
      <c r="X161" s="292"/>
    </row>
    <row r="162" spans="1:24"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U162" s="324"/>
      <c r="V162" s="12"/>
    </row>
    <row r="163" spans="1:24"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U163" s="324"/>
      <c r="V163" s="15"/>
    </row>
    <row r="164" spans="1:24">
      <c r="A164" s="18" t="s">
        <v>11</v>
      </c>
      <c r="C164" s="21">
        <f t="shared" ref="C164:K164" si="2">SUM(C158:C163)</f>
        <v>559089.22852896748</v>
      </c>
      <c r="D164" s="21">
        <f t="shared" si="2"/>
        <v>559089.22852896748</v>
      </c>
      <c r="E164" s="21">
        <f t="shared" si="2"/>
        <v>559089.22852896748</v>
      </c>
      <c r="F164" s="21">
        <f t="shared" si="2"/>
        <v>559089.22852896748</v>
      </c>
      <c r="G164" s="21">
        <f t="shared" si="2"/>
        <v>736175.3520437635</v>
      </c>
      <c r="H164" s="21">
        <f t="shared" si="2"/>
        <v>736175.3520437635</v>
      </c>
      <c r="I164" s="21">
        <f t="shared" si="2"/>
        <v>736175.3520437635</v>
      </c>
      <c r="J164" s="21">
        <f t="shared" si="2"/>
        <v>736175.3520437635</v>
      </c>
      <c r="K164" s="21">
        <f t="shared" si="2"/>
        <v>772822.59779149375</v>
      </c>
      <c r="L164" s="21">
        <f t="shared" ref="L164:P164" si="3">SUM(L158:L163)</f>
        <v>772822.59779149375</v>
      </c>
      <c r="M164" s="21">
        <f t="shared" si="3"/>
        <v>860186.71789612644</v>
      </c>
      <c r="N164" s="21">
        <f t="shared" si="3"/>
        <v>685245.48805147957</v>
      </c>
      <c r="O164" s="21">
        <f t="shared" si="3"/>
        <v>685245.48805147957</v>
      </c>
      <c r="P164" s="21">
        <f t="shared" si="3"/>
        <v>685245.48805147957</v>
      </c>
      <c r="Q164" s="21">
        <f>SUM(Q158:Q163)</f>
        <v>637074.52676614129</v>
      </c>
      <c r="R164" s="21">
        <f>SUM(R158:R163)</f>
        <v>862884.1901547868</v>
      </c>
      <c r="U164" s="324"/>
      <c r="V164" s="21"/>
    </row>
    <row r="165" spans="1:24">
      <c r="U165" s="324"/>
    </row>
    <row r="166" spans="1:24" ht="15.75" thickBot="1">
      <c r="A166" s="18" t="s">
        <v>12</v>
      </c>
      <c r="C166" s="184">
        <f t="shared" ref="C166:O166" si="4">C61+C155+C164</f>
        <v>4300472.5173024256</v>
      </c>
      <c r="D166" s="184">
        <f t="shared" si="4"/>
        <v>4142002.3094766168</v>
      </c>
      <c r="E166" s="184">
        <f t="shared" si="4"/>
        <v>4142002.3094766168</v>
      </c>
      <c r="F166" s="184">
        <f t="shared" si="4"/>
        <v>4142002.3094766163</v>
      </c>
      <c r="G166" s="184">
        <f t="shared" si="4"/>
        <v>4561316.7688900335</v>
      </c>
      <c r="H166" s="184">
        <f t="shared" si="4"/>
        <v>4297906.8342820145</v>
      </c>
      <c r="I166" s="184">
        <f t="shared" si="4"/>
        <v>4297906.8342820145</v>
      </c>
      <c r="J166" s="184">
        <f t="shared" si="4"/>
        <v>4349458.570647018</v>
      </c>
      <c r="K166" s="184">
        <f t="shared" si="4"/>
        <v>4340207.4306903612</v>
      </c>
      <c r="L166" s="184">
        <f t="shared" si="4"/>
        <v>4285810.1742463037</v>
      </c>
      <c r="M166" s="184">
        <f t="shared" si="4"/>
        <v>4377145.6952439081</v>
      </c>
      <c r="N166" s="184">
        <f t="shared" si="4"/>
        <v>3899765.0996399405</v>
      </c>
      <c r="O166" s="184">
        <f t="shared" si="4"/>
        <v>4192794.6521918182</v>
      </c>
      <c r="P166" s="184">
        <f>P61+P155+P164</f>
        <v>4233071.8352868836</v>
      </c>
      <c r="Q166" s="184">
        <f>Q61+Q155+Q164</f>
        <v>4123232.3110290947</v>
      </c>
      <c r="R166" s="184">
        <f>R61+R155+R164</f>
        <v>4349041.9744177405</v>
      </c>
      <c r="S166" s="21"/>
      <c r="U166" s="324"/>
      <c r="V166" s="21"/>
    </row>
    <row r="167" spans="1:24" ht="15.75" thickTop="1">
      <c r="C167" s="294" t="b">
        <v>1</v>
      </c>
      <c r="D167" s="294" t="b">
        <v>1</v>
      </c>
      <c r="E167" s="294" t="b">
        <v>1</v>
      </c>
      <c r="F167" s="294" t="b">
        <v>1</v>
      </c>
      <c r="G167" s="294" t="b">
        <v>1</v>
      </c>
      <c r="H167" s="294" t="b">
        <v>1</v>
      </c>
      <c r="I167" s="294" t="b">
        <v>1</v>
      </c>
      <c r="J167" s="294" t="b">
        <v>1</v>
      </c>
      <c r="K167" s="294" t="b">
        <v>1</v>
      </c>
      <c r="L167" s="294" t="b">
        <v>1</v>
      </c>
      <c r="M167" s="15"/>
      <c r="O167" s="291"/>
      <c r="X167"/>
    </row>
    <row r="168" spans="1:24">
      <c r="L168" s="25"/>
      <c r="M168" s="25"/>
      <c r="O168" s="291"/>
      <c r="X168"/>
    </row>
    <row r="169" spans="1:24">
      <c r="G169" s="15"/>
      <c r="H169" s="15"/>
      <c r="I169" s="15"/>
      <c r="J169" s="15"/>
      <c r="K169" s="15"/>
      <c r="L169" s="15"/>
      <c r="M169" s="15"/>
      <c r="O169" s="291"/>
      <c r="X169"/>
    </row>
    <row r="170" spans="1:24">
      <c r="A170" t="s">
        <v>13</v>
      </c>
      <c r="G170" s="229"/>
      <c r="H170" s="15"/>
      <c r="I170" s="15"/>
      <c r="J170" s="15"/>
      <c r="K170" s="15"/>
      <c r="L170" s="15"/>
      <c r="M170" s="15"/>
      <c r="O170" s="291"/>
      <c r="X170"/>
    </row>
    <row r="171" spans="1:24">
      <c r="A171" t="s">
        <v>374</v>
      </c>
      <c r="G171" s="13"/>
      <c r="H171" s="13"/>
      <c r="I171" s="13"/>
      <c r="J171" s="13"/>
      <c r="K171" s="13"/>
      <c r="L171" s="13"/>
      <c r="M171" s="13"/>
      <c r="O171" s="291"/>
      <c r="X171"/>
    </row>
    <row r="172" spans="1:24">
      <c r="M172" s="23"/>
      <c r="O172" s="291"/>
      <c r="X172"/>
    </row>
    <row r="173" spans="1:24">
      <c r="M173" s="23"/>
      <c r="O173" s="291"/>
      <c r="X173"/>
    </row>
    <row r="174" spans="1:24">
      <c r="O174" s="291"/>
      <c r="X174"/>
    </row>
    <row r="175" spans="1:24">
      <c r="O175" s="291"/>
      <c r="X175"/>
    </row>
    <row r="176" spans="1:24">
      <c r="O176" s="291"/>
      <c r="X176"/>
    </row>
    <row r="177" spans="13:24">
      <c r="O177" s="291"/>
      <c r="X177"/>
    </row>
    <row r="178" spans="13:24">
      <c r="O178" s="291"/>
      <c r="X178"/>
    </row>
    <row r="179" spans="13:24">
      <c r="O179" s="291"/>
      <c r="X179"/>
    </row>
    <row r="180" spans="13:24">
      <c r="O180" s="291"/>
      <c r="X180"/>
    </row>
    <row r="181" spans="13:24">
      <c r="O181" s="291"/>
      <c r="X181"/>
    </row>
    <row r="182" spans="13:24">
      <c r="M182" s="23"/>
      <c r="O182" s="291"/>
      <c r="X182"/>
    </row>
    <row r="183" spans="13:24">
      <c r="O183" s="291"/>
      <c r="X183"/>
    </row>
    <row r="184" spans="13:24">
      <c r="O184" s="291"/>
      <c r="X184"/>
    </row>
    <row r="185" spans="13:24">
      <c r="O185" s="291"/>
      <c r="X185"/>
    </row>
    <row r="186" spans="13:24">
      <c r="O186" s="291"/>
      <c r="X186"/>
    </row>
    <row r="187" spans="13:24">
      <c r="O187" s="291"/>
      <c r="X187"/>
    </row>
  </sheetData>
  <autoFilter ref="A7:T167" xr:uid="{58C69D28-87E3-445F-89CF-C3F304F54B9A}"/>
  <sortState xmlns:xlrd2="http://schemas.microsoft.com/office/spreadsheetml/2017/richdata2" ref="A65:S155">
    <sortCondition ref="S64"/>
  </sortState>
  <conditionalFormatting sqref="B1:B11 B13:B20 B22:B32 B34 B36:B81 B83:B84 B87:B1048576">
    <cfRule type="containsText" dxfId="16" priority="10" operator="containsText" text="check">
      <formula>NOT(ISERROR(SEARCH("check",B1)))</formula>
    </cfRule>
  </conditionalFormatting>
  <conditionalFormatting sqref="B158:B161">
    <cfRule type="cellIs" dxfId="15" priority="1" operator="equal">
      <formula>"CHECK"</formula>
    </cfRule>
  </conditionalFormatting>
  <conditionalFormatting sqref="B9:R152">
    <cfRule type="cellIs" dxfId="14" priority="5" operator="equal">
      <formula>"CHECK"</formula>
    </cfRule>
  </conditionalFormatting>
  <dataValidations count="2">
    <dataValidation type="list" allowBlank="1" showInputMessage="1" showErrorMessage="1" sqref="A2" xr:uid="{F8220AF0-0476-4475-8A4A-4E62DB8EF76B}">
      <formula1>"Annual Period 2020,Annual Period 2021,Annual Period 2022,Annual Period 2023,Annual Period 2024, Annual Period 2025"</formula1>
    </dataValidation>
    <dataValidation type="list" allowBlank="1" showInputMessage="1" showErrorMessage="1" sqref="A3" xr:uid="{17BCF09E-30A3-4D07-9277-64833BF578E4}">
      <formula1>"Reporting Date: Quarter Ended March 31,Reporting Date: Quarter Ended June 30,Reporting Date: Quarter Ended September 30,Reporting Date: Quarter Ended December 31"</formula1>
    </dataValidation>
  </dataValidations>
  <pageMargins left="0.7" right="0.7" top="0.75" bottom="0.75" header="0.3" footer="0.3"/>
  <pageSetup paperSize="5" scale="9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486F18-8C03-46B1-A3A4-34B73037874F}">
  <sheetPr codeName="Sheet7"/>
  <dimension ref="A1:AE185"/>
  <sheetViews>
    <sheetView workbookViewId="0"/>
  </sheetViews>
  <sheetFormatPr defaultColWidth="8.85546875" defaultRowHeight="15"/>
  <cols>
    <col min="1" max="1" width="58.140625" customWidth="1"/>
    <col min="2" max="2" width="39.42578125" bestFit="1" customWidth="1"/>
    <col min="3" max="3" width="38.42578125" customWidth="1"/>
    <col min="4" max="4" width="14.85546875" bestFit="1" customWidth="1"/>
    <col min="5" max="5" width="23" bestFit="1" customWidth="1"/>
    <col min="6" max="6" width="13.140625" customWidth="1"/>
    <col min="7" max="7" width="15.85546875" bestFit="1" customWidth="1"/>
    <col min="8" max="8" width="15.42578125" bestFit="1" customWidth="1"/>
    <col min="9" max="9" width="14.42578125" bestFit="1" customWidth="1"/>
    <col min="10" max="10" width="14.42578125" customWidth="1"/>
    <col min="11" max="11" width="23.42578125" style="12" customWidth="1"/>
    <col min="12" max="12" width="18.28515625" style="12" customWidth="1"/>
    <col min="13" max="13" width="11.7109375" bestFit="1" customWidth="1"/>
    <col min="14" max="14" width="10.42578125" customWidth="1"/>
    <col min="15" max="15" width="15" bestFit="1" customWidth="1"/>
    <col min="16" max="16" width="26.140625" bestFit="1" customWidth="1"/>
    <col min="17" max="17" width="14.140625" bestFit="1" customWidth="1"/>
    <col min="18" max="18" width="13.7109375" bestFit="1" customWidth="1"/>
    <col min="19" max="19" width="12.140625" bestFit="1" customWidth="1"/>
    <col min="20" max="20" width="14" customWidth="1"/>
    <col min="21" max="21" width="8.5703125" customWidth="1"/>
    <col min="22" max="22" width="14" customWidth="1"/>
    <col min="23" max="23" width="24" bestFit="1" customWidth="1"/>
    <col min="24" max="24" width="14" customWidth="1"/>
    <col min="25" max="25" width="7.7109375" bestFit="1" customWidth="1"/>
    <col min="26" max="26" width="1.42578125" customWidth="1"/>
    <col min="27" max="27" width="11.7109375" bestFit="1" customWidth="1"/>
    <col min="28" max="28" width="5.85546875" bestFit="1" customWidth="1"/>
    <col min="29" max="29" width="1.28515625" customWidth="1"/>
    <col min="30" max="30" width="11.7109375" bestFit="1" customWidth="1"/>
    <col min="31" max="31" width="5.85546875" bestFit="1" customWidth="1"/>
    <col min="32" max="33" width="9.140625" customWidth="1"/>
  </cols>
  <sheetData>
    <row r="1" spans="1:30" ht="18.75">
      <c r="A1" s="539" t="s">
        <v>583</v>
      </c>
      <c r="B1" s="487"/>
      <c r="C1" s="487"/>
      <c r="D1" s="487"/>
      <c r="E1" s="487"/>
      <c r="F1" s="487"/>
      <c r="G1" s="487"/>
      <c r="H1" s="487"/>
      <c r="I1" s="487"/>
      <c r="J1" s="487"/>
      <c r="K1" s="487"/>
      <c r="L1" s="487"/>
      <c r="M1" s="487"/>
      <c r="N1" s="487"/>
      <c r="O1" s="487"/>
      <c r="P1" s="487"/>
      <c r="Q1" s="487"/>
    </row>
    <row r="2" spans="1:30" ht="18.75">
      <c r="A2" s="539" t="s">
        <v>474</v>
      </c>
      <c r="B2" s="17"/>
    </row>
    <row r="3" spans="1:30" ht="18.75">
      <c r="A3" s="539" t="s">
        <v>539</v>
      </c>
      <c r="B3" s="17"/>
    </row>
    <row r="4" spans="1:30" ht="18.75">
      <c r="A4" s="539" t="s">
        <v>584</v>
      </c>
      <c r="B4" s="17"/>
    </row>
    <row r="5" spans="1:30">
      <c r="A5" s="18" t="s">
        <v>88</v>
      </c>
      <c r="B5" s="21">
        <f>'Authorized Rev Req'!R166</f>
        <v>4349041.9744177405</v>
      </c>
    </row>
    <row r="6" spans="1:30">
      <c r="A6" s="18" t="s">
        <v>89</v>
      </c>
      <c r="B6" s="406" t="str">
        <f>Summary!I2</f>
        <v>6/1/25</v>
      </c>
    </row>
    <row r="7" spans="1:30" ht="32.25" customHeight="1">
      <c r="A7" s="581" t="s">
        <v>90</v>
      </c>
      <c r="B7" s="582"/>
      <c r="C7" s="582"/>
      <c r="D7" s="582"/>
      <c r="E7" s="582"/>
      <c r="F7" s="582"/>
      <c r="G7" s="582"/>
      <c r="H7" s="582"/>
      <c r="I7" s="582"/>
      <c r="J7" s="582"/>
      <c r="K7" s="582"/>
      <c r="L7" s="583"/>
      <c r="O7" s="577" t="s">
        <v>158</v>
      </c>
      <c r="P7" s="577"/>
      <c r="Q7" s="577"/>
      <c r="R7" s="577"/>
      <c r="S7" s="577"/>
      <c r="T7" s="577"/>
    </row>
    <row r="8" spans="1:30" ht="72" customHeight="1">
      <c r="A8" s="385" t="s">
        <v>0</v>
      </c>
      <c r="B8" s="151" t="s">
        <v>91</v>
      </c>
      <c r="C8" s="152" t="s">
        <v>4</v>
      </c>
      <c r="D8" s="152" t="s">
        <v>122</v>
      </c>
      <c r="E8" s="152" t="s">
        <v>1</v>
      </c>
      <c r="F8" s="578" t="s">
        <v>123</v>
      </c>
      <c r="G8" s="578"/>
      <c r="H8" s="578"/>
      <c r="I8" s="578"/>
      <c r="J8" s="578"/>
      <c r="K8" s="152" t="s">
        <v>92</v>
      </c>
      <c r="L8" s="386"/>
      <c r="O8" s="19"/>
      <c r="P8" s="31">
        <v>2025</v>
      </c>
      <c r="Q8" s="31">
        <v>2026</v>
      </c>
      <c r="R8" s="31">
        <v>2027</v>
      </c>
      <c r="S8" s="31">
        <v>2028</v>
      </c>
      <c r="T8" s="31">
        <v>2029</v>
      </c>
      <c r="V8" s="509"/>
    </row>
    <row r="9" spans="1:30">
      <c r="A9" s="385" t="s">
        <v>2</v>
      </c>
      <c r="B9" s="19"/>
      <c r="C9" s="19"/>
      <c r="D9" s="475" t="str">
        <f>B6</f>
        <v>6/1/25</v>
      </c>
      <c r="E9" s="151"/>
      <c r="F9" s="151">
        <v>2025</v>
      </c>
      <c r="G9" s="151">
        <v>2026</v>
      </c>
      <c r="H9" s="151">
        <v>2027</v>
      </c>
      <c r="I9" s="151">
        <v>2028</v>
      </c>
      <c r="J9" s="151">
        <v>2029</v>
      </c>
      <c r="K9" s="476"/>
      <c r="L9" s="477"/>
      <c r="O9" s="76" t="s">
        <v>3</v>
      </c>
      <c r="P9" s="75">
        <f t="shared" ref="P9:P22" si="0">SUMIF($E$10:$E$82,O9,$F$10:$F$82)</f>
        <v>601659.58027638542</v>
      </c>
      <c r="Q9" s="75">
        <f>SUMIF($E$10:$E$82,O9,$G$10:$G$82)</f>
        <v>609965.55884189333</v>
      </c>
      <c r="R9" s="75">
        <f>SUMIF($E$10:$E$82,O9,$H$10:$H$82)</f>
        <v>631049.14309518831</v>
      </c>
      <c r="S9" s="75">
        <f>SUMIF($E$10:$E$82,O9,$I$10:$I$82)</f>
        <v>631049.14647980884</v>
      </c>
      <c r="T9" s="75">
        <f>SUMIF($E$10:$E$82,O9,$J$10:$J$82)</f>
        <v>630882.99788069271</v>
      </c>
      <c r="V9" s="438"/>
    </row>
    <row r="10" spans="1:30">
      <c r="A10" t="s">
        <v>93</v>
      </c>
      <c r="C10" s="23" t="str">
        <f>'Authorized Rev Req'!B9</f>
        <v>D.24-10-008, D.24-12-074, AL 4553-E</v>
      </c>
      <c r="D10" s="23">
        <f t="shared" ref="D10:D23" si="1">F10</f>
        <v>2016576.1387274999</v>
      </c>
      <c r="E10" t="str">
        <f>'Authorized Rev Req'!S9</f>
        <v>Distribution</v>
      </c>
      <c r="F10" s="23">
        <f>'Authorized Rev Req'!R9</f>
        <v>2016576.1387274999</v>
      </c>
      <c r="G10" s="23">
        <v>2110706.5256969999</v>
      </c>
      <c r="H10" s="23">
        <v>2207239.5701054996</v>
      </c>
      <c r="I10" s="23">
        <f>H10</f>
        <v>2207239.5701054996</v>
      </c>
      <c r="J10" s="23">
        <f>I10</f>
        <v>2207239.5701054996</v>
      </c>
      <c r="K10" s="12" t="s">
        <v>94</v>
      </c>
      <c r="L10" s="23"/>
      <c r="M10" s="407"/>
      <c r="N10" s="407"/>
      <c r="O10" s="76" t="s">
        <v>392</v>
      </c>
      <c r="P10" s="75">
        <f t="shared" si="0"/>
        <v>80.182302790146849</v>
      </c>
      <c r="Q10" s="75">
        <f t="shared" ref="Q10:Q22" si="2">SUMIF($E$10:$E$82,O10,$G$10:$G$82)</f>
        <v>80.182302790146849</v>
      </c>
      <c r="R10" s="75">
        <f t="shared" ref="R10:R22" si="3">SUMIF($E$10:$E$82,O10,$H$10:$H$82)</f>
        <v>80.182302790146849</v>
      </c>
      <c r="S10" s="75">
        <f t="shared" ref="S10:S22" si="4">SUMIF($E$10:$E$82,O10,$I$10:$I$82)</f>
        <v>80.182302790146849</v>
      </c>
      <c r="T10" s="75">
        <f t="shared" ref="T10:T22" si="5">SUMIF($E$10:$E$82,O10,$J$10:$J$82)</f>
        <v>80.182302790146849</v>
      </c>
      <c r="U10" s="25"/>
      <c r="V10" s="438"/>
      <c r="AD10" s="25"/>
    </row>
    <row r="11" spans="1:30" ht="16.5" customHeight="1">
      <c r="A11" t="s">
        <v>93</v>
      </c>
      <c r="C11" s="23" t="str">
        <f>'Authorized Rev Req'!B10</f>
        <v>D.24-10-008, D.24-12-074, AL 4553-E</v>
      </c>
      <c r="D11" s="23">
        <f t="shared" si="1"/>
        <v>218153.07271800001</v>
      </c>
      <c r="E11" t="str">
        <f>'Authorized Rev Req'!S10</f>
        <v>Generation</v>
      </c>
      <c r="F11" s="23">
        <f>'Authorized Rev Req'!R10</f>
        <v>218153.07271800001</v>
      </c>
      <c r="G11" s="23">
        <v>226292.56857900001</v>
      </c>
      <c r="H11" s="23">
        <v>233033.45254699999</v>
      </c>
      <c r="I11" s="23">
        <f t="shared" ref="G11:I21" si="6">H11</f>
        <v>233033.45254699999</v>
      </c>
      <c r="J11" s="23">
        <f t="shared" ref="J11:J79" si="7">I11</f>
        <v>233033.45254699999</v>
      </c>
      <c r="K11" s="12" t="s">
        <v>94</v>
      </c>
      <c r="L11" s="23"/>
      <c r="M11" s="407"/>
      <c r="N11" s="407"/>
      <c r="O11" s="76" t="s">
        <v>59</v>
      </c>
      <c r="P11" s="75">
        <f t="shared" si="0"/>
        <v>111028.10550104988</v>
      </c>
      <c r="Q11" s="75">
        <f t="shared" si="2"/>
        <v>111028.10550104988</v>
      </c>
      <c r="R11" s="75">
        <f t="shared" si="3"/>
        <v>111028.10550104988</v>
      </c>
      <c r="S11" s="75">
        <f t="shared" si="4"/>
        <v>111028.10550104988</v>
      </c>
      <c r="T11" s="75">
        <f t="shared" si="5"/>
        <v>111028.10550104988</v>
      </c>
      <c r="U11" s="25"/>
      <c r="V11" s="438"/>
    </row>
    <row r="12" spans="1:30">
      <c r="A12" t="s">
        <v>380</v>
      </c>
      <c r="C12" s="23" t="str">
        <f>'Authorized Rev Req'!B18</f>
        <v>D.24-12-040, AL 4588-E</v>
      </c>
      <c r="D12" s="23">
        <f t="shared" si="1"/>
        <v>464895.44433890504</v>
      </c>
      <c r="E12" t="str">
        <f>'Authorized Rev Req'!S18</f>
        <v>Generation</v>
      </c>
      <c r="F12" s="23">
        <f>'Authorized Rev Req'!R18</f>
        <v>464895.44433890504</v>
      </c>
      <c r="G12" s="23">
        <f t="shared" si="6"/>
        <v>464895.44433890504</v>
      </c>
      <c r="H12" s="23">
        <f t="shared" si="6"/>
        <v>464895.44433890504</v>
      </c>
      <c r="I12" s="23">
        <f t="shared" si="6"/>
        <v>464895.44433890504</v>
      </c>
      <c r="J12" s="23">
        <f t="shared" si="7"/>
        <v>464895.44433890504</v>
      </c>
      <c r="K12" s="12" t="s">
        <v>94</v>
      </c>
      <c r="L12" s="23"/>
      <c r="M12" s="407"/>
      <c r="N12" s="407"/>
      <c r="O12" s="76" t="s">
        <v>5</v>
      </c>
      <c r="P12" s="75">
        <f t="shared" si="0"/>
        <v>2680473.8388573714</v>
      </c>
      <c r="Q12" s="75">
        <f t="shared" si="2"/>
        <v>2679583.3947003065</v>
      </c>
      <c r="R12" s="75">
        <f t="shared" si="3"/>
        <v>2536669.085131574</v>
      </c>
      <c r="S12" s="75">
        <f t="shared" si="4"/>
        <v>2535099.1373992949</v>
      </c>
      <c r="T12" s="75">
        <f t="shared" si="5"/>
        <v>2527010.8973516137</v>
      </c>
      <c r="U12" s="25"/>
      <c r="V12" s="438"/>
    </row>
    <row r="13" spans="1:30">
      <c r="A13" t="s">
        <v>14</v>
      </c>
      <c r="C13" s="23" t="str">
        <f>'Authorized Rev Req'!B41</f>
        <v>D.24-12-040</v>
      </c>
      <c r="D13" s="23">
        <f t="shared" si="1"/>
        <v>2311.0350881632939</v>
      </c>
      <c r="E13" t="str">
        <f>'Authorized Rev Req'!S41</f>
        <v>CTC</v>
      </c>
      <c r="F13" s="23">
        <f>'Authorized Rev Req'!R41</f>
        <v>2311.0350881632939</v>
      </c>
      <c r="G13" s="23">
        <f t="shared" si="6"/>
        <v>2311.0350881632939</v>
      </c>
      <c r="H13" s="23">
        <f t="shared" si="6"/>
        <v>2311.0350881632939</v>
      </c>
      <c r="I13" s="23">
        <f t="shared" si="6"/>
        <v>2311.0350881632939</v>
      </c>
      <c r="J13" s="23">
        <f t="shared" si="7"/>
        <v>2311.0350881632939</v>
      </c>
      <c r="K13" s="12" t="s">
        <v>94</v>
      </c>
      <c r="L13" s="23"/>
      <c r="M13" s="407"/>
      <c r="N13" s="407"/>
      <c r="O13" s="76" t="s">
        <v>98</v>
      </c>
      <c r="P13" s="75">
        <f t="shared" si="0"/>
        <v>-246532.22998150348</v>
      </c>
      <c r="Q13" s="75">
        <f t="shared" si="2"/>
        <v>-246532.22998150348</v>
      </c>
      <c r="R13" s="75">
        <f t="shared" si="3"/>
        <v>-246532.22998150348</v>
      </c>
      <c r="S13" s="75">
        <f t="shared" si="4"/>
        <v>-246532.22998150348</v>
      </c>
      <c r="T13" s="75">
        <f t="shared" si="5"/>
        <v>-246532.22998150348</v>
      </c>
      <c r="U13" s="25"/>
      <c r="V13" s="438"/>
    </row>
    <row r="14" spans="1:30">
      <c r="A14" t="s">
        <v>59</v>
      </c>
      <c r="C14" s="23" t="str">
        <f>'Authorized Rev Req'!B43</f>
        <v>D.24-12-040, AL 4588-E</v>
      </c>
      <c r="D14" s="23">
        <f t="shared" si="1"/>
        <v>194547.97944908033</v>
      </c>
      <c r="E14" t="str">
        <f>'Authorized Rev Req'!S43</f>
        <v>LGC</v>
      </c>
      <c r="F14" s="23">
        <f>'Authorized Rev Req'!R43</f>
        <v>194547.97944908033</v>
      </c>
      <c r="G14" s="23">
        <f t="shared" si="6"/>
        <v>194547.97944908033</v>
      </c>
      <c r="H14" s="23">
        <f t="shared" si="6"/>
        <v>194547.97944908033</v>
      </c>
      <c r="I14" s="23">
        <f t="shared" si="6"/>
        <v>194547.97944908033</v>
      </c>
      <c r="J14" s="23">
        <f t="shared" si="7"/>
        <v>194547.97944908033</v>
      </c>
      <c r="K14" s="12" t="s">
        <v>94</v>
      </c>
      <c r="L14" s="23"/>
      <c r="M14" s="407"/>
      <c r="N14" s="407"/>
      <c r="O14" s="76" t="s">
        <v>14</v>
      </c>
      <c r="P14" s="75">
        <f t="shared" si="0"/>
        <v>5662.2347651632936</v>
      </c>
      <c r="Q14" s="75">
        <f t="shared" si="2"/>
        <v>5662.2347651632936</v>
      </c>
      <c r="R14" s="75">
        <f t="shared" si="3"/>
        <v>5662.2347651632936</v>
      </c>
      <c r="S14" s="75">
        <f t="shared" si="4"/>
        <v>5662.2347651632936</v>
      </c>
      <c r="T14" s="75">
        <f t="shared" si="5"/>
        <v>5662.2347651632936</v>
      </c>
      <c r="U14" s="25"/>
      <c r="V14" s="438"/>
    </row>
    <row r="15" spans="1:30">
      <c r="A15" t="s">
        <v>95</v>
      </c>
      <c r="C15" s="25" t="str">
        <f>'Authorized Rev Req'!B45</f>
        <v>D.24-08-001, D.24-12-040</v>
      </c>
      <c r="D15" s="23">
        <f t="shared" si="1"/>
        <v>0</v>
      </c>
      <c r="E15" t="str">
        <f>'Authorized Rev Req'!S45</f>
        <v>ND</v>
      </c>
      <c r="F15" s="25">
        <f>'Authorized Rev Req'!R45</f>
        <v>0</v>
      </c>
      <c r="G15" s="23">
        <f t="shared" si="6"/>
        <v>0</v>
      </c>
      <c r="H15" s="23">
        <f t="shared" si="6"/>
        <v>0</v>
      </c>
      <c r="I15" s="23">
        <f t="shared" si="6"/>
        <v>0</v>
      </c>
      <c r="J15" s="23">
        <f t="shared" si="7"/>
        <v>0</v>
      </c>
      <c r="K15" s="12" t="s">
        <v>94</v>
      </c>
      <c r="L15" s="330"/>
      <c r="M15" s="407"/>
      <c r="N15" s="407"/>
      <c r="O15" s="76" t="s">
        <v>80</v>
      </c>
      <c r="P15" s="75">
        <f t="shared" si="0"/>
        <v>211.66537700000001</v>
      </c>
      <c r="Q15" s="75">
        <f t="shared" si="2"/>
        <v>211.66537700000001</v>
      </c>
      <c r="R15" s="75">
        <f t="shared" si="3"/>
        <v>211.66537700000001</v>
      </c>
      <c r="S15" s="75">
        <f t="shared" si="4"/>
        <v>211.66537700000001</v>
      </c>
      <c r="T15" s="75">
        <f t="shared" si="5"/>
        <v>211.66537700000001</v>
      </c>
      <c r="U15" s="25"/>
      <c r="V15" s="438"/>
    </row>
    <row r="16" spans="1:30">
      <c r="A16" t="s">
        <v>96</v>
      </c>
      <c r="C16" s="23" t="str">
        <f>'Authorized Rev Req'!B38</f>
        <v>A.23-05-010</v>
      </c>
      <c r="D16" s="23">
        <f t="shared" si="1"/>
        <v>1595.085975</v>
      </c>
      <c r="E16" t="str">
        <f>'Authorized Rev Req'!S38</f>
        <v>Generation</v>
      </c>
      <c r="F16" s="23">
        <f>'Authorized Rev Req'!R38</f>
        <v>1595.085975</v>
      </c>
      <c r="G16" s="23">
        <f t="shared" si="6"/>
        <v>1595.085975</v>
      </c>
      <c r="H16" s="23">
        <f t="shared" si="6"/>
        <v>1595.085975</v>
      </c>
      <c r="I16" s="23">
        <f t="shared" si="6"/>
        <v>1595.085975</v>
      </c>
      <c r="J16" s="23">
        <f t="shared" si="7"/>
        <v>1595.085975</v>
      </c>
      <c r="K16" s="12" t="s">
        <v>94</v>
      </c>
      <c r="L16" s="23"/>
      <c r="M16" s="407"/>
      <c r="N16" s="407"/>
      <c r="O16" s="77" t="s">
        <v>100</v>
      </c>
      <c r="P16" s="75">
        <f t="shared" si="0"/>
        <v>407687.37359999999</v>
      </c>
      <c r="Q16" s="75">
        <f t="shared" si="2"/>
        <v>400282.12089144217</v>
      </c>
      <c r="R16" s="75">
        <f t="shared" si="3"/>
        <v>383180.61711509101</v>
      </c>
      <c r="S16" s="75">
        <f t="shared" si="4"/>
        <v>359399.95251509099</v>
      </c>
      <c r="T16" s="75">
        <f t="shared" si="5"/>
        <v>359399.95251509099</v>
      </c>
      <c r="U16" s="25"/>
      <c r="V16" s="438"/>
    </row>
    <row r="17" spans="1:29">
      <c r="A17" t="s">
        <v>225</v>
      </c>
      <c r="C17" s="25" t="str">
        <f>'Authorized Rev Req'!B48</f>
        <v>D.24-12-001</v>
      </c>
      <c r="D17" s="23">
        <f t="shared" si="1"/>
        <v>91816.684925380512</v>
      </c>
      <c r="E17" t="str">
        <f>'Authorized Rev Req'!S48</f>
        <v>Wildfire Fund NBC</v>
      </c>
      <c r="F17" s="25">
        <f>'Authorized Rev Req'!R48</f>
        <v>91816.684925380512</v>
      </c>
      <c r="G17" s="23">
        <f t="shared" si="6"/>
        <v>91816.684925380512</v>
      </c>
      <c r="H17" s="25">
        <f t="shared" si="6"/>
        <v>91816.684925380512</v>
      </c>
      <c r="I17" s="23">
        <f t="shared" si="6"/>
        <v>91816.684925380512</v>
      </c>
      <c r="J17" s="23">
        <f t="shared" si="7"/>
        <v>91816.684925380512</v>
      </c>
      <c r="K17" s="12" t="s">
        <v>94</v>
      </c>
      <c r="L17" s="330"/>
      <c r="M17" s="407"/>
      <c r="N17" s="407"/>
      <c r="O17" s="76" t="s">
        <v>97</v>
      </c>
      <c r="P17" s="75">
        <f t="shared" si="0"/>
        <v>0</v>
      </c>
      <c r="Q17" s="75">
        <f t="shared" si="2"/>
        <v>0</v>
      </c>
      <c r="R17" s="75">
        <f t="shared" si="3"/>
        <v>0</v>
      </c>
      <c r="S17" s="75">
        <f t="shared" si="4"/>
        <v>0</v>
      </c>
      <c r="T17" s="75">
        <f t="shared" si="5"/>
        <v>0</v>
      </c>
      <c r="U17" s="25"/>
      <c r="V17" s="438"/>
    </row>
    <row r="18" spans="1:29">
      <c r="A18" t="s">
        <v>324</v>
      </c>
      <c r="C18" s="25" t="str">
        <f>'Authorized Rev Req'!B21</f>
        <v>D.24-12-040, D.24-12-074 D.24-10-008, AL 4553-E, AL 4588-E</v>
      </c>
      <c r="D18" s="23">
        <f t="shared" si="1"/>
        <v>-66097.75023491781</v>
      </c>
      <c r="E18" t="str">
        <f>'Authorized Rev Req'!S21</f>
        <v>Generation</v>
      </c>
      <c r="F18" s="25">
        <f>'Authorized Rev Req'!R21</f>
        <v>-66097.75023491781</v>
      </c>
      <c r="G18" s="23">
        <f t="shared" si="6"/>
        <v>-66097.75023491781</v>
      </c>
      <c r="H18" s="23">
        <f t="shared" si="6"/>
        <v>-66097.75023491781</v>
      </c>
      <c r="I18" s="23">
        <f t="shared" si="6"/>
        <v>-66097.75023491781</v>
      </c>
      <c r="J18" s="23">
        <f t="shared" si="7"/>
        <v>-66097.75023491781</v>
      </c>
      <c r="K18" s="12" t="s">
        <v>94</v>
      </c>
      <c r="L18" s="330"/>
      <c r="M18" s="407"/>
      <c r="N18" s="407"/>
      <c r="O18" s="76" t="s">
        <v>256</v>
      </c>
      <c r="P18" s="75">
        <f t="shared" si="0"/>
        <v>-165929.65136068387</v>
      </c>
      <c r="Q18" s="75">
        <f t="shared" si="2"/>
        <v>-165929.65136068387</v>
      </c>
      <c r="R18" s="75">
        <f t="shared" si="3"/>
        <v>-185769.51988149245</v>
      </c>
      <c r="S18" s="75">
        <f t="shared" si="4"/>
        <v>-185769.51988149245</v>
      </c>
      <c r="T18" s="75">
        <f t="shared" si="5"/>
        <v>-185769.51988149245</v>
      </c>
      <c r="U18" s="25"/>
      <c r="V18" s="438"/>
    </row>
    <row r="19" spans="1:29">
      <c r="A19" t="s">
        <v>327</v>
      </c>
      <c r="C19" s="25" t="str">
        <f>'Authorized Rev Req'!B26</f>
        <v>D.24-12-040, AL 4588-E, Resolution E-5217</v>
      </c>
      <c r="D19" s="23">
        <f t="shared" si="1"/>
        <v>-3939.3649907225172</v>
      </c>
      <c r="E19" t="str">
        <f>'Authorized Rev Req'!S26</f>
        <v>PCIA</v>
      </c>
      <c r="F19" s="25">
        <f>'Authorized Rev Req'!R26</f>
        <v>-3939.3649907225172</v>
      </c>
      <c r="G19" s="23">
        <f t="shared" si="6"/>
        <v>-3939.3649907225172</v>
      </c>
      <c r="H19" s="23">
        <f t="shared" si="6"/>
        <v>-3939.3649907225172</v>
      </c>
      <c r="I19" s="23">
        <f t="shared" si="6"/>
        <v>-3939.3649907225172</v>
      </c>
      <c r="J19" s="23">
        <f t="shared" si="7"/>
        <v>-3939.3649907225172</v>
      </c>
      <c r="K19" s="12" t="s">
        <v>94</v>
      </c>
      <c r="L19" s="330"/>
      <c r="M19" s="407"/>
      <c r="N19" s="407"/>
      <c r="O19" s="76" t="s">
        <v>10</v>
      </c>
      <c r="P19" s="75">
        <f t="shared" si="0"/>
        <v>862705.42626704415</v>
      </c>
      <c r="Q19" s="75">
        <f t="shared" si="2"/>
        <v>862705.42626704415</v>
      </c>
      <c r="R19" s="75">
        <f t="shared" si="3"/>
        <v>862705.42626704415</v>
      </c>
      <c r="S19" s="75">
        <f t="shared" si="4"/>
        <v>862705.42626704415</v>
      </c>
      <c r="T19" s="75">
        <f t="shared" si="5"/>
        <v>862705.42626704415</v>
      </c>
      <c r="U19" s="25"/>
      <c r="V19" s="438"/>
    </row>
    <row r="20" spans="1:29">
      <c r="A20" t="s">
        <v>392</v>
      </c>
      <c r="C20" s="25" t="str">
        <f>'Authorized Rev Req'!B55</f>
        <v>D.24-12-040, AL 4588-E</v>
      </c>
      <c r="D20" s="23">
        <f t="shared" si="1"/>
        <v>80.182302790146849</v>
      </c>
      <c r="E20" t="str">
        <f>'Authorized Rev Req'!S55</f>
        <v>MCAM</v>
      </c>
      <c r="F20" s="25">
        <f>'Authorized Rev Req'!R55</f>
        <v>80.182302790146849</v>
      </c>
      <c r="G20" s="23">
        <f t="shared" si="6"/>
        <v>80.182302790146849</v>
      </c>
      <c r="H20" s="23">
        <f t="shared" si="6"/>
        <v>80.182302790146849</v>
      </c>
      <c r="I20" s="23">
        <f t="shared" si="6"/>
        <v>80.182302790146849</v>
      </c>
      <c r="J20" s="23">
        <f t="shared" si="7"/>
        <v>80.182302790146849</v>
      </c>
      <c r="K20" s="12" t="s">
        <v>94</v>
      </c>
      <c r="L20" s="330"/>
      <c r="M20" s="407"/>
      <c r="N20" s="407"/>
      <c r="O20" s="76" t="s">
        <v>87</v>
      </c>
      <c r="P20" s="75">
        <f t="shared" si="0"/>
        <v>178.76388774267036</v>
      </c>
      <c r="Q20" s="75">
        <f t="shared" si="2"/>
        <v>178.76388774267036</v>
      </c>
      <c r="R20" s="75">
        <f t="shared" si="3"/>
        <v>178.76388774267036</v>
      </c>
      <c r="S20" s="75">
        <f t="shared" si="4"/>
        <v>178.76388774267036</v>
      </c>
      <c r="T20" s="75">
        <f t="shared" si="5"/>
        <v>178.76388774267036</v>
      </c>
      <c r="U20" s="25"/>
      <c r="V20" s="438"/>
    </row>
    <row r="21" spans="1:29">
      <c r="A21" t="s">
        <v>434</v>
      </c>
      <c r="C21" s="25" t="str">
        <f>'Authorized Rev Req'!B30</f>
        <v>D.24-12-040, AL 4588-E, Resolution E-5217</v>
      </c>
      <c r="D21" s="23">
        <f t="shared" si="1"/>
        <v>7369.6605196006794</v>
      </c>
      <c r="E21" t="str">
        <f>'Authorized Rev Req'!S30</f>
        <v>PCIA</v>
      </c>
      <c r="F21" s="25">
        <f>'Authorized Rev Req'!R30</f>
        <v>7369.6605196006794</v>
      </c>
      <c r="G21" s="23">
        <f t="shared" si="6"/>
        <v>7369.6605196006794</v>
      </c>
      <c r="H21" s="23">
        <f t="shared" si="6"/>
        <v>7369.6605196006794</v>
      </c>
      <c r="I21" s="23">
        <f t="shared" si="6"/>
        <v>7369.6605196006794</v>
      </c>
      <c r="J21" s="23">
        <f t="shared" si="7"/>
        <v>7369.6605196006794</v>
      </c>
      <c r="K21" s="12" t="s">
        <v>94</v>
      </c>
      <c r="L21"/>
      <c r="M21" s="407"/>
      <c r="N21" s="407"/>
      <c r="O21" s="76" t="s">
        <v>78</v>
      </c>
      <c r="P21" s="75">
        <f t="shared" si="0"/>
        <v>0</v>
      </c>
      <c r="Q21" s="75">
        <f t="shared" si="2"/>
        <v>0</v>
      </c>
      <c r="R21" s="75">
        <f t="shared" si="3"/>
        <v>0</v>
      </c>
      <c r="S21" s="75">
        <f t="shared" si="4"/>
        <v>0</v>
      </c>
      <c r="T21" s="75">
        <f t="shared" si="5"/>
        <v>0</v>
      </c>
      <c r="U21" s="25"/>
      <c r="V21" s="438"/>
    </row>
    <row r="22" spans="1:29">
      <c r="A22" t="s">
        <v>27</v>
      </c>
      <c r="C22" s="25" t="str">
        <f>'Authorized Rev Req'!B32</f>
        <v>D.24-06-003</v>
      </c>
      <c r="D22" s="23">
        <f t="shared" si="1"/>
        <v>36482.420390634747</v>
      </c>
      <c r="E22" s="33" t="str">
        <f>'Authorized Rev Req'!S32</f>
        <v>Distribution</v>
      </c>
      <c r="F22" s="25">
        <f>'Authorized Rev Req'!R32</f>
        <v>36482.420390634747</v>
      </c>
      <c r="G22" s="23">
        <f>F22</f>
        <v>36482.420390634747</v>
      </c>
      <c r="H22" s="23"/>
      <c r="I22" s="23"/>
      <c r="J22" s="23"/>
      <c r="K22" s="12" t="s">
        <v>94</v>
      </c>
      <c r="L22" s="187"/>
      <c r="M22" s="407"/>
      <c r="N22" s="407"/>
      <c r="O22" s="76" t="s">
        <v>225</v>
      </c>
      <c r="P22" s="75">
        <f t="shared" si="0"/>
        <v>91816.684925380512</v>
      </c>
      <c r="Q22" s="75">
        <f t="shared" si="2"/>
        <v>91816.684925380512</v>
      </c>
      <c r="R22" s="75">
        <f t="shared" si="3"/>
        <v>91816.684925380512</v>
      </c>
      <c r="S22" s="75">
        <f t="shared" si="4"/>
        <v>91816.684925380512</v>
      </c>
      <c r="T22" s="75">
        <f t="shared" si="5"/>
        <v>91816.684925380512</v>
      </c>
      <c r="U22" s="25"/>
      <c r="V22" s="438"/>
    </row>
    <row r="23" spans="1:29">
      <c r="A23" t="s">
        <v>337</v>
      </c>
      <c r="B23" t="s">
        <v>338</v>
      </c>
      <c r="C23" s="25" t="s">
        <v>451</v>
      </c>
      <c r="D23" s="23">
        <f t="shared" si="1"/>
        <v>31070.493173999996</v>
      </c>
      <c r="E23" t="str">
        <f>'Authorized Rev Req'!S57</f>
        <v>Distribution</v>
      </c>
      <c r="F23" s="25">
        <f>'Authorized Rev Req'!R57</f>
        <v>31070.493173999996</v>
      </c>
      <c r="G23" s="188">
        <v>617.234555</v>
      </c>
      <c r="H23" s="188">
        <v>602.71138900000005</v>
      </c>
      <c r="J23" s="23">
        <f t="shared" si="7"/>
        <v>0</v>
      </c>
      <c r="K23" s="12" t="s">
        <v>94</v>
      </c>
      <c r="L23" s="187"/>
      <c r="M23" s="407"/>
      <c r="N23" s="407"/>
      <c r="O23" t="s">
        <v>113</v>
      </c>
      <c r="P23" s="12">
        <f>SUM(P9:P22)</f>
        <v>4349041.9744177395</v>
      </c>
      <c r="Q23" s="12">
        <f>SUM(Q9:Q22)</f>
        <v>4349052.2561176242</v>
      </c>
      <c r="R23" s="12">
        <f>SUM(R9:R22)</f>
        <v>4190280.1585050276</v>
      </c>
      <c r="S23" s="12">
        <f>SUM(S9:S22)</f>
        <v>4164929.5495573692</v>
      </c>
      <c r="T23" s="12">
        <f>SUM(T9:T22)</f>
        <v>4156675.1609105719</v>
      </c>
      <c r="U23" s="25"/>
      <c r="V23" s="438"/>
      <c r="W23" s="12"/>
      <c r="X23" s="12"/>
      <c r="Y23" s="12"/>
      <c r="Z23" s="12"/>
      <c r="AA23" s="12"/>
      <c r="AB23" s="12"/>
      <c r="AC23" s="12"/>
    </row>
    <row r="24" spans="1:29">
      <c r="A24" t="s">
        <v>478</v>
      </c>
      <c r="C24" s="12" t="str">
        <f>'Authorized Rev Req'!B72</f>
        <v>AL 4511-E/3342-G</v>
      </c>
      <c r="D24" s="23">
        <f>F24</f>
        <v>1911.1177514729998</v>
      </c>
      <c r="E24" t="str">
        <f>'Authorized Rev Req'!S72</f>
        <v>Distribution</v>
      </c>
      <c r="F24" s="12">
        <f>'Authorized Rev Req'!R72</f>
        <v>1911.1177514729998</v>
      </c>
      <c r="G24" s="23"/>
      <c r="H24" s="23"/>
      <c r="I24" s="23"/>
      <c r="J24" s="23"/>
      <c r="K24" s="12" t="s">
        <v>94</v>
      </c>
      <c r="M24" s="407"/>
      <c r="N24" s="407"/>
      <c r="O24" s="76" t="s">
        <v>250</v>
      </c>
      <c r="P24" s="236">
        <f>'Sales Allocations &amp; CCC'!S3</f>
        <v>8.0000000000000004E-4</v>
      </c>
      <c r="U24" s="25"/>
      <c r="V24" s="12"/>
      <c r="W24" s="12"/>
      <c r="X24" s="12"/>
      <c r="Y24" s="12"/>
      <c r="Z24" s="12"/>
      <c r="AA24" s="12"/>
      <c r="AB24" s="12"/>
      <c r="AC24" s="12"/>
    </row>
    <row r="25" spans="1:29">
      <c r="C25" s="25"/>
      <c r="D25" s="23"/>
      <c r="E25" s="321"/>
      <c r="F25" s="25"/>
      <c r="G25" s="23"/>
      <c r="H25" s="23"/>
      <c r="I25" s="23"/>
      <c r="J25" s="23">
        <f t="shared" si="7"/>
        <v>0</v>
      </c>
      <c r="L25" s="330"/>
      <c r="M25" s="407"/>
      <c r="N25" s="407"/>
      <c r="O25" s="223"/>
      <c r="P25" s="224"/>
      <c r="Q25" s="224"/>
      <c r="R25" s="224"/>
      <c r="S25" s="224"/>
      <c r="T25" s="224"/>
      <c r="V25" s="26"/>
      <c r="W25" s="26"/>
      <c r="X25" s="26"/>
      <c r="Y25" s="26"/>
      <c r="Z25" s="26"/>
      <c r="AA25" s="26"/>
      <c r="AB25" s="26"/>
      <c r="AC25" s="26"/>
    </row>
    <row r="26" spans="1:29">
      <c r="A26" s="18" t="s">
        <v>7</v>
      </c>
      <c r="B26" s="18"/>
      <c r="C26" s="185"/>
      <c r="D26" s="23"/>
      <c r="F26" s="185"/>
      <c r="G26" s="23"/>
      <c r="H26" s="23"/>
      <c r="I26" s="23"/>
      <c r="J26" s="23">
        <f t="shared" si="7"/>
        <v>0</v>
      </c>
      <c r="L26" s="331"/>
      <c r="M26" s="407"/>
      <c r="N26" s="407"/>
      <c r="V26" s="23"/>
      <c r="W26" s="23"/>
      <c r="X26" s="23"/>
      <c r="Y26" s="23"/>
      <c r="Z26" s="23"/>
      <c r="AA26" s="23"/>
      <c r="AB26" s="23"/>
      <c r="AC26" s="23"/>
    </row>
    <row r="27" spans="1:29">
      <c r="A27" t="s">
        <v>98</v>
      </c>
      <c r="B27" s="18"/>
      <c r="C27" s="23" t="str">
        <f>'Authorized Rev Req'!B101</f>
        <v>D.24-12-040</v>
      </c>
      <c r="D27" s="23">
        <f t="shared" ref="D27:D48" si="8">F27</f>
        <v>-246532.22998150348</v>
      </c>
      <c r="E27" t="str">
        <f>'Authorized Rev Req'!S100</f>
        <v>GHG Revenue</v>
      </c>
      <c r="F27" s="23">
        <f>'Authorized Rev Req'!R100+'Authorized Rev Req'!R101</f>
        <v>-246532.22998150348</v>
      </c>
      <c r="G27" s="23">
        <f>F27</f>
        <v>-246532.22998150348</v>
      </c>
      <c r="H27" s="23">
        <f>G27</f>
        <v>-246532.22998150348</v>
      </c>
      <c r="I27" s="23">
        <f>H27</f>
        <v>-246532.22998150348</v>
      </c>
      <c r="J27" s="23">
        <f t="shared" si="7"/>
        <v>-246532.22998150348</v>
      </c>
      <c r="K27" s="12" t="s">
        <v>94</v>
      </c>
      <c r="L27" s="23"/>
      <c r="M27" s="407"/>
      <c r="N27" s="407"/>
      <c r="V27" s="23"/>
      <c r="W27" s="23"/>
      <c r="X27" s="23"/>
      <c r="Y27" s="23"/>
      <c r="Z27" s="23"/>
      <c r="AA27" s="23"/>
      <c r="AB27" s="23"/>
      <c r="AC27" s="23"/>
    </row>
    <row r="28" spans="1:29">
      <c r="A28" t="s">
        <v>99</v>
      </c>
      <c r="B28" s="18"/>
      <c r="C28" s="25" t="str">
        <f>'Authorized Rev Req'!B107</f>
        <v>D.20-01-021</v>
      </c>
      <c r="D28" s="23">
        <f t="shared" si="8"/>
        <v>0</v>
      </c>
      <c r="E28" t="str">
        <f>'Authorized Rev Req'!S103</f>
        <v>Public Purpose Program</v>
      </c>
      <c r="F28" s="25">
        <v>0</v>
      </c>
      <c r="G28" s="23"/>
      <c r="H28" s="23"/>
      <c r="I28" s="23"/>
      <c r="J28" s="23">
        <f t="shared" si="7"/>
        <v>0</v>
      </c>
      <c r="K28" s="12" t="s">
        <v>94</v>
      </c>
      <c r="L28" s="330"/>
      <c r="M28" s="407"/>
      <c r="N28" s="407"/>
      <c r="V28" s="23"/>
      <c r="W28" s="23"/>
      <c r="X28" s="23"/>
      <c r="Y28" s="23"/>
      <c r="Z28" s="23"/>
      <c r="AA28" s="23"/>
      <c r="AB28" s="23"/>
      <c r="AC28" s="23"/>
    </row>
    <row r="29" spans="1:29">
      <c r="A29" t="s">
        <v>101</v>
      </c>
      <c r="B29" s="18"/>
      <c r="C29" s="23" t="str">
        <f>'Authorized Rev Req'!B104</f>
        <v>AL 4504-E</v>
      </c>
      <c r="D29" s="23">
        <f t="shared" si="8"/>
        <v>48660.707999999999</v>
      </c>
      <c r="E29" t="str">
        <f>'Authorized Rev Req'!S104</f>
        <v>Public Purpose Program</v>
      </c>
      <c r="F29" s="23">
        <f>'Authorized Rev Req'!R104</f>
        <v>48660.707999999999</v>
      </c>
      <c r="G29" s="23">
        <v>47515.004211799816</v>
      </c>
      <c r="H29" s="23">
        <v>46441.954515090962</v>
      </c>
      <c r="I29" s="23">
        <f>H29</f>
        <v>46441.954515090962</v>
      </c>
      <c r="J29" s="23">
        <f t="shared" si="7"/>
        <v>46441.954515090962</v>
      </c>
      <c r="K29" s="12" t="s">
        <v>94</v>
      </c>
      <c r="L29" s="23"/>
      <c r="M29" s="407"/>
      <c r="N29" s="407"/>
      <c r="V29" s="23"/>
      <c r="W29" s="23"/>
      <c r="X29" s="23"/>
      <c r="Y29" s="23"/>
      <c r="Z29" s="23"/>
      <c r="AA29" s="23"/>
      <c r="AB29" s="23"/>
      <c r="AC29" s="23"/>
    </row>
    <row r="30" spans="1:29">
      <c r="B30" s="18"/>
      <c r="C30" s="25"/>
      <c r="D30" s="23"/>
      <c r="F30" s="25"/>
      <c r="G30" s="23"/>
      <c r="H30" s="23"/>
      <c r="I30" s="23"/>
      <c r="J30" s="23"/>
      <c r="L30" s="330"/>
      <c r="M30" s="407"/>
      <c r="N30" s="407"/>
      <c r="P30" s="397"/>
      <c r="V30" s="23"/>
      <c r="W30" s="23"/>
      <c r="X30" s="23"/>
      <c r="Y30" s="23"/>
      <c r="Z30" s="23"/>
      <c r="AA30" s="23"/>
      <c r="AB30" s="23"/>
      <c r="AC30" s="23"/>
    </row>
    <row r="31" spans="1:29">
      <c r="A31" t="s">
        <v>270</v>
      </c>
      <c r="C31" s="25" t="str">
        <f>'Authorized Rev Req'!B102</f>
        <v>AL 4504-E</v>
      </c>
      <c r="D31" s="23">
        <f t="shared" si="8"/>
        <v>210348.519</v>
      </c>
      <c r="E31" t="str">
        <f>'Authorized Rev Req'!S102</f>
        <v>Public Purpose Program</v>
      </c>
      <c r="F31" s="25">
        <f>'Authorized Rev Req'!R102</f>
        <v>210348.519</v>
      </c>
      <c r="G31" s="23">
        <f t="shared" ref="G31:I36" si="9">F31</f>
        <v>210348.519</v>
      </c>
      <c r="H31" s="23">
        <f t="shared" si="9"/>
        <v>210348.519</v>
      </c>
      <c r="I31" s="23">
        <f t="shared" si="9"/>
        <v>210348.519</v>
      </c>
      <c r="J31" s="23">
        <f t="shared" si="7"/>
        <v>210348.519</v>
      </c>
      <c r="K31" s="12" t="s">
        <v>94</v>
      </c>
      <c r="L31" s="330"/>
      <c r="M31" s="407"/>
      <c r="N31" s="407"/>
      <c r="V31" s="23"/>
      <c r="W31" s="23"/>
      <c r="X31" s="23"/>
      <c r="Y31" s="23"/>
      <c r="Z31" s="23"/>
      <c r="AA31" s="23"/>
      <c r="AB31" s="23"/>
      <c r="AC31" s="23"/>
    </row>
    <row r="32" spans="1:29">
      <c r="A32" t="s">
        <v>61</v>
      </c>
      <c r="B32" s="18"/>
      <c r="C32" s="23" t="str">
        <f>'Authorized Rev Req'!B103</f>
        <v>AL 4504-E</v>
      </c>
      <c r="D32" s="23">
        <f t="shared" si="8"/>
        <v>17427.594000000001</v>
      </c>
      <c r="E32" t="str">
        <f>'Authorized Rev Req'!S103</f>
        <v>Public Purpose Program</v>
      </c>
      <c r="F32" s="23">
        <f>'Authorized Rev Req'!R103</f>
        <v>17427.594000000001</v>
      </c>
      <c r="G32" s="23">
        <v>18190.332679642361</v>
      </c>
      <c r="H32" s="23"/>
      <c r="I32" s="23"/>
      <c r="J32" s="23"/>
      <c r="K32" s="12" t="s">
        <v>94</v>
      </c>
      <c r="L32" s="23"/>
      <c r="M32" s="407"/>
      <c r="N32" s="407"/>
      <c r="V32" s="23"/>
      <c r="W32" s="23"/>
      <c r="X32" s="23"/>
      <c r="Y32" s="23"/>
      <c r="Z32" s="23"/>
      <c r="AA32" s="23"/>
      <c r="AB32" s="23"/>
      <c r="AC32" s="23"/>
    </row>
    <row r="33" spans="1:29">
      <c r="A33" t="s">
        <v>103</v>
      </c>
      <c r="C33" s="25" t="str">
        <f>'Authorized Rev Req'!B105</f>
        <v>AL 4504-E</v>
      </c>
      <c r="D33" s="23">
        <f t="shared" si="8"/>
        <v>16279.999999999998</v>
      </c>
      <c r="E33" t="str">
        <f>'Authorized Rev Req'!S105</f>
        <v>Public Purpose Program</v>
      </c>
      <c r="F33" s="25">
        <f>'Authorized Rev Req'!R105</f>
        <v>16279.999999999998</v>
      </c>
      <c r="G33" s="23">
        <f>148000*0.088</f>
        <v>13024</v>
      </c>
      <c r="H33" s="23">
        <f t="shared" si="9"/>
        <v>13024</v>
      </c>
      <c r="I33" s="23">
        <f t="shared" si="9"/>
        <v>13024</v>
      </c>
      <c r="J33" s="23">
        <f t="shared" si="7"/>
        <v>13024</v>
      </c>
      <c r="K33" s="12" t="s">
        <v>94</v>
      </c>
      <c r="L33" s="330"/>
      <c r="M33" s="407"/>
      <c r="N33" s="407"/>
      <c r="V33" s="23"/>
      <c r="W33" s="23"/>
      <c r="X33" s="23"/>
      <c r="Y33" s="23"/>
      <c r="Z33" s="23"/>
      <c r="AA33" s="23"/>
      <c r="AB33" s="23"/>
      <c r="AC33" s="23"/>
    </row>
    <row r="34" spans="1:29">
      <c r="A34" t="s">
        <v>63</v>
      </c>
      <c r="C34" s="25" t="str">
        <f>'Authorized Rev Req'!B106</f>
        <v>AL 4504-E</v>
      </c>
      <c r="D34" s="23">
        <f t="shared" si="8"/>
        <v>4267.1790000000001</v>
      </c>
      <c r="E34" t="str">
        <f>'Authorized Rev Req'!S106</f>
        <v>Public Purpose Program</v>
      </c>
      <c r="F34" s="25">
        <f>'Authorized Rev Req'!R106</f>
        <v>4267.1790000000001</v>
      </c>
      <c r="G34" s="23">
        <f t="shared" si="9"/>
        <v>4267.1790000000001</v>
      </c>
      <c r="H34" s="23">
        <f t="shared" si="9"/>
        <v>4267.1790000000001</v>
      </c>
      <c r="I34" s="23">
        <f t="shared" si="9"/>
        <v>4267.1790000000001</v>
      </c>
      <c r="J34" s="23">
        <f t="shared" si="7"/>
        <v>4267.1790000000001</v>
      </c>
      <c r="K34" s="12" t="s">
        <v>94</v>
      </c>
      <c r="L34" s="330"/>
      <c r="M34" s="407"/>
      <c r="N34" s="407"/>
    </row>
    <row r="35" spans="1:29">
      <c r="A35" s="13" t="s">
        <v>66</v>
      </c>
      <c r="C35" s="25" t="str">
        <f>'Authorized Rev Req'!B109</f>
        <v>AL 4504-E</v>
      </c>
      <c r="D35" s="23">
        <f t="shared" si="8"/>
        <v>32</v>
      </c>
      <c r="E35" t="str">
        <f>'Authorized Rev Req'!S109</f>
        <v>Public Purpose Program</v>
      </c>
      <c r="F35" s="25">
        <f>'Authorized Rev Req'!R109</f>
        <v>32</v>
      </c>
      <c r="G35" s="23">
        <f t="shared" si="9"/>
        <v>32</v>
      </c>
      <c r="H35" s="23">
        <f t="shared" si="9"/>
        <v>32</v>
      </c>
      <c r="I35" s="23">
        <f t="shared" si="9"/>
        <v>32</v>
      </c>
      <c r="J35" s="23">
        <f t="shared" si="7"/>
        <v>32</v>
      </c>
      <c r="K35" s="12" t="s">
        <v>94</v>
      </c>
      <c r="L35" s="330"/>
      <c r="M35" s="407"/>
      <c r="N35" s="407"/>
    </row>
    <row r="36" spans="1:29">
      <c r="A36" t="s">
        <v>315</v>
      </c>
      <c r="C36" s="25" t="str">
        <f>'Authorized Rev Req'!B115</f>
        <v>AL 4504-E</v>
      </c>
      <c r="D36" s="23">
        <f t="shared" si="8"/>
        <v>553.29999999999995</v>
      </c>
      <c r="E36" t="str">
        <f>'Authorized Rev Req'!S115</f>
        <v>Public Purpose Program</v>
      </c>
      <c r="F36" s="25">
        <f>'Authorized Rev Req'!R115</f>
        <v>553.29999999999995</v>
      </c>
      <c r="G36" s="23">
        <f t="shared" si="9"/>
        <v>553.29999999999995</v>
      </c>
      <c r="H36" s="23">
        <f t="shared" si="9"/>
        <v>553.29999999999995</v>
      </c>
      <c r="I36" s="23">
        <f t="shared" si="9"/>
        <v>553.29999999999995</v>
      </c>
      <c r="J36" s="23">
        <f t="shared" si="7"/>
        <v>553.29999999999995</v>
      </c>
      <c r="K36" s="12" t="s">
        <v>94</v>
      </c>
      <c r="L36" s="330"/>
      <c r="M36" s="407"/>
      <c r="N36" s="407"/>
      <c r="O36" s="25"/>
      <c r="P36" s="25"/>
    </row>
    <row r="37" spans="1:29">
      <c r="A37" t="s">
        <v>205</v>
      </c>
      <c r="C37" s="25" t="str">
        <f>'Authorized Rev Req'!B119</f>
        <v>D.24-12-040</v>
      </c>
      <c r="D37" s="535"/>
      <c r="E37" t="str">
        <f>'Authorized Rev Req'!S119</f>
        <v>Public Purpose Program</v>
      </c>
      <c r="F37" s="535"/>
      <c r="G37" s="536"/>
      <c r="H37" s="536"/>
      <c r="I37" s="536"/>
      <c r="J37" s="536"/>
      <c r="K37" s="12" t="s">
        <v>94</v>
      </c>
      <c r="L37" s="330"/>
      <c r="M37" s="407"/>
      <c r="N37" s="407"/>
      <c r="V37" s="15"/>
      <c r="W37" s="15"/>
      <c r="X37" s="15"/>
    </row>
    <row r="38" spans="1:29">
      <c r="A38" t="s">
        <v>110</v>
      </c>
      <c r="C38" s="25" t="str">
        <f>'Authorized Rev Req'!B66</f>
        <v>D.19-09-051, D.22-12-031, D.24-10-008, AL 4078-E, AL 4078-E-A, AL 4553-E</v>
      </c>
      <c r="D38" s="23">
        <f t="shared" si="8"/>
        <v>-9229.3669170651228</v>
      </c>
      <c r="E38" t="str">
        <f>'Authorized Rev Req'!S66</f>
        <v>Distribution</v>
      </c>
      <c r="F38" s="25">
        <f>'Authorized Rev Req'!R66</f>
        <v>-9229.3669170651228</v>
      </c>
      <c r="G38" s="23">
        <v>-8787.5988498855968</v>
      </c>
      <c r="H38" s="23">
        <v>-8341.4702841342842</v>
      </c>
      <c r="I38" s="23">
        <v>-7903.403921428554</v>
      </c>
      <c r="J38" s="23">
        <v>-7468.5008486644701</v>
      </c>
      <c r="K38" s="12" t="s">
        <v>94</v>
      </c>
      <c r="L38" s="330"/>
      <c r="M38" s="407"/>
      <c r="N38" s="407"/>
      <c r="V38" s="15"/>
      <c r="W38" s="15"/>
      <c r="X38" s="15"/>
    </row>
    <row r="39" spans="1:29">
      <c r="A39" t="s">
        <v>111</v>
      </c>
      <c r="C39" s="25" t="str">
        <f>'Authorized Rev Req'!B67</f>
        <v>D.19-08-026, D.22-12-031,  D.24-10-008, AL 3489-E-A, AL 4553-E</v>
      </c>
      <c r="D39" s="23">
        <f t="shared" si="8"/>
        <v>15737.903139376944</v>
      </c>
      <c r="E39" t="str">
        <f>'Authorized Rev Req'!S67</f>
        <v>Distribution</v>
      </c>
      <c r="F39" s="25">
        <f>'Authorized Rev Req'!R67</f>
        <v>15737.903139376944</v>
      </c>
      <c r="G39" s="23">
        <v>14612.163105333348</v>
      </c>
      <c r="H39" s="23">
        <v>14477.811106143587</v>
      </c>
      <c r="I39" s="23">
        <v>14137.722577014849</v>
      </c>
      <c r="J39" s="23">
        <v>13806.467528711613</v>
      </c>
      <c r="K39" s="12" t="s">
        <v>94</v>
      </c>
      <c r="L39" s="330"/>
      <c r="M39" s="407"/>
      <c r="N39" s="407"/>
      <c r="V39" s="15"/>
      <c r="W39" s="15"/>
      <c r="X39" s="15"/>
    </row>
    <row r="40" spans="1:29">
      <c r="A40" s="76" t="s">
        <v>112</v>
      </c>
      <c r="C40" s="25" t="str">
        <f>'Authorized Rev Req'!B68</f>
        <v>D.19-11-017, D.22-12-031, D.24-10-008, AL 3480-E-A, AL 4553-E</v>
      </c>
      <c r="D40" s="23">
        <f t="shared" si="8"/>
        <v>3464.1058374170839</v>
      </c>
      <c r="E40" t="str">
        <f>'Authorized Rev Req'!S68</f>
        <v>Distribution</v>
      </c>
      <c r="F40" s="25">
        <f>'Authorized Rev Req'!R68</f>
        <v>3464.1058374170839</v>
      </c>
      <c r="G40" s="23">
        <v>3190.489342523113</v>
      </c>
      <c r="H40" s="23">
        <v>3066.1225278561669</v>
      </c>
      <c r="I40" s="23">
        <v>2962.9738945575004</v>
      </c>
      <c r="J40" s="23">
        <v>2861.3020677630689</v>
      </c>
      <c r="K40" s="12" t="s">
        <v>94</v>
      </c>
      <c r="L40" s="330"/>
      <c r="M40" s="407"/>
      <c r="N40" s="407"/>
    </row>
    <row r="41" spans="1:29">
      <c r="A41" t="s">
        <v>114</v>
      </c>
      <c r="C41" s="25" t="str">
        <f>'Authorized Rev Req'!B69</f>
        <v>D.19-08-026, D.22-12-031, D.24-10-008, AL 3489-E-A, AL 4553-E</v>
      </c>
      <c r="D41" s="23">
        <f t="shared" si="8"/>
        <v>222.3452238648876</v>
      </c>
      <c r="E41" t="str">
        <f>'Authorized Rev Req'!S69</f>
        <v>Distribution</v>
      </c>
      <c r="F41" s="25">
        <f>'Authorized Rev Req'!R69</f>
        <v>222.3452238648876</v>
      </c>
      <c r="G41" s="23">
        <v>197.01131520860179</v>
      </c>
      <c r="H41" s="23">
        <v>124.51625350883957</v>
      </c>
      <c r="I41" s="23">
        <v>119.56975629852454</v>
      </c>
      <c r="J41" s="23">
        <v>114.65720547812239</v>
      </c>
      <c r="K41" s="12" t="s">
        <v>94</v>
      </c>
      <c r="L41" s="330"/>
      <c r="M41" s="407"/>
      <c r="N41" s="407"/>
      <c r="V41" s="22"/>
      <c r="W41" s="22"/>
    </row>
    <row r="42" spans="1:29">
      <c r="A42" t="s">
        <v>109</v>
      </c>
      <c r="C42" s="25" t="str">
        <f>'Authorized Rev Req'!B73</f>
        <v>D.21-04-014, D.22-12-031, D.24-10-008, AL 3765-E, AL 3765-E-A, AL 4553-E</v>
      </c>
      <c r="D42" s="23">
        <f t="shared" si="8"/>
        <v>6753.3473998666186</v>
      </c>
      <c r="E42" t="str">
        <f>'Authorized Rev Req'!S73</f>
        <v>Distribution</v>
      </c>
      <c r="F42" s="25">
        <f>'Authorized Rev Req'!R73</f>
        <v>6753.3473998666186</v>
      </c>
      <c r="G42" s="23">
        <v>6563.2237928139166</v>
      </c>
      <c r="H42" s="23">
        <v>6373.2640176290824</v>
      </c>
      <c r="I42" s="23">
        <v>5367.6993399990006</v>
      </c>
      <c r="J42" s="23">
        <v>5184.5968283331704</v>
      </c>
      <c r="K42" s="12" t="s">
        <v>94</v>
      </c>
      <c r="L42" s="330"/>
      <c r="M42" s="407"/>
      <c r="N42" s="407"/>
      <c r="V42" s="29"/>
      <c r="W42" s="29"/>
      <c r="X42" s="30"/>
    </row>
    <row r="43" spans="1:29">
      <c r="A43" t="s">
        <v>121</v>
      </c>
      <c r="C43" s="25" t="str">
        <f>'Authorized Rev Req'!B71</f>
        <v>D.24-12-074, AL 4588-E</v>
      </c>
      <c r="D43" s="23">
        <f t="shared" si="8"/>
        <v>8080.4813254924293</v>
      </c>
      <c r="E43" t="str">
        <f>'Authorized Rev Req'!S71</f>
        <v>Distribution</v>
      </c>
      <c r="F43" s="25">
        <f>'Authorized Rev Req'!R71</f>
        <v>8080.4813254924293</v>
      </c>
      <c r="G43" s="23">
        <f t="shared" ref="G43:I43" si="10">F43</f>
        <v>8080.4813254924293</v>
      </c>
      <c r="H43" s="23">
        <f t="shared" si="10"/>
        <v>8080.4813254924293</v>
      </c>
      <c r="I43" s="23">
        <f t="shared" si="10"/>
        <v>8080.4813254924293</v>
      </c>
      <c r="J43" s="23">
        <f t="shared" si="7"/>
        <v>8080.4813254924293</v>
      </c>
      <c r="K43" s="12" t="s">
        <v>94</v>
      </c>
      <c r="L43" s="330"/>
      <c r="M43" s="407"/>
      <c r="N43" s="407"/>
      <c r="V43" s="29"/>
      <c r="W43" s="29"/>
      <c r="X43" s="30"/>
    </row>
    <row r="44" spans="1:29">
      <c r="A44" t="s">
        <v>347</v>
      </c>
      <c r="C44" s="25" t="str">
        <f>'Authorized Rev Req'!B140</f>
        <v>D.24-12-040, AL 4504-E</v>
      </c>
      <c r="D44" s="23">
        <f t="shared" si="8"/>
        <v>0</v>
      </c>
      <c r="E44" t="str">
        <f>'Authorized Rev Req'!S140</f>
        <v>Public Purpose Program</v>
      </c>
      <c r="F44" s="25">
        <f>'Authorized Rev Req'!R140</f>
        <v>0</v>
      </c>
      <c r="G44" s="407"/>
      <c r="H44" s="407"/>
      <c r="I44" s="407"/>
      <c r="J44" s="407"/>
      <c r="K44" s="12" t="s">
        <v>94</v>
      </c>
      <c r="L44" s="330"/>
      <c r="M44" s="407"/>
      <c r="N44" s="407"/>
      <c r="V44" s="29"/>
      <c r="W44" s="29"/>
      <c r="X44" s="30"/>
    </row>
    <row r="45" spans="1:29">
      <c r="A45" t="s">
        <v>348</v>
      </c>
      <c r="C45" s="25" t="str">
        <f>'Authorized Rev Req'!B141</f>
        <v>D.24-12-040, AL 4504-E</v>
      </c>
      <c r="D45" s="23">
        <f t="shared" si="8"/>
        <v>0</v>
      </c>
      <c r="E45" t="str">
        <f>'Authorized Rev Req'!S141</f>
        <v>Public Purpose Program</v>
      </c>
      <c r="F45" s="25">
        <f>'Authorized Rev Req'!R141</f>
        <v>0</v>
      </c>
      <c r="G45" s="407"/>
      <c r="H45" s="407"/>
      <c r="I45" s="407"/>
      <c r="J45" s="407"/>
      <c r="K45" s="12" t="s">
        <v>94</v>
      </c>
      <c r="L45" s="330"/>
      <c r="M45" s="407"/>
      <c r="N45" s="407"/>
      <c r="V45" s="29"/>
      <c r="W45" s="29"/>
      <c r="X45" s="30"/>
    </row>
    <row r="46" spans="1:29">
      <c r="A46" t="s">
        <v>477</v>
      </c>
      <c r="C46" s="25" t="str">
        <f>'Authorized Rev Req'!B149</f>
        <v>D.23-12-036, D.24-12-033, AL 4504-E</v>
      </c>
      <c r="D46" s="23">
        <f t="shared" ref="D46:D47" si="11">F46</f>
        <v>60523</v>
      </c>
      <c r="E46" t="str">
        <f>'Authorized Rev Req'!S149</f>
        <v>Public Purpose Program</v>
      </c>
      <c r="F46" s="25">
        <f>'Authorized Rev Req'!R149</f>
        <v>60523</v>
      </c>
      <c r="G46" s="23">
        <f>F46</f>
        <v>60523</v>
      </c>
      <c r="H46" s="23">
        <f t="shared" ref="H46" si="12">G46</f>
        <v>60523</v>
      </c>
      <c r="I46" s="23">
        <f t="shared" ref="I46" si="13">H46</f>
        <v>60523</v>
      </c>
      <c r="J46" s="23">
        <f t="shared" ref="J46" si="14">I46</f>
        <v>60523</v>
      </c>
      <c r="K46" s="12" t="s">
        <v>94</v>
      </c>
      <c r="L46" s="330"/>
      <c r="M46" s="407"/>
      <c r="N46" s="407"/>
      <c r="V46" s="29"/>
      <c r="W46" s="29"/>
      <c r="X46" s="30"/>
    </row>
    <row r="47" spans="1:29" ht="13.9" customHeight="1">
      <c r="A47" t="s">
        <v>479</v>
      </c>
      <c r="C47" s="25" t="str">
        <f>'Authorized Rev Req'!B150</f>
        <v>D.19-12-021, AL 4504-E</v>
      </c>
      <c r="D47" s="23">
        <f t="shared" si="11"/>
        <v>2520</v>
      </c>
      <c r="E47" t="str">
        <f>'Authorized Rev Req'!S150</f>
        <v>Public Purpose Program</v>
      </c>
      <c r="F47" s="25">
        <f>'Authorized Rev Req'!R150</f>
        <v>2520</v>
      </c>
      <c r="G47" s="25">
        <v>6300</v>
      </c>
      <c r="H47" s="23">
        <f>G47</f>
        <v>6300</v>
      </c>
      <c r="I47" s="23">
        <f>H47</f>
        <v>6300</v>
      </c>
      <c r="J47" s="23">
        <f>I47</f>
        <v>6300</v>
      </c>
      <c r="K47" s="12" t="s">
        <v>94</v>
      </c>
    </row>
    <row r="48" spans="1:29" ht="13.9" customHeight="1">
      <c r="A48" t="s">
        <v>314</v>
      </c>
      <c r="C48" s="12" t="str">
        <f>'Authorized Rev Req'!B114</f>
        <v>AL 4504-E</v>
      </c>
      <c r="D48" s="23">
        <f t="shared" si="8"/>
        <v>4400</v>
      </c>
      <c r="E48" t="str">
        <f>'Authorized Rev Req'!S114</f>
        <v>Public Purpose Program</v>
      </c>
      <c r="F48" s="12">
        <f>'Authorized Rev Req'!R114</f>
        <v>4400</v>
      </c>
      <c r="G48" s="23">
        <f t="shared" ref="G48" si="15">F48</f>
        <v>4400</v>
      </c>
      <c r="H48" s="23">
        <f t="shared" ref="H48" si="16">G48</f>
        <v>4400</v>
      </c>
      <c r="I48" s="23">
        <f t="shared" ref="I48" si="17">H48</f>
        <v>4400</v>
      </c>
      <c r="J48" s="23">
        <f t="shared" ref="J48" si="18">I48</f>
        <v>4400</v>
      </c>
      <c r="K48" s="12" t="s">
        <v>94</v>
      </c>
      <c r="M48" s="407"/>
      <c r="N48" s="407"/>
    </row>
    <row r="49" spans="1:24" ht="13.9" customHeight="1">
      <c r="K49"/>
      <c r="L49"/>
    </row>
    <row r="50" spans="1:24">
      <c r="A50" t="s">
        <v>378</v>
      </c>
      <c r="C50" s="12" t="str">
        <f>'Authorized Rev Req'!B54</f>
        <v>D.21-07-028, AL 4233-E, Resolution E-5300</v>
      </c>
      <c r="D50" s="23">
        <f>F50</f>
        <v>5814.5555999999997</v>
      </c>
      <c r="E50" t="str">
        <f>'Authorized Rev Req'!S54</f>
        <v>Distribution</v>
      </c>
      <c r="F50" s="12">
        <f>'Authorized Rev Req'!R54</f>
        <v>5814.5555999999997</v>
      </c>
      <c r="G50" s="25">
        <v>5752.2567899999995</v>
      </c>
      <c r="H50" s="25">
        <v>35.302658999999998</v>
      </c>
      <c r="J50" s="23"/>
      <c r="K50" s="12" t="s">
        <v>94</v>
      </c>
      <c r="M50" s="407"/>
      <c r="N50" s="407"/>
      <c r="V50" s="29"/>
      <c r="W50" s="29"/>
      <c r="X50" s="30"/>
    </row>
    <row r="51" spans="1:24">
      <c r="A51" t="s">
        <v>384</v>
      </c>
      <c r="C51" s="12" t="str">
        <f>'Authorized Rev Req'!B57</f>
        <v>D.24-07-013, AL 4507-E/3345-G, AL 4588-E</v>
      </c>
      <c r="D51" s="23">
        <f>F51</f>
        <v>99794.80313630063</v>
      </c>
      <c r="E51" t="str">
        <f>'Authorized Rev Req'!S56</f>
        <v>Distribution</v>
      </c>
      <c r="F51" s="12">
        <f>'Authorized Rev Req'!R56</f>
        <v>99794.80313630063</v>
      </c>
      <c r="G51" s="25"/>
      <c r="H51" s="25"/>
      <c r="I51" s="25"/>
      <c r="J51" s="23">
        <f t="shared" si="7"/>
        <v>0</v>
      </c>
      <c r="K51" s="12" t="s">
        <v>94</v>
      </c>
      <c r="M51" s="407"/>
      <c r="N51" s="407"/>
      <c r="V51" s="29"/>
      <c r="W51" s="29"/>
      <c r="X51" s="30"/>
    </row>
    <row r="52" spans="1:24">
      <c r="A52" t="s">
        <v>444</v>
      </c>
      <c r="C52" s="261" t="s">
        <v>445</v>
      </c>
      <c r="D52" s="23">
        <f>F52</f>
        <v>0</v>
      </c>
      <c r="E52" t="str">
        <f>'Authorized Rev Req'!S76</f>
        <v>Distribution</v>
      </c>
      <c r="F52" s="25"/>
      <c r="G52" s="25">
        <v>38373.693167676291</v>
      </c>
      <c r="H52" s="25">
        <v>7818.4528925790009</v>
      </c>
      <c r="I52" s="25">
        <v>7902.2011828619989</v>
      </c>
      <c r="K52" s="12" t="s">
        <v>94</v>
      </c>
      <c r="L52" s="187"/>
      <c r="M52" s="407"/>
      <c r="N52" s="407"/>
      <c r="V52" s="29"/>
      <c r="W52" s="29"/>
      <c r="X52" s="30"/>
    </row>
    <row r="53" spans="1:24">
      <c r="A53" t="s">
        <v>444</v>
      </c>
      <c r="C53" s="261" t="s">
        <v>445</v>
      </c>
      <c r="D53" s="23">
        <f>F53</f>
        <v>0</v>
      </c>
      <c r="E53" t="str">
        <f>'Authorized Rev Req'!S91</f>
        <v>Generation</v>
      </c>
      <c r="F53" s="25"/>
      <c r="G53" s="25">
        <v>166.48270450790861</v>
      </c>
      <c r="H53" s="25">
        <v>166.14521449563802</v>
      </c>
      <c r="I53" s="25">
        <v>166.14859911616401</v>
      </c>
      <c r="K53" s="12" t="s">
        <v>94</v>
      </c>
      <c r="L53" s="187"/>
      <c r="M53" s="407"/>
      <c r="N53" s="407"/>
      <c r="V53" s="29"/>
      <c r="W53" s="29"/>
      <c r="X53" s="30"/>
    </row>
    <row r="54" spans="1:24" s="31" customFormat="1">
      <c r="A54" s="31" t="s">
        <v>452</v>
      </c>
      <c r="C54" s="31" t="s">
        <v>453</v>
      </c>
      <c r="D54" s="478">
        <f>F54</f>
        <v>29165.073599999996</v>
      </c>
      <c r="E54" s="31" t="str">
        <f>'Authorized Rev Req'!S148</f>
        <v>Public Purpose Program</v>
      </c>
      <c r="F54" s="402">
        <f>'Authorized Rev Req'!R148</f>
        <v>29165.073599999996</v>
      </c>
      <c r="G54" s="403">
        <v>21618.786</v>
      </c>
      <c r="H54" s="403">
        <v>23780.664599999996</v>
      </c>
      <c r="I54" s="403"/>
      <c r="J54" s="403">
        <f t="shared" si="7"/>
        <v>0</v>
      </c>
      <c r="K54" s="479" t="s">
        <v>94</v>
      </c>
      <c r="L54" s="404"/>
      <c r="V54" s="405"/>
      <c r="W54" s="405"/>
      <c r="X54" s="403"/>
    </row>
    <row r="55" spans="1:24">
      <c r="B55" s="15"/>
      <c r="H55" s="23"/>
      <c r="J55" s="23">
        <f t="shared" si="7"/>
        <v>0</v>
      </c>
      <c r="K55"/>
      <c r="L55" s="400"/>
      <c r="V55" s="29"/>
      <c r="W55" s="29"/>
      <c r="X55" s="30"/>
    </row>
    <row r="56" spans="1:24">
      <c r="B56" s="15"/>
      <c r="J56" s="23">
        <f t="shared" si="7"/>
        <v>0</v>
      </c>
      <c r="K56"/>
      <c r="L56" s="401"/>
      <c r="V56" s="29"/>
      <c r="W56" s="29"/>
      <c r="X56" s="30"/>
    </row>
    <row r="57" spans="1:24">
      <c r="A57" s="18" t="s">
        <v>386</v>
      </c>
      <c r="B57" s="21"/>
      <c r="C57" s="185"/>
      <c r="D57" s="23"/>
      <c r="F57" s="185"/>
      <c r="G57" s="185"/>
      <c r="H57" s="185"/>
      <c r="I57" s="185"/>
      <c r="J57" s="23">
        <f t="shared" si="7"/>
        <v>0</v>
      </c>
      <c r="L57" s="331"/>
      <c r="M57" s="407"/>
      <c r="N57" s="407"/>
      <c r="V57" s="29"/>
      <c r="W57" s="29"/>
      <c r="X57" s="30"/>
    </row>
    <row r="58" spans="1:24">
      <c r="A58" s="14" t="s">
        <v>3</v>
      </c>
      <c r="C58" s="23" t="s">
        <v>436</v>
      </c>
      <c r="D58" s="23">
        <f t="shared" ref="D58:D65" si="19">F58</f>
        <v>-23582.500750601921</v>
      </c>
      <c r="E58" t="s">
        <v>3</v>
      </c>
      <c r="F58" s="25">
        <f>SUMIFS('Authorized Rev Req'!$Q$9:$Q$152,'Authorized Rev Req'!$S$9:$S$152,$E58,'Authorized Rev Req'!$T$9:$T$152,"Y")</f>
        <v>-23582.500750601921</v>
      </c>
      <c r="G58" s="25">
        <f t="shared" ref="G58:I65" si="20">F58</f>
        <v>-23582.500750601921</v>
      </c>
      <c r="H58" s="25">
        <f>-'Authorized Rev Req'!Q12+G58</f>
        <v>-9239.4629752945948</v>
      </c>
      <c r="I58" s="25">
        <f t="shared" si="20"/>
        <v>-9239.4629752945948</v>
      </c>
      <c r="J58" s="23">
        <f t="shared" si="7"/>
        <v>-9239.4629752945948</v>
      </c>
      <c r="K58" s="12" t="s">
        <v>94</v>
      </c>
      <c r="L58" s="330"/>
      <c r="M58" s="407"/>
      <c r="N58" s="407"/>
      <c r="V58" s="29"/>
      <c r="W58" s="29"/>
      <c r="X58" s="30"/>
    </row>
    <row r="59" spans="1:24">
      <c r="A59" s="14" t="s">
        <v>257</v>
      </c>
      <c r="C59" t="s">
        <v>437</v>
      </c>
      <c r="D59" s="23">
        <f t="shared" si="19"/>
        <v>-169359.94688956204</v>
      </c>
      <c r="E59" t="s">
        <v>256</v>
      </c>
      <c r="F59" s="25">
        <f>SUMIFS('Authorized Rev Req'!$Q$9:$Q$152,'Authorized Rev Req'!$S$9:$S$152,$E59,'Authorized Rev Req'!$T$9:$T$152,"Y")</f>
        <v>-169359.94688956204</v>
      </c>
      <c r="G59" s="25">
        <f t="shared" si="20"/>
        <v>-169359.94688956204</v>
      </c>
      <c r="H59" s="25">
        <f>-'Authorized Rev Req'!Q13+G59</f>
        <v>-189199.81541037062</v>
      </c>
      <c r="I59" s="25">
        <f t="shared" si="20"/>
        <v>-189199.81541037062</v>
      </c>
      <c r="J59" s="23">
        <f t="shared" si="7"/>
        <v>-189199.81541037062</v>
      </c>
      <c r="K59" s="12" t="s">
        <v>94</v>
      </c>
      <c r="L59" s="330"/>
      <c r="M59" s="407"/>
      <c r="N59" s="407"/>
      <c r="V59" s="29"/>
      <c r="W59" s="29"/>
      <c r="X59" s="30"/>
    </row>
    <row r="60" spans="1:24">
      <c r="A60" s="14" t="s">
        <v>5</v>
      </c>
      <c r="C60" t="s">
        <v>439</v>
      </c>
      <c r="D60" s="23">
        <f t="shared" si="19"/>
        <v>438032.85621851048</v>
      </c>
      <c r="E60" s="14" t="s">
        <v>5</v>
      </c>
      <c r="F60" s="25">
        <f>SUMIFS('Authorized Rev Req'!$Q$9:$Q$152,'Authorized Rev Req'!$S$9:$S$152,$E60,'Authorized Rev Req'!$T$9:$T$152,"Y")</f>
        <v>438032.85621851048</v>
      </c>
      <c r="G60" s="25">
        <f t="shared" si="20"/>
        <v>438032.85621851048</v>
      </c>
      <c r="H60" s="25">
        <f>-'Authorized Rev Req'!Q11+G60</f>
        <v>271429.68528899993</v>
      </c>
      <c r="I60" s="25">
        <f t="shared" si="20"/>
        <v>271429.68528899993</v>
      </c>
      <c r="J60" s="23">
        <f t="shared" si="7"/>
        <v>271429.68528899993</v>
      </c>
      <c r="K60" s="12" t="s">
        <v>94</v>
      </c>
      <c r="L60" s="330"/>
      <c r="M60" s="407"/>
      <c r="N60" s="407"/>
      <c r="V60" s="29"/>
      <c r="W60" s="29"/>
      <c r="X60" s="30"/>
    </row>
    <row r="61" spans="1:24">
      <c r="A61" s="14" t="s">
        <v>59</v>
      </c>
      <c r="C61" t="s">
        <v>440</v>
      </c>
      <c r="D61" s="23">
        <f t="shared" si="19"/>
        <v>-83519.87394803045</v>
      </c>
      <c r="E61" s="14" t="s">
        <v>59</v>
      </c>
      <c r="F61" s="25">
        <f>SUMIFS('Authorized Rev Req'!$Q$9:$Q$152,'Authorized Rev Req'!$S$9:$S$152,$E61,'Authorized Rev Req'!$T$9:$T$152,"Y")</f>
        <v>-83519.87394803045</v>
      </c>
      <c r="G61" s="25">
        <f t="shared" si="20"/>
        <v>-83519.87394803045</v>
      </c>
      <c r="H61" s="25">
        <f t="shared" si="20"/>
        <v>-83519.87394803045</v>
      </c>
      <c r="I61" s="25">
        <f t="shared" si="20"/>
        <v>-83519.87394803045</v>
      </c>
      <c r="J61" s="23">
        <f t="shared" si="7"/>
        <v>-83519.87394803045</v>
      </c>
      <c r="K61" s="12" t="s">
        <v>94</v>
      </c>
      <c r="L61" s="330"/>
      <c r="M61" s="407"/>
      <c r="N61" s="407"/>
      <c r="V61" s="29"/>
      <c r="W61" s="29"/>
      <c r="X61" s="30"/>
    </row>
    <row r="62" spans="1:24">
      <c r="A62" s="14" t="s">
        <v>100</v>
      </c>
      <c r="C62" t="s">
        <v>441</v>
      </c>
      <c r="D62" s="23">
        <f t="shared" si="19"/>
        <v>13510</v>
      </c>
      <c r="E62" s="14" t="s">
        <v>100</v>
      </c>
      <c r="F62" s="25">
        <f>SUMIFS('Authorized Rev Req'!$Q$9:$Q$152,'Authorized Rev Req'!$S$9:$S$152,$E62,'Authorized Rev Req'!$T$9:$T$152,"Y")</f>
        <v>13510</v>
      </c>
      <c r="G62" s="25">
        <f t="shared" si="20"/>
        <v>13510</v>
      </c>
      <c r="H62" s="25">
        <f t="shared" si="20"/>
        <v>13510</v>
      </c>
      <c r="I62" s="25">
        <f t="shared" si="20"/>
        <v>13510</v>
      </c>
      <c r="J62" s="23">
        <f t="shared" si="7"/>
        <v>13510</v>
      </c>
      <c r="K62" s="12" t="s">
        <v>94</v>
      </c>
      <c r="L62" s="330"/>
      <c r="M62" s="407"/>
      <c r="N62" s="407"/>
      <c r="V62" s="29"/>
      <c r="W62" s="29"/>
      <c r="X62" s="30"/>
    </row>
    <row r="63" spans="1:24">
      <c r="A63" s="14" t="s">
        <v>80</v>
      </c>
      <c r="C63" t="s">
        <v>400</v>
      </c>
      <c r="D63" s="23">
        <f t="shared" si="19"/>
        <v>211.66537700000001</v>
      </c>
      <c r="E63" s="14" t="s">
        <v>80</v>
      </c>
      <c r="F63" s="25">
        <f>SUMIFS('Authorized Rev Req'!$Q$9:$Q$152,'Authorized Rev Req'!$S$9:$S$152,$E63,'Authorized Rev Req'!$T$9:$T$152,"Y")</f>
        <v>211.66537700000001</v>
      </c>
      <c r="G63" s="25">
        <f t="shared" si="20"/>
        <v>211.66537700000001</v>
      </c>
      <c r="H63" s="25">
        <f t="shared" si="20"/>
        <v>211.66537700000001</v>
      </c>
      <c r="I63" s="25">
        <f t="shared" si="20"/>
        <v>211.66537700000001</v>
      </c>
      <c r="J63" s="23">
        <f t="shared" si="7"/>
        <v>211.66537700000001</v>
      </c>
      <c r="K63" s="12" t="s">
        <v>94</v>
      </c>
      <c r="L63" s="330"/>
      <c r="M63" s="407"/>
      <c r="N63" s="407"/>
      <c r="V63" s="29"/>
      <c r="W63" s="29"/>
      <c r="X63" s="30"/>
    </row>
    <row r="64" spans="1:24">
      <c r="A64" s="14" t="s">
        <v>14</v>
      </c>
      <c r="C64" t="s">
        <v>438</v>
      </c>
      <c r="D64" s="23">
        <f t="shared" si="19"/>
        <v>3351.1996770000001</v>
      </c>
      <c r="E64" s="14" t="s">
        <v>14</v>
      </c>
      <c r="F64" s="25">
        <f>SUMIFS('Authorized Rev Req'!$Q$9:$Q$152,'Authorized Rev Req'!$S$9:$S$152,$E64,'Authorized Rev Req'!$T$9:$T$152,"Y")</f>
        <v>3351.1996770000001</v>
      </c>
      <c r="G64" s="25">
        <f t="shared" si="20"/>
        <v>3351.1996770000001</v>
      </c>
      <c r="H64" s="25">
        <f t="shared" si="20"/>
        <v>3351.1996770000001</v>
      </c>
      <c r="I64" s="25">
        <f t="shared" si="20"/>
        <v>3351.1996770000001</v>
      </c>
      <c r="J64" s="23">
        <f t="shared" si="7"/>
        <v>3351.1996770000001</v>
      </c>
      <c r="K64" s="12" t="s">
        <v>94</v>
      </c>
      <c r="L64" s="330"/>
      <c r="M64" s="407"/>
      <c r="N64" s="407"/>
      <c r="V64" s="29"/>
      <c r="W64" s="29"/>
      <c r="X64" s="30"/>
    </row>
    <row r="65" spans="1:29">
      <c r="A65" s="14" t="s">
        <v>78</v>
      </c>
      <c r="C65" t="s">
        <v>442</v>
      </c>
      <c r="D65" s="23">
        <f t="shared" si="19"/>
        <v>0</v>
      </c>
      <c r="E65" t="s">
        <v>78</v>
      </c>
      <c r="F65" s="25">
        <f>SUMIFS('Authorized Rev Req'!$Q$9:$Q$152,'Authorized Rev Req'!$S$9:$S$152,$E65,'Authorized Rev Req'!$T$9:$T$152,"Y")</f>
        <v>0</v>
      </c>
      <c r="G65" s="25">
        <f t="shared" si="20"/>
        <v>0</v>
      </c>
      <c r="H65" s="23">
        <f t="shared" si="20"/>
        <v>0</v>
      </c>
      <c r="I65" s="23">
        <f t="shared" si="20"/>
        <v>0</v>
      </c>
      <c r="J65" s="23">
        <f t="shared" si="7"/>
        <v>0</v>
      </c>
      <c r="K65" s="12" t="s">
        <v>94</v>
      </c>
      <c r="L65" s="330"/>
      <c r="M65" s="407"/>
      <c r="N65" s="407"/>
      <c r="V65" s="29"/>
      <c r="W65" s="29"/>
      <c r="X65" s="30"/>
    </row>
    <row r="66" spans="1:29">
      <c r="A66" s="14"/>
      <c r="C66" s="25"/>
      <c r="D66" s="23"/>
      <c r="E66" s="14"/>
      <c r="F66" s="25"/>
      <c r="G66" s="25"/>
      <c r="H66" s="25"/>
      <c r="I66" s="25"/>
      <c r="J66" s="23">
        <f t="shared" si="7"/>
        <v>0</v>
      </c>
      <c r="L66" s="330"/>
      <c r="M66" s="407"/>
      <c r="N66" s="407"/>
      <c r="V66" s="29"/>
      <c r="W66" s="29"/>
      <c r="X66" s="30"/>
    </row>
    <row r="67" spans="1:29">
      <c r="A67" s="186" t="s">
        <v>104</v>
      </c>
      <c r="D67" s="23"/>
      <c r="G67" s="25"/>
      <c r="H67" s="25"/>
      <c r="I67" s="25"/>
      <c r="J67" s="23">
        <f t="shared" si="7"/>
        <v>0</v>
      </c>
      <c r="L67"/>
      <c r="M67" s="407"/>
      <c r="N67" s="407"/>
      <c r="V67" s="29"/>
      <c r="W67" s="29"/>
      <c r="X67" s="30"/>
    </row>
    <row r="68" spans="1:29">
      <c r="A68" t="s">
        <v>43</v>
      </c>
      <c r="C68" s="25" t="str">
        <f>'Authorized Rev Req'!B93</f>
        <v>D.08-02-034, AL 2069-E, AL 4588-E</v>
      </c>
      <c r="D68" s="23">
        <f t="shared" ref="D68:D77" si="21">F68</f>
        <v>-1046.2193100000015</v>
      </c>
      <c r="E68" t="str">
        <f>'Authorized Rev Req'!S93</f>
        <v>Generation</v>
      </c>
      <c r="F68" s="25">
        <f>'Authorized Rev Req'!R93</f>
        <v>-1046.2193100000015</v>
      </c>
      <c r="G68" s="25">
        <f t="shared" ref="G68:I75" si="22">F68</f>
        <v>-1046.2193100000015</v>
      </c>
      <c r="H68" s="25">
        <f t="shared" si="22"/>
        <v>-1046.2193100000015</v>
      </c>
      <c r="I68" s="25">
        <f t="shared" si="22"/>
        <v>-1046.2193100000015</v>
      </c>
      <c r="J68" s="23">
        <f t="shared" si="7"/>
        <v>-1046.2193100000015</v>
      </c>
      <c r="K68" s="12" t="s">
        <v>94</v>
      </c>
      <c r="L68" s="330"/>
      <c r="M68" s="407"/>
      <c r="N68" s="407"/>
      <c r="V68" s="29"/>
      <c r="W68" s="29"/>
      <c r="X68" s="30"/>
    </row>
    <row r="69" spans="1:29">
      <c r="A69" t="s">
        <v>44</v>
      </c>
      <c r="C69" s="25" t="str">
        <f>'Authorized Rev Req'!B94</f>
        <v>D.08-02-034, AL 2069-E, AL 4588-E</v>
      </c>
      <c r="D69" s="23">
        <f t="shared" si="21"/>
        <v>2801.1993099999727</v>
      </c>
      <c r="E69" t="str">
        <f>'Authorized Rev Req'!S94</f>
        <v>Generation</v>
      </c>
      <c r="F69" s="25">
        <f>'Authorized Rev Req'!R94</f>
        <v>2801.1993099999727</v>
      </c>
      <c r="G69" s="25">
        <f t="shared" si="22"/>
        <v>2801.1993099999727</v>
      </c>
      <c r="H69" s="25">
        <f t="shared" si="22"/>
        <v>2801.1993099999727</v>
      </c>
      <c r="I69" s="25">
        <f t="shared" si="22"/>
        <v>2801.1993099999727</v>
      </c>
      <c r="J69" s="23">
        <f t="shared" si="7"/>
        <v>2801.1993099999727</v>
      </c>
      <c r="K69" s="12" t="s">
        <v>94</v>
      </c>
      <c r="L69" s="330"/>
      <c r="M69" s="407"/>
      <c r="N69" s="407"/>
      <c r="V69" s="29"/>
      <c r="W69" s="29"/>
      <c r="X69" s="30"/>
    </row>
    <row r="70" spans="1:29">
      <c r="A70" t="s">
        <v>45</v>
      </c>
      <c r="C70" s="25" t="str">
        <f>'Authorized Rev Req'!B95</f>
        <v>D.14-01-002, AL 4588-E</v>
      </c>
      <c r="D70" s="23">
        <f t="shared" si="21"/>
        <v>184.03196999999997</v>
      </c>
      <c r="E70" t="str">
        <f>'Authorized Rev Req'!S95</f>
        <v>Generation</v>
      </c>
      <c r="F70" s="25">
        <f>'Authorized Rev Req'!R95</f>
        <v>184.03196999999997</v>
      </c>
      <c r="G70" s="25">
        <f t="shared" si="22"/>
        <v>184.03196999999997</v>
      </c>
      <c r="H70" s="25">
        <f t="shared" si="22"/>
        <v>184.03196999999997</v>
      </c>
      <c r="I70" s="25">
        <f t="shared" si="22"/>
        <v>184.03196999999997</v>
      </c>
      <c r="J70" s="23">
        <f t="shared" si="7"/>
        <v>184.03196999999997</v>
      </c>
      <c r="K70" s="12" t="s">
        <v>94</v>
      </c>
      <c r="L70" s="330"/>
      <c r="M70" s="407"/>
      <c r="N70" s="407"/>
      <c r="V70" s="23"/>
      <c r="W70" s="23"/>
      <c r="X70" s="23"/>
      <c r="Y70" s="23"/>
      <c r="Z70" s="23"/>
      <c r="AA70" s="23"/>
      <c r="AB70" s="23"/>
      <c r="AC70" s="23"/>
    </row>
    <row r="71" spans="1:29">
      <c r="A71" t="s">
        <v>46</v>
      </c>
      <c r="C71" s="25" t="str">
        <f>'Authorized Rev Req'!B96</f>
        <v>D.08-02-034, AL 2209-E, AL 4588-E</v>
      </c>
      <c r="D71" s="23">
        <f t="shared" si="21"/>
        <v>1756.5771699999907</v>
      </c>
      <c r="E71" t="str">
        <f>'Authorized Rev Req'!S96</f>
        <v>Generation</v>
      </c>
      <c r="F71" s="25">
        <f>'Authorized Rev Req'!R96</f>
        <v>1756.5771699999907</v>
      </c>
      <c r="G71" s="25">
        <f t="shared" si="22"/>
        <v>1756.5771699999907</v>
      </c>
      <c r="H71" s="25">
        <f t="shared" si="22"/>
        <v>1756.5771699999907</v>
      </c>
      <c r="I71" s="25">
        <f t="shared" si="22"/>
        <v>1756.5771699999907</v>
      </c>
      <c r="J71" s="23">
        <f t="shared" si="7"/>
        <v>1756.5771699999907</v>
      </c>
      <c r="K71" s="12" t="s">
        <v>94</v>
      </c>
      <c r="L71" s="330"/>
      <c r="M71" s="407"/>
      <c r="N71" s="407"/>
      <c r="V71" s="23"/>
      <c r="W71" s="23"/>
      <c r="X71" s="23"/>
      <c r="Y71" s="23"/>
      <c r="Z71" s="23"/>
      <c r="AA71" s="23"/>
      <c r="AB71" s="23"/>
      <c r="AC71" s="23"/>
    </row>
    <row r="72" spans="1:29">
      <c r="A72" t="s">
        <v>47</v>
      </c>
      <c r="C72" s="25" t="str">
        <f>'Authorized Rev Req'!B97</f>
        <v>D.12-12-004, AL 2816-E, AL 4588-E</v>
      </c>
      <c r="D72" s="23">
        <f t="shared" si="21"/>
        <v>293.14443999999946</v>
      </c>
      <c r="E72" t="str">
        <f>'Authorized Rev Req'!S97</f>
        <v>Generation</v>
      </c>
      <c r="F72" s="25">
        <f>'Authorized Rev Req'!R97</f>
        <v>293.14443999999946</v>
      </c>
      <c r="G72" s="25">
        <f t="shared" si="22"/>
        <v>293.14443999999946</v>
      </c>
      <c r="H72" s="25">
        <f t="shared" si="22"/>
        <v>293.14443999999946</v>
      </c>
      <c r="I72" s="25">
        <f t="shared" si="22"/>
        <v>293.14443999999946</v>
      </c>
      <c r="J72" s="23">
        <f t="shared" si="7"/>
        <v>293.14443999999946</v>
      </c>
      <c r="K72" s="12" t="s">
        <v>94</v>
      </c>
      <c r="L72" s="330"/>
      <c r="M72" s="407"/>
      <c r="N72" s="407"/>
      <c r="V72" s="23"/>
      <c r="W72" s="23"/>
      <c r="X72" s="23"/>
      <c r="Y72" s="23"/>
      <c r="Z72" s="23"/>
      <c r="AA72" s="23"/>
      <c r="AB72" s="23"/>
      <c r="AC72" s="23"/>
    </row>
    <row r="73" spans="1:29">
      <c r="A73" s="14" t="s">
        <v>48</v>
      </c>
      <c r="C73" s="25" t="str">
        <f>'Authorized Rev Req'!B98</f>
        <v>D.12-12-004, AL 2816-E, AL 4588-E</v>
      </c>
      <c r="D73" s="23">
        <f t="shared" si="21"/>
        <v>1877.2533700000047</v>
      </c>
      <c r="E73" t="str">
        <f>'Authorized Rev Req'!S98</f>
        <v>Generation</v>
      </c>
      <c r="F73" s="25">
        <f>'Authorized Rev Req'!R98</f>
        <v>1877.2533700000047</v>
      </c>
      <c r="G73" s="25">
        <f t="shared" si="22"/>
        <v>1877.2533700000047</v>
      </c>
      <c r="H73" s="25">
        <f t="shared" si="22"/>
        <v>1877.2533700000047</v>
      </c>
      <c r="I73" s="25">
        <f t="shared" si="22"/>
        <v>1877.2533700000047</v>
      </c>
      <c r="J73" s="23">
        <f t="shared" si="7"/>
        <v>1877.2533700000047</v>
      </c>
      <c r="K73" s="12" t="s">
        <v>94</v>
      </c>
      <c r="L73" s="330"/>
      <c r="M73" s="407"/>
      <c r="N73" s="407"/>
      <c r="V73" s="23"/>
      <c r="W73" s="23"/>
      <c r="X73" s="23"/>
      <c r="Y73" s="23"/>
      <c r="Z73" s="23"/>
      <c r="AA73" s="23"/>
      <c r="AB73" s="23"/>
      <c r="AC73" s="23"/>
    </row>
    <row r="74" spans="1:29" ht="13.9" customHeight="1">
      <c r="A74" t="s">
        <v>49</v>
      </c>
      <c r="C74" s="25" t="str">
        <f>'Authorized Rev Req'!B99</f>
        <v>D.12-12-004, AL 2816-E, AL 4588-E</v>
      </c>
      <c r="D74" s="23">
        <f t="shared" si="21"/>
        <v>6.0792299999999964</v>
      </c>
      <c r="E74" t="str">
        <f>'Authorized Rev Req'!S99</f>
        <v>Generation</v>
      </c>
      <c r="F74" s="25">
        <f>'Authorized Rev Req'!R99</f>
        <v>6.0792299999999964</v>
      </c>
      <c r="G74" s="25">
        <f t="shared" si="22"/>
        <v>6.0792299999999964</v>
      </c>
      <c r="H74" s="25">
        <f t="shared" si="22"/>
        <v>6.0792299999999964</v>
      </c>
      <c r="I74" s="25">
        <f t="shared" si="22"/>
        <v>6.0792299999999964</v>
      </c>
      <c r="J74" s="23">
        <f t="shared" si="7"/>
        <v>6.0792299999999964</v>
      </c>
      <c r="K74" s="12" t="s">
        <v>94</v>
      </c>
      <c r="L74" s="330"/>
      <c r="M74" s="407"/>
      <c r="N74" s="407"/>
      <c r="V74" s="23"/>
      <c r="W74" s="23"/>
      <c r="X74" s="23"/>
      <c r="Y74" s="23"/>
      <c r="Z74" s="23"/>
      <c r="AA74" s="23"/>
      <c r="AB74" s="23"/>
      <c r="AC74" s="23"/>
    </row>
    <row r="75" spans="1:29">
      <c r="A75" t="s">
        <v>105</v>
      </c>
      <c r="C75" s="25" t="str">
        <f>'Authorized Rev Req'!B92</f>
        <v>D.08-02-034, AL 2209-E, AL 4588-E</v>
      </c>
      <c r="D75" s="23">
        <f t="shared" si="21"/>
        <v>23803.573559999997</v>
      </c>
      <c r="E75" s="14" t="str">
        <f>'Authorized Rev Req'!S92</f>
        <v>Distribution</v>
      </c>
      <c r="F75" s="25">
        <f>'Authorized Rev Req'!R92</f>
        <v>23803.573559999997</v>
      </c>
      <c r="G75" s="25">
        <f t="shared" si="22"/>
        <v>23803.573559999997</v>
      </c>
      <c r="H75" s="25">
        <f t="shared" si="22"/>
        <v>23803.573559999997</v>
      </c>
      <c r="I75" s="25">
        <f t="shared" si="22"/>
        <v>23803.573559999997</v>
      </c>
      <c r="J75" s="23">
        <f t="shared" si="7"/>
        <v>23803.573559999997</v>
      </c>
      <c r="K75" s="12" t="s">
        <v>94</v>
      </c>
      <c r="L75" s="330"/>
      <c r="M75" s="407"/>
      <c r="N75" s="407"/>
      <c r="V75" s="29"/>
      <c r="W75" s="29"/>
      <c r="X75" s="30"/>
    </row>
    <row r="76" spans="1:29">
      <c r="A76" t="s">
        <v>480</v>
      </c>
      <c r="C76" s="12" t="str">
        <f>'Authorized Rev Req'!B151</f>
        <v>D.21-07-010, AL 2209-E, AL 4319-E, AL 4588-E</v>
      </c>
      <c r="D76" s="23">
        <f t="shared" si="21"/>
        <v>1959.0642899999996</v>
      </c>
      <c r="E76" s="14" t="str">
        <f>'Authorized Rev Req'!S151</f>
        <v>Distribution</v>
      </c>
      <c r="F76" s="12">
        <f>'Authorized Rev Req'!R151</f>
        <v>1959.0642899999996</v>
      </c>
      <c r="G76" s="25">
        <f t="shared" ref="G76:G77" si="23">F76</f>
        <v>1959.0642899999996</v>
      </c>
      <c r="H76" s="25">
        <f t="shared" ref="H76:H77" si="24">G76</f>
        <v>1959.0642899999996</v>
      </c>
      <c r="I76" s="25">
        <f t="shared" ref="I76:I77" si="25">H76</f>
        <v>1959.0642899999996</v>
      </c>
      <c r="J76" s="23">
        <f t="shared" ref="J76:J77" si="26">I76</f>
        <v>1959.0642899999996</v>
      </c>
      <c r="K76" s="12" t="s">
        <v>94</v>
      </c>
      <c r="L76"/>
    </row>
    <row r="77" spans="1:29">
      <c r="A77" s="13" t="s">
        <v>481</v>
      </c>
      <c r="C77" s="12" t="str">
        <f>'Authorized Rev Req'!B152</f>
        <v>D.21-07-010, AL 2209-E, AL 4319-E, AL 4588-E</v>
      </c>
      <c r="D77" s="23">
        <f t="shared" si="21"/>
        <v>824.16204999999979</v>
      </c>
      <c r="E77" s="14" t="str">
        <f>'Authorized Rev Req'!S152</f>
        <v>Generation</v>
      </c>
      <c r="F77" s="12">
        <f>'Authorized Rev Req'!R152</f>
        <v>824.16204999999979</v>
      </c>
      <c r="G77" s="25">
        <f t="shared" si="23"/>
        <v>824.16204999999979</v>
      </c>
      <c r="H77" s="25">
        <f t="shared" si="24"/>
        <v>824.16204999999979</v>
      </c>
      <c r="I77" s="25">
        <f t="shared" si="25"/>
        <v>824.16204999999979</v>
      </c>
      <c r="J77" s="23">
        <f t="shared" si="26"/>
        <v>824.16204999999979</v>
      </c>
      <c r="K77" s="12" t="s">
        <v>94</v>
      </c>
      <c r="L77"/>
    </row>
    <row r="78" spans="1:29">
      <c r="A78" s="18" t="s">
        <v>9</v>
      </c>
      <c r="C78" s="185"/>
      <c r="D78" s="23"/>
      <c r="F78" s="185"/>
      <c r="G78" s="25"/>
      <c r="H78" s="25"/>
      <c r="I78" s="25"/>
      <c r="J78" s="23"/>
      <c r="L78" s="331"/>
      <c r="M78" s="407"/>
      <c r="N78" s="407"/>
      <c r="V78" s="29"/>
      <c r="W78" s="29"/>
      <c r="X78" s="30"/>
    </row>
    <row r="79" spans="1:29">
      <c r="A79" t="s">
        <v>83</v>
      </c>
      <c r="C79" s="25" t="str">
        <f>'Authorized Rev Req'!B158</f>
        <v>ER25-270-000</v>
      </c>
      <c r="D79" s="23">
        <f>F79</f>
        <v>1241611.5256814267</v>
      </c>
      <c r="E79" t="str">
        <f>'Authorized Rev Req'!S158</f>
        <v>Transmission</v>
      </c>
      <c r="F79" s="25">
        <f>'Authorized Rev Req'!R158</f>
        <v>1241611.5256814267</v>
      </c>
      <c r="G79" s="25">
        <f t="shared" ref="G79:I82" si="27">F79</f>
        <v>1241611.5256814267</v>
      </c>
      <c r="H79" s="25">
        <f t="shared" si="27"/>
        <v>1241611.5256814267</v>
      </c>
      <c r="I79" s="25">
        <f t="shared" si="27"/>
        <v>1241611.5256814267</v>
      </c>
      <c r="J79" s="23">
        <f t="shared" si="7"/>
        <v>1241611.5256814267</v>
      </c>
      <c r="K79" s="12" t="s">
        <v>94</v>
      </c>
      <c r="L79" s="330"/>
      <c r="M79" s="407"/>
      <c r="N79" s="407"/>
      <c r="V79" s="29"/>
      <c r="W79" s="29"/>
      <c r="X79" s="30"/>
    </row>
    <row r="80" spans="1:29">
      <c r="A80" s="14" t="s">
        <v>84</v>
      </c>
      <c r="C80" s="25" t="str">
        <f>'Authorized Rev Req'!B159</f>
        <v>ER25-405-000</v>
      </c>
      <c r="D80" s="23">
        <f>F80</f>
        <v>-338074.81254709855</v>
      </c>
      <c r="E80" t="str">
        <f>'Authorized Rev Req'!S159</f>
        <v>Transmission</v>
      </c>
      <c r="F80" s="25">
        <f>'Authorized Rev Req'!R159</f>
        <v>-338074.81254709855</v>
      </c>
      <c r="G80" s="25">
        <f t="shared" si="27"/>
        <v>-338074.81254709855</v>
      </c>
      <c r="H80" s="25">
        <f t="shared" si="27"/>
        <v>-338074.81254709855</v>
      </c>
      <c r="I80" s="25">
        <f t="shared" si="27"/>
        <v>-338074.81254709855</v>
      </c>
      <c r="J80" s="23">
        <f t="shared" ref="J80:J82" si="28">I80</f>
        <v>-338074.81254709855</v>
      </c>
      <c r="K80" s="12" t="s">
        <v>94</v>
      </c>
      <c r="L80" s="330"/>
      <c r="M80" s="407"/>
      <c r="N80" s="407"/>
      <c r="Q80" s="13"/>
      <c r="V80" s="29"/>
      <c r="W80" s="29"/>
      <c r="X80" s="30"/>
    </row>
    <row r="81" spans="1:31">
      <c r="A81" t="s">
        <v>85</v>
      </c>
      <c r="C81" s="25" t="str">
        <f>'Authorized Rev Req'!B160</f>
        <v>ER25-218-000</v>
      </c>
      <c r="D81" s="23">
        <f>F81</f>
        <v>-40831.286867283969</v>
      </c>
      <c r="E81" t="str">
        <f>'Authorized Rev Req'!S160</f>
        <v>Transmission</v>
      </c>
      <c r="F81" s="25">
        <f>'Authorized Rev Req'!R160</f>
        <v>-40831.286867283969</v>
      </c>
      <c r="G81" s="25">
        <f t="shared" si="27"/>
        <v>-40831.286867283969</v>
      </c>
      <c r="H81" s="25">
        <f t="shared" si="27"/>
        <v>-40831.286867283969</v>
      </c>
      <c r="I81" s="25">
        <f t="shared" si="27"/>
        <v>-40831.286867283969</v>
      </c>
      <c r="J81" s="23">
        <f t="shared" si="28"/>
        <v>-40831.286867283969</v>
      </c>
      <c r="K81" s="12" t="s">
        <v>94</v>
      </c>
      <c r="L81" s="330"/>
      <c r="M81" s="407"/>
      <c r="N81" s="407"/>
    </row>
    <row r="82" spans="1:31">
      <c r="A82" t="s">
        <v>249</v>
      </c>
      <c r="C82" s="25" t="str">
        <f>'Authorized Rev Req'!B161</f>
        <v>ER25-694-000</v>
      </c>
      <c r="D82" s="23">
        <f>F82</f>
        <v>178.76388774267036</v>
      </c>
      <c r="E82" t="str">
        <f>'Authorized Rev Req'!S161</f>
        <v>RS</v>
      </c>
      <c r="F82" s="25">
        <f>'Authorized Rev Req'!R161</f>
        <v>178.76388774267036</v>
      </c>
      <c r="G82" s="25">
        <f t="shared" si="27"/>
        <v>178.76388774267036</v>
      </c>
      <c r="H82" s="25">
        <f t="shared" si="27"/>
        <v>178.76388774267036</v>
      </c>
      <c r="I82" s="25">
        <f t="shared" si="27"/>
        <v>178.76388774267036</v>
      </c>
      <c r="J82" s="23">
        <f t="shared" si="28"/>
        <v>178.76388774267036</v>
      </c>
      <c r="K82" s="12" t="s">
        <v>94</v>
      </c>
      <c r="L82" s="330"/>
      <c r="M82" s="407"/>
      <c r="N82" s="407"/>
    </row>
    <row r="83" spans="1:31" ht="15.75" thickBot="1">
      <c r="A83" s="18" t="s">
        <v>106</v>
      </c>
      <c r="D83" s="184">
        <f>SUM(D10:D82)</f>
        <v>4349041.9744177395</v>
      </c>
      <c r="E83" s="184"/>
      <c r="F83" s="184">
        <f>SUM(F10:F82)</f>
        <v>4349041.9744177395</v>
      </c>
      <c r="G83" s="184">
        <f>SUM(G10:G82)</f>
        <v>4349052.2561176242</v>
      </c>
      <c r="H83" s="184">
        <f>SUM(H10:H82)</f>
        <v>4190280.1585050276</v>
      </c>
      <c r="I83" s="184">
        <f>SUM(I10:I82)</f>
        <v>4164929.5495573687</v>
      </c>
      <c r="J83" s="184">
        <f>SUM(J10:J82)</f>
        <v>4156675.1609105705</v>
      </c>
      <c r="K83"/>
      <c r="L83" s="21"/>
      <c r="M83" s="407"/>
      <c r="N83" s="407"/>
    </row>
    <row r="84" spans="1:31" ht="15.75" thickTop="1">
      <c r="D84" s="301"/>
      <c r="E84" s="294"/>
      <c r="K84"/>
    </row>
    <row r="85" spans="1:31">
      <c r="A85" s="18" t="s">
        <v>250</v>
      </c>
      <c r="E85" s="15" t="s">
        <v>250</v>
      </c>
      <c r="F85" s="235">
        <f>'Sales Allocations &amp; CCC'!S3</f>
        <v>8.0000000000000004E-4</v>
      </c>
      <c r="K85"/>
    </row>
    <row r="86" spans="1:31">
      <c r="A86" s="18" t="s">
        <v>251</v>
      </c>
      <c r="E86" s="15"/>
      <c r="F86" s="435"/>
      <c r="G86" s="436"/>
      <c r="K86"/>
      <c r="L86"/>
    </row>
    <row r="87" spans="1:31">
      <c r="E87" s="15"/>
      <c r="H87" s="322"/>
      <c r="I87" s="322"/>
      <c r="J87" s="322"/>
      <c r="K87"/>
      <c r="L87"/>
    </row>
    <row r="88" spans="1:31" ht="15.75">
      <c r="A88" s="579" t="s">
        <v>211</v>
      </c>
      <c r="B88" s="579"/>
      <c r="C88" s="579"/>
      <c r="D88" s="579"/>
      <c r="E88" s="579"/>
      <c r="F88" s="579"/>
      <c r="G88" s="579"/>
      <c r="H88" s="579"/>
      <c r="I88" s="579"/>
      <c r="J88" s="579"/>
      <c r="K88" s="579"/>
      <c r="L88"/>
      <c r="O88" s="389" t="s">
        <v>159</v>
      </c>
      <c r="P88" s="389"/>
      <c r="Q88" s="389"/>
      <c r="R88" s="389"/>
      <c r="S88" s="389"/>
      <c r="T88" s="389"/>
      <c r="V88" s="23"/>
      <c r="W88" s="23"/>
      <c r="X88" s="23"/>
      <c r="Y88" s="23"/>
      <c r="Z88" s="23"/>
      <c r="AA88" s="23"/>
      <c r="AB88" s="23"/>
      <c r="AC88" s="23"/>
    </row>
    <row r="89" spans="1:31" ht="75">
      <c r="A89" s="31" t="s">
        <v>0</v>
      </c>
      <c r="B89" s="31" t="s">
        <v>91</v>
      </c>
      <c r="C89" s="32" t="s">
        <v>156</v>
      </c>
      <c r="D89" s="32" t="s">
        <v>124</v>
      </c>
      <c r="E89" s="32" t="s">
        <v>108</v>
      </c>
      <c r="F89" s="580" t="s">
        <v>387</v>
      </c>
      <c r="G89" s="580"/>
      <c r="H89" s="580"/>
      <c r="I89" s="580"/>
      <c r="J89" s="580"/>
      <c r="K89" s="32" t="s">
        <v>92</v>
      </c>
      <c r="L89" s="302"/>
      <c r="O89" s="19"/>
      <c r="P89" s="19">
        <v>2025</v>
      </c>
      <c r="Q89" s="19">
        <v>2026</v>
      </c>
      <c r="R89" s="19">
        <v>2027</v>
      </c>
      <c r="S89" s="19">
        <v>2028</v>
      </c>
      <c r="T89" s="19">
        <v>2029</v>
      </c>
      <c r="V89" s="384"/>
    </row>
    <row r="90" spans="1:31" ht="28.5" customHeight="1">
      <c r="A90" s="151" t="s">
        <v>2</v>
      </c>
      <c r="B90" s="19"/>
      <c r="C90" s="11"/>
      <c r="D90" s="11"/>
      <c r="E90" s="11"/>
      <c r="F90" s="19">
        <v>2025</v>
      </c>
      <c r="G90" s="19">
        <v>2026</v>
      </c>
      <c r="H90" s="19">
        <v>2027</v>
      </c>
      <c r="I90" s="19">
        <v>2028</v>
      </c>
      <c r="J90" s="19">
        <v>2029</v>
      </c>
      <c r="K90" s="19"/>
      <c r="L90" s="302" t="s">
        <v>157</v>
      </c>
      <c r="M90" s="13"/>
      <c r="N90" s="13"/>
      <c r="O90" s="76" t="s">
        <v>3</v>
      </c>
      <c r="P90" s="75">
        <f t="shared" ref="P90:P103" si="29">SUM(P9,SUMIFS(F$91:F$161,$E$91:$E$161,$O90,$L$91:$L$161,"y"))</f>
        <v>601659.58027638542</v>
      </c>
      <c r="Q90" s="75">
        <f t="shared" ref="Q90:Q103" si="30">SUM(Q9,SUMIFS(G$91:G$161,$E$91:$E$161,$O90,$L$91:$L$161,"y"))</f>
        <v>606478.88154034968</v>
      </c>
      <c r="R90" s="75">
        <f t="shared" ref="R90:R103" si="31">SUM(R9,SUMIFS(H$91:H$161,$E$91:$E$161,$O90,$L$91:$L$161,"y"))</f>
        <v>628360.49002918438</v>
      </c>
      <c r="S90" s="75">
        <f t="shared" ref="S90:S103" si="32">SUM(S9,SUMIFS(I$91:I$161,$E$91:$E$161,$O90,$L$91:$L$161,"y"))</f>
        <v>628341.25110680494</v>
      </c>
      <c r="T90" s="75">
        <f t="shared" ref="T90:T103" si="33">SUM(T9,SUMIFS(J$91:J$161,$E$91:$E$161,$O90,$L$91:$L$161,"y"))</f>
        <v>628175.1025076888</v>
      </c>
      <c r="V90" s="384"/>
      <c r="W90" s="468"/>
      <c r="X90" s="574"/>
      <c r="Y90" s="574"/>
      <c r="AA90" s="413"/>
      <c r="AB90" s="12"/>
      <c r="AC90" s="12"/>
      <c r="AD90" s="413"/>
      <c r="AE90" s="12"/>
    </row>
    <row r="91" spans="1:31">
      <c r="A91" t="s">
        <v>529</v>
      </c>
      <c r="B91" s="12" t="s">
        <v>524</v>
      </c>
      <c r="C91" t="s">
        <v>230</v>
      </c>
      <c r="D91" s="23">
        <f>SUM(F91:J91)</f>
        <v>485459.54265123123</v>
      </c>
      <c r="E91" t="s">
        <v>5</v>
      </c>
      <c r="F91" s="23"/>
      <c r="G91" s="25">
        <v>121364.88566280781</v>
      </c>
      <c r="H91" s="25">
        <v>121364.88566280781</v>
      </c>
      <c r="I91" s="25">
        <v>121364.88566280781</v>
      </c>
      <c r="J91" s="25">
        <v>121364.88566280781</v>
      </c>
      <c r="K91" s="12" t="s">
        <v>94</v>
      </c>
      <c r="L91" s="187" t="str">
        <f>VLOOKUP(A91,Summary!$B$7:$E$25,3,FALSE)</f>
        <v>Y</v>
      </c>
      <c r="M91" s="14"/>
      <c r="N91" s="14"/>
      <c r="O91" s="76" t="s">
        <v>392</v>
      </c>
      <c r="P91" s="75">
        <f t="shared" si="29"/>
        <v>80.182302790146849</v>
      </c>
      <c r="Q91" s="75">
        <f t="shared" si="30"/>
        <v>76.387375689237032</v>
      </c>
      <c r="R91" s="75">
        <f t="shared" si="31"/>
        <v>76.387375689237032</v>
      </c>
      <c r="S91" s="75">
        <f t="shared" si="32"/>
        <v>76.387375689237032</v>
      </c>
      <c r="T91" s="75">
        <f t="shared" si="33"/>
        <v>76.387375689237032</v>
      </c>
      <c r="V91" s="384"/>
      <c r="W91" s="468"/>
      <c r="X91" s="414"/>
      <c r="Y91" s="415"/>
      <c r="Z91" s="412"/>
      <c r="AB91" s="143"/>
      <c r="AC91" s="143"/>
      <c r="AE91" s="143"/>
    </row>
    <row r="92" spans="1:31">
      <c r="A92" t="s">
        <v>518</v>
      </c>
      <c r="B92" s="12" t="s">
        <v>519</v>
      </c>
      <c r="C92" t="s">
        <v>230</v>
      </c>
      <c r="D92" s="438">
        <f>SUM(F92:J92)</f>
        <v>387980.82819506817</v>
      </c>
      <c r="E92" t="s">
        <v>5</v>
      </c>
      <c r="F92" s="185"/>
      <c r="G92" s="23"/>
      <c r="H92" s="23">
        <v>129326.94273168936</v>
      </c>
      <c r="I92" s="23">
        <v>129326.94273168941</v>
      </c>
      <c r="J92" s="23">
        <v>129326.94273168939</v>
      </c>
      <c r="K92" s="12" t="s">
        <v>506</v>
      </c>
      <c r="L92" s="187" t="str">
        <f>VLOOKUP(A92,Summary!$B$7:$E$25,3,FALSE)</f>
        <v>Y</v>
      </c>
      <c r="M92" s="14"/>
      <c r="N92" s="14"/>
      <c r="O92" s="76" t="s">
        <v>59</v>
      </c>
      <c r="P92" s="75">
        <f t="shared" si="29"/>
        <v>111028.10550104988</v>
      </c>
      <c r="Q92" s="75">
        <f t="shared" si="30"/>
        <v>48302.492514545447</v>
      </c>
      <c r="R92" s="75">
        <f t="shared" si="31"/>
        <v>48302.492514545447</v>
      </c>
      <c r="S92" s="75">
        <f t="shared" si="32"/>
        <v>48302.492514545447</v>
      </c>
      <c r="T92" s="75">
        <f t="shared" si="33"/>
        <v>48302.492514545447</v>
      </c>
      <c r="V92" s="384"/>
      <c r="W92" s="468"/>
      <c r="X92" s="414"/>
      <c r="Y92" s="415"/>
      <c r="Z92" s="412"/>
      <c r="AB92" s="143"/>
      <c r="AC92" s="143"/>
      <c r="AE92" s="143"/>
    </row>
    <row r="93" spans="1:31">
      <c r="A93" t="s">
        <v>540</v>
      </c>
      <c r="B93" t="s">
        <v>523</v>
      </c>
      <c r="C93" t="s">
        <v>542</v>
      </c>
      <c r="D93" s="438">
        <f>G93</f>
        <v>66870.273853111081</v>
      </c>
      <c r="E93" t="s">
        <v>5</v>
      </c>
      <c r="F93" s="185"/>
      <c r="G93" s="23">
        <v>66870.273853111081</v>
      </c>
      <c r="H93" s="23">
        <f t="shared" ref="H93:J94" si="34">G93</f>
        <v>66870.273853111081</v>
      </c>
      <c r="I93" s="23">
        <f t="shared" si="34"/>
        <v>66870.273853111081</v>
      </c>
      <c r="J93" s="23">
        <f t="shared" si="34"/>
        <v>66870.273853111081</v>
      </c>
      <c r="K93" s="12" t="s">
        <v>506</v>
      </c>
      <c r="L93" s="187" t="str">
        <f>VLOOKUP(A93,Summary!$B$7:$E$25,3,FALSE)</f>
        <v>Y</v>
      </c>
      <c r="M93" s="14"/>
      <c r="N93" s="14"/>
      <c r="O93" s="76" t="s">
        <v>5</v>
      </c>
      <c r="P93" s="75">
        <f t="shared" si="29"/>
        <v>2700516.4370853715</v>
      </c>
      <c r="Q93" s="75">
        <f t="shared" si="30"/>
        <v>2891103.0327868182</v>
      </c>
      <c r="R93" s="75">
        <f t="shared" si="31"/>
        <v>2888615.7211658391</v>
      </c>
      <c r="S93" s="75">
        <f t="shared" si="32"/>
        <v>2912525.3884143685</v>
      </c>
      <c r="T93" s="75">
        <f t="shared" si="33"/>
        <v>2918791.2377433195</v>
      </c>
      <c r="V93" s="384"/>
      <c r="W93" s="468"/>
      <c r="X93" s="414"/>
      <c r="Y93" s="415"/>
      <c r="Z93" s="412"/>
      <c r="AB93" s="143"/>
      <c r="AC93" s="143"/>
      <c r="AE93" s="143"/>
    </row>
    <row r="94" spans="1:31">
      <c r="A94" t="s">
        <v>540</v>
      </c>
      <c r="B94" t="s">
        <v>523</v>
      </c>
      <c r="C94" t="s">
        <v>542</v>
      </c>
      <c r="D94" s="438">
        <f>G94</f>
        <v>5207.8887764865649</v>
      </c>
      <c r="E94" t="s">
        <v>3</v>
      </c>
      <c r="F94" s="185"/>
      <c r="G94" s="23">
        <v>5207.8887764865649</v>
      </c>
      <c r="H94" s="23">
        <f t="shared" si="34"/>
        <v>5207.8887764865649</v>
      </c>
      <c r="I94" s="23">
        <f t="shared" si="34"/>
        <v>5207.8887764865649</v>
      </c>
      <c r="J94" s="23">
        <f t="shared" si="34"/>
        <v>5207.8887764865649</v>
      </c>
      <c r="K94" s="12" t="s">
        <v>506</v>
      </c>
      <c r="L94" s="187" t="str">
        <f>VLOOKUP(A94,Summary!$B$7:$E$25,3,FALSE)</f>
        <v>Y</v>
      </c>
      <c r="M94" s="482"/>
      <c r="N94" s="407"/>
      <c r="O94" s="76" t="s">
        <v>98</v>
      </c>
      <c r="P94" s="75">
        <f t="shared" si="29"/>
        <v>-246532.22998150348</v>
      </c>
      <c r="Q94" s="75">
        <f t="shared" si="30"/>
        <v>-161785.36159829696</v>
      </c>
      <c r="R94" s="75">
        <f t="shared" si="31"/>
        <v>-161785.36159829696</v>
      </c>
      <c r="S94" s="75">
        <f t="shared" si="32"/>
        <v>-161785.36159829696</v>
      </c>
      <c r="T94" s="75">
        <f t="shared" si="33"/>
        <v>-161785.36159829696</v>
      </c>
      <c r="V94" s="384"/>
      <c r="W94" s="468"/>
    </row>
    <row r="95" spans="1:31">
      <c r="A95" s="18" t="s">
        <v>7</v>
      </c>
      <c r="D95" s="438"/>
      <c r="E95" s="33"/>
      <c r="F95" s="25"/>
      <c r="G95" s="25"/>
      <c r="H95" s="25"/>
      <c r="I95" s="25"/>
      <c r="J95" s="23">
        <f t="shared" ref="J95:J113" si="35">H95</f>
        <v>0</v>
      </c>
      <c r="K95" s="15"/>
      <c r="L95" s="187"/>
      <c r="M95" s="482"/>
      <c r="O95" s="76" t="s">
        <v>14</v>
      </c>
      <c r="P95" s="75">
        <f t="shared" si="29"/>
        <v>5662.2347651632936</v>
      </c>
      <c r="Q95" s="75">
        <f t="shared" si="30"/>
        <v>3870.1470854317677</v>
      </c>
      <c r="R95" s="75">
        <f t="shared" si="31"/>
        <v>3870.1470854317677</v>
      </c>
      <c r="S95" s="75">
        <f t="shared" si="32"/>
        <v>3870.1470854317677</v>
      </c>
      <c r="T95" s="75">
        <f t="shared" si="33"/>
        <v>3870.1470854317677</v>
      </c>
      <c r="V95" s="384"/>
      <c r="W95" s="468"/>
      <c r="X95" s="29"/>
      <c r="Y95" s="29"/>
    </row>
    <row r="96" spans="1:31">
      <c r="A96" t="s">
        <v>514</v>
      </c>
      <c r="B96" t="s">
        <v>534</v>
      </c>
      <c r="C96" t="s">
        <v>230</v>
      </c>
      <c r="D96" s="438">
        <f>G96</f>
        <v>6544.4098859999795</v>
      </c>
      <c r="E96" s="33" t="s">
        <v>3</v>
      </c>
      <c r="F96" s="25"/>
      <c r="G96" s="532">
        <v>6544.4098859999795</v>
      </c>
      <c r="H96" s="25">
        <f>G96</f>
        <v>6544.4098859999795</v>
      </c>
      <c r="I96" s="25">
        <f t="shared" ref="I96:J96" si="36">H96</f>
        <v>6544.4098859999795</v>
      </c>
      <c r="J96" s="25">
        <f t="shared" si="36"/>
        <v>6544.4098859999795</v>
      </c>
      <c r="K96" s="12" t="s">
        <v>94</v>
      </c>
      <c r="L96" s="187" t="str">
        <f>VLOOKUP(A96,Summary!$B$7:$E$25,3,FALSE)</f>
        <v>Y</v>
      </c>
      <c r="O96" s="76" t="s">
        <v>80</v>
      </c>
      <c r="P96" s="75">
        <f t="shared" si="29"/>
        <v>211.66537700000001</v>
      </c>
      <c r="Q96" s="75">
        <f t="shared" si="30"/>
        <v>211.66537700000001</v>
      </c>
      <c r="R96" s="75">
        <f t="shared" si="31"/>
        <v>211.66537700000001</v>
      </c>
      <c r="S96" s="75">
        <f t="shared" si="32"/>
        <v>211.66537700000001</v>
      </c>
      <c r="T96" s="75">
        <f t="shared" si="33"/>
        <v>211.66537700000001</v>
      </c>
      <c r="V96" s="384"/>
      <c r="W96" s="468"/>
    </row>
    <row r="97" spans="1:31">
      <c r="A97" t="s">
        <v>514</v>
      </c>
      <c r="B97" t="s">
        <v>534</v>
      </c>
      <c r="C97" t="s">
        <v>230</v>
      </c>
      <c r="D97" s="438">
        <f t="shared" ref="D97:D112" si="37">G97</f>
        <v>-52429.70171458718</v>
      </c>
      <c r="E97" s="33" t="s">
        <v>3</v>
      </c>
      <c r="F97" s="25"/>
      <c r="G97" s="532">
        <v>-52429.70171458718</v>
      </c>
      <c r="H97" s="25">
        <f t="shared" ref="H97:J112" si="38">G97</f>
        <v>-52429.70171458718</v>
      </c>
      <c r="I97" s="25">
        <f t="shared" si="38"/>
        <v>-52429.70171458718</v>
      </c>
      <c r="J97" s="25">
        <f t="shared" si="38"/>
        <v>-52429.70171458718</v>
      </c>
      <c r="K97" s="12" t="s">
        <v>94</v>
      </c>
      <c r="L97" s="187" t="str">
        <f>VLOOKUP(A97,Summary!$B$7:$E$25,3,FALSE)</f>
        <v>Y</v>
      </c>
      <c r="O97" s="77" t="s">
        <v>100</v>
      </c>
      <c r="P97" s="75">
        <f t="shared" si="29"/>
        <v>400353.25959999999</v>
      </c>
      <c r="Q97" s="75">
        <f t="shared" si="30"/>
        <v>354340.59289830818</v>
      </c>
      <c r="R97" s="75">
        <f t="shared" si="31"/>
        <v>334931.18581866584</v>
      </c>
      <c r="S97" s="75">
        <f t="shared" si="32"/>
        <v>294064.68021866586</v>
      </c>
      <c r="T97" s="75">
        <f t="shared" si="33"/>
        <v>293656.52321866585</v>
      </c>
      <c r="V97" s="384"/>
      <c r="W97" s="468"/>
    </row>
    <row r="98" spans="1:31">
      <c r="A98" t="s">
        <v>514</v>
      </c>
      <c r="B98" t="s">
        <v>534</v>
      </c>
      <c r="C98" t="s">
        <v>230</v>
      </c>
      <c r="D98" s="438">
        <f t="shared" si="37"/>
        <v>24182.690723364183</v>
      </c>
      <c r="E98" s="33" t="s">
        <v>3</v>
      </c>
      <c r="F98" s="25"/>
      <c r="G98" s="532">
        <v>24182.690723364183</v>
      </c>
      <c r="H98" s="25">
        <f t="shared" si="38"/>
        <v>24182.690723364183</v>
      </c>
      <c r="I98" s="25">
        <f t="shared" si="38"/>
        <v>24182.690723364183</v>
      </c>
      <c r="J98" s="25">
        <f t="shared" si="38"/>
        <v>24182.690723364183</v>
      </c>
      <c r="K98" s="12" t="s">
        <v>94</v>
      </c>
      <c r="L98" s="187" t="str">
        <f>VLOOKUP(A98,Summary!$B$7:$E$25,3,FALSE)</f>
        <v>Y</v>
      </c>
      <c r="M98" s="13"/>
      <c r="N98" s="13"/>
      <c r="O98" s="76" t="s">
        <v>97</v>
      </c>
      <c r="P98" s="75">
        <f t="shared" si="29"/>
        <v>0</v>
      </c>
      <c r="Q98" s="75">
        <f t="shared" si="30"/>
        <v>0</v>
      </c>
      <c r="R98" s="75">
        <f t="shared" si="31"/>
        <v>0</v>
      </c>
      <c r="S98" s="75">
        <f t="shared" si="32"/>
        <v>0</v>
      </c>
      <c r="T98" s="75">
        <f t="shared" si="33"/>
        <v>0</v>
      </c>
      <c r="V98" s="384"/>
      <c r="W98" s="468"/>
      <c r="AE98" s="14"/>
    </row>
    <row r="99" spans="1:31">
      <c r="A99" t="s">
        <v>514</v>
      </c>
      <c r="B99" t="s">
        <v>534</v>
      </c>
      <c r="C99" t="s">
        <v>230</v>
      </c>
      <c r="D99" s="438">
        <f t="shared" si="37"/>
        <v>-121693.97862617213</v>
      </c>
      <c r="E99" s="33" t="s">
        <v>3</v>
      </c>
      <c r="F99" s="25"/>
      <c r="G99" s="532">
        <v>-121693.97862617213</v>
      </c>
      <c r="H99" s="25">
        <f t="shared" si="38"/>
        <v>-121693.97862617213</v>
      </c>
      <c r="I99" s="25">
        <f t="shared" si="38"/>
        <v>-121693.97862617213</v>
      </c>
      <c r="J99" s="25">
        <f t="shared" si="38"/>
        <v>-121693.97862617213</v>
      </c>
      <c r="K99" s="12" t="s">
        <v>94</v>
      </c>
      <c r="L99" s="187" t="str">
        <f>VLOOKUP(A99,Summary!$B$7:$E$25,3,FALSE)</f>
        <v>Y</v>
      </c>
      <c r="M99" s="409"/>
      <c r="N99" s="409"/>
      <c r="O99" s="76" t="s">
        <v>256</v>
      </c>
      <c r="P99" s="75">
        <f t="shared" si="29"/>
        <v>-165929.65136068387</v>
      </c>
      <c r="Q99" s="75">
        <f t="shared" si="30"/>
        <v>-56269.064452265055</v>
      </c>
      <c r="R99" s="75">
        <f t="shared" si="31"/>
        <v>-76941.390810613317</v>
      </c>
      <c r="S99" s="75">
        <f t="shared" si="32"/>
        <v>-76941.390810613317</v>
      </c>
      <c r="T99" s="75">
        <f t="shared" si="33"/>
        <v>-76941.390810613317</v>
      </c>
      <c r="V99" s="384"/>
      <c r="W99" s="468"/>
      <c r="AE99" s="14"/>
    </row>
    <row r="100" spans="1:31">
      <c r="A100" t="s">
        <v>514</v>
      </c>
      <c r="B100" t="s">
        <v>534</v>
      </c>
      <c r="C100" t="s">
        <v>230</v>
      </c>
      <c r="D100" s="438">
        <f t="shared" si="37"/>
        <v>135480.79558190468</v>
      </c>
      <c r="E100" s="33" t="s">
        <v>3</v>
      </c>
      <c r="F100" s="25"/>
      <c r="G100" s="532">
        <v>135480.79558190468</v>
      </c>
      <c r="H100" s="25">
        <f t="shared" si="38"/>
        <v>135480.79558190468</v>
      </c>
      <c r="I100" s="25">
        <f t="shared" si="38"/>
        <v>135480.79558190468</v>
      </c>
      <c r="J100" s="25">
        <f t="shared" si="38"/>
        <v>135480.79558190468</v>
      </c>
      <c r="K100" s="12" t="s">
        <v>94</v>
      </c>
      <c r="L100" s="187" t="str">
        <f>VLOOKUP(A100,Summary!$B$7:$E$25,3,FALSE)</f>
        <v>Y</v>
      </c>
      <c r="O100" s="76" t="s">
        <v>10</v>
      </c>
      <c r="P100" s="75">
        <f t="shared" si="29"/>
        <v>862705.42626704415</v>
      </c>
      <c r="Q100" s="75">
        <f t="shared" si="30"/>
        <v>862705.42626704415</v>
      </c>
      <c r="R100" s="75">
        <f t="shared" si="31"/>
        <v>862705.42626704415</v>
      </c>
      <c r="S100" s="75">
        <f t="shared" si="32"/>
        <v>862705.42626704415</v>
      </c>
      <c r="T100" s="75">
        <f t="shared" si="33"/>
        <v>862705.42626704415</v>
      </c>
      <c r="V100" s="384"/>
      <c r="W100" s="468"/>
      <c r="AE100" s="14"/>
    </row>
    <row r="101" spans="1:31">
      <c r="A101" t="s">
        <v>514</v>
      </c>
      <c r="B101" t="s">
        <v>534</v>
      </c>
      <c r="C101" t="s">
        <v>230</v>
      </c>
      <c r="D101" s="438">
        <f t="shared" si="37"/>
        <v>-832.45783753968499</v>
      </c>
      <c r="E101" s="33" t="s">
        <v>3</v>
      </c>
      <c r="F101" s="25"/>
      <c r="G101" s="532">
        <v>-832.45783753968499</v>
      </c>
      <c r="H101" s="25"/>
      <c r="I101" s="25">
        <f t="shared" si="38"/>
        <v>0</v>
      </c>
      <c r="J101" s="25">
        <f t="shared" si="38"/>
        <v>0</v>
      </c>
      <c r="K101" s="12" t="s">
        <v>94</v>
      </c>
      <c r="L101" s="187" t="str">
        <f>VLOOKUP(A101,Summary!$B$7:$E$25,3,FALSE)</f>
        <v>Y</v>
      </c>
      <c r="O101" s="76" t="s">
        <v>87</v>
      </c>
      <c r="P101" s="75">
        <f t="shared" si="29"/>
        <v>178.76388774267036</v>
      </c>
      <c r="Q101" s="75">
        <f t="shared" si="30"/>
        <v>178.76388774267036</v>
      </c>
      <c r="R101" s="75">
        <f t="shared" si="31"/>
        <v>178.76388774267036</v>
      </c>
      <c r="S101" s="75">
        <f t="shared" si="32"/>
        <v>178.76388774267036</v>
      </c>
      <c r="T101" s="75">
        <f t="shared" si="33"/>
        <v>178.76388774267036</v>
      </c>
      <c r="V101" s="384"/>
      <c r="W101" s="468"/>
      <c r="AE101" s="14"/>
    </row>
    <row r="102" spans="1:31">
      <c r="A102" t="s">
        <v>514</v>
      </c>
      <c r="B102" t="s">
        <v>534</v>
      </c>
      <c r="C102" t="s">
        <v>230</v>
      </c>
      <c r="D102" s="438">
        <f t="shared" si="37"/>
        <v>84746.868383206514</v>
      </c>
      <c r="E102" s="33" t="s">
        <v>98</v>
      </c>
      <c r="F102" s="25"/>
      <c r="G102" s="532">
        <v>84746.868383206514</v>
      </c>
      <c r="H102" s="25">
        <f t="shared" si="38"/>
        <v>84746.868383206514</v>
      </c>
      <c r="I102" s="25">
        <f t="shared" si="38"/>
        <v>84746.868383206514</v>
      </c>
      <c r="J102" s="25">
        <f t="shared" si="38"/>
        <v>84746.868383206514</v>
      </c>
      <c r="K102" s="12" t="s">
        <v>94</v>
      </c>
      <c r="L102" s="187" t="str">
        <f>VLOOKUP(A102,Summary!$B$7:$E$25,3,FALSE)</f>
        <v>Y</v>
      </c>
      <c r="O102" s="76" t="s">
        <v>78</v>
      </c>
      <c r="P102" s="75">
        <f t="shared" si="29"/>
        <v>0</v>
      </c>
      <c r="Q102" s="75">
        <f t="shared" si="30"/>
        <v>0</v>
      </c>
      <c r="R102" s="75">
        <f t="shared" si="31"/>
        <v>0</v>
      </c>
      <c r="S102" s="75">
        <f t="shared" si="32"/>
        <v>0</v>
      </c>
      <c r="T102" s="75">
        <f t="shared" si="33"/>
        <v>0</v>
      </c>
      <c r="V102" s="384"/>
      <c r="W102" s="468"/>
      <c r="AE102" s="14"/>
    </row>
    <row r="103" spans="1:31">
      <c r="A103" t="s">
        <v>514</v>
      </c>
      <c r="B103" t="s">
        <v>534</v>
      </c>
      <c r="C103" t="s">
        <v>230</v>
      </c>
      <c r="D103" s="438">
        <f t="shared" si="37"/>
        <v>-1792.0876797315259</v>
      </c>
      <c r="E103" s="33" t="s">
        <v>14</v>
      </c>
      <c r="F103" s="25"/>
      <c r="G103" s="532">
        <v>-1792.0876797315259</v>
      </c>
      <c r="H103" s="25">
        <f t="shared" si="38"/>
        <v>-1792.0876797315259</v>
      </c>
      <c r="I103" s="25">
        <f t="shared" si="38"/>
        <v>-1792.0876797315259</v>
      </c>
      <c r="J103" s="25">
        <f t="shared" si="38"/>
        <v>-1792.0876797315259</v>
      </c>
      <c r="K103" s="12" t="s">
        <v>94</v>
      </c>
      <c r="L103" s="187" t="str">
        <f>VLOOKUP(A103,Summary!$B$7:$E$25,3,FALSE)</f>
        <v>Y</v>
      </c>
      <c r="O103" s="76" t="s">
        <v>225</v>
      </c>
      <c r="P103" s="75">
        <f t="shared" si="29"/>
        <v>91816.684925380512</v>
      </c>
      <c r="Q103" s="75">
        <f t="shared" si="30"/>
        <v>91816.684925380512</v>
      </c>
      <c r="R103" s="75">
        <f t="shared" si="31"/>
        <v>91816.684925380512</v>
      </c>
      <c r="S103" s="75">
        <f t="shared" si="32"/>
        <v>91816.684925380512</v>
      </c>
      <c r="T103" s="75">
        <f t="shared" si="33"/>
        <v>91816.684925380512</v>
      </c>
      <c r="V103" s="384"/>
      <c r="W103" s="468"/>
      <c r="AE103" s="14"/>
    </row>
    <row r="104" spans="1:31">
      <c r="A104" s="474" t="s">
        <v>514</v>
      </c>
      <c r="B104" s="474" t="s">
        <v>534</v>
      </c>
      <c r="C104" s="474" t="s">
        <v>230</v>
      </c>
      <c r="D104" s="480">
        <f t="shared" si="37"/>
        <v>-1659.7667813342014</v>
      </c>
      <c r="E104" s="481" t="s">
        <v>100</v>
      </c>
      <c r="F104" s="237"/>
      <c r="G104" s="533">
        <v>-1659.7667813342014</v>
      </c>
      <c r="H104" s="237">
        <f t="shared" si="38"/>
        <v>-1659.7667813342014</v>
      </c>
      <c r="I104" s="237">
        <f t="shared" si="38"/>
        <v>-1659.7667813342014</v>
      </c>
      <c r="J104" s="237">
        <f t="shared" si="38"/>
        <v>-1659.7667813342014</v>
      </c>
      <c r="K104" s="12" t="s">
        <v>94</v>
      </c>
      <c r="L104" s="187" t="str">
        <f>VLOOKUP(A104,Summary!$B$7:$E$25,3,FALSE)</f>
        <v>Y</v>
      </c>
      <c r="O104" s="76" t="s">
        <v>113</v>
      </c>
      <c r="P104" s="75">
        <f>SUM(P90:P103)</f>
        <v>4361750.4586457396</v>
      </c>
      <c r="Q104" s="75">
        <f t="shared" ref="Q104:T104" si="39">SUM(Q90:Q103)</f>
        <v>4641029.6486077476</v>
      </c>
      <c r="R104" s="75">
        <f t="shared" si="39"/>
        <v>4620342.2120376118</v>
      </c>
      <c r="S104" s="75">
        <f t="shared" si="39"/>
        <v>4603366.1347637624</v>
      </c>
      <c r="T104" s="75">
        <f t="shared" si="39"/>
        <v>4609057.6784935975</v>
      </c>
      <c r="V104" s="384"/>
      <c r="W104" s="468"/>
    </row>
    <row r="105" spans="1:31">
      <c r="A105" t="s">
        <v>514</v>
      </c>
      <c r="B105" t="s">
        <v>534</v>
      </c>
      <c r="C105" t="s">
        <v>230</v>
      </c>
      <c r="D105" s="438">
        <f t="shared" si="37"/>
        <v>10784.782008832291</v>
      </c>
      <c r="E105" s="33" t="s">
        <v>59</v>
      </c>
      <c r="F105" s="25"/>
      <c r="G105" s="532">
        <v>10784.782008832291</v>
      </c>
      <c r="H105" s="25">
        <f>G105</f>
        <v>10784.782008832291</v>
      </c>
      <c r="I105" s="25">
        <f t="shared" si="38"/>
        <v>10784.782008832291</v>
      </c>
      <c r="J105" s="25">
        <f t="shared" si="38"/>
        <v>10784.782008832291</v>
      </c>
      <c r="K105" s="12" t="s">
        <v>94</v>
      </c>
      <c r="L105" s="187" t="str">
        <f>VLOOKUP(A105,Summary!$B$7:$E$25,3,FALSE)</f>
        <v>Y</v>
      </c>
      <c r="O105" s="76"/>
      <c r="P105" s="75"/>
      <c r="Q105" s="75"/>
      <c r="R105" s="75"/>
      <c r="S105" s="75"/>
      <c r="T105" s="75"/>
      <c r="V105" s="26"/>
      <c r="W105" s="26"/>
      <c r="X105" s="26"/>
      <c r="Y105" s="26"/>
      <c r="Z105" s="26"/>
      <c r="AA105" s="26"/>
      <c r="AB105" s="26"/>
      <c r="AC105" s="26"/>
    </row>
    <row r="106" spans="1:31">
      <c r="A106" t="s">
        <v>514</v>
      </c>
      <c r="B106" t="s">
        <v>534</v>
      </c>
      <c r="C106" t="s">
        <v>230</v>
      </c>
      <c r="D106" s="438">
        <f t="shared" si="37"/>
        <v>-73510.394995336726</v>
      </c>
      <c r="E106" s="33" t="s">
        <v>59</v>
      </c>
      <c r="F106" s="25"/>
      <c r="G106" s="532">
        <v>-73510.394995336726</v>
      </c>
      <c r="H106" s="25">
        <f t="shared" si="38"/>
        <v>-73510.394995336726</v>
      </c>
      <c r="I106" s="25">
        <f t="shared" si="38"/>
        <v>-73510.394995336726</v>
      </c>
      <c r="J106" s="25">
        <f t="shared" si="38"/>
        <v>-73510.394995336726</v>
      </c>
      <c r="K106" s="12" t="s">
        <v>94</v>
      </c>
      <c r="L106" s="187" t="str">
        <f>VLOOKUP(A106,Summary!$B$7:$E$25,3,FALSE)</f>
        <v>Y</v>
      </c>
      <c r="O106" s="78" t="s">
        <v>160</v>
      </c>
      <c r="P106" s="12">
        <f>P104-P23</f>
        <v>12708.484228000045</v>
      </c>
      <c r="Q106" s="12">
        <f>Q104-Q23</f>
        <v>291977.3924901234</v>
      </c>
      <c r="R106" s="12">
        <f>R104-R23</f>
        <v>430062.0535325841</v>
      </c>
      <c r="S106" s="12">
        <f>S104-S23</f>
        <v>438436.58520639315</v>
      </c>
      <c r="T106" s="12">
        <f>T104-T23</f>
        <v>452382.51758302562</v>
      </c>
    </row>
    <row r="107" spans="1:31">
      <c r="A107" t="s">
        <v>514</v>
      </c>
      <c r="B107" t="s">
        <v>534</v>
      </c>
      <c r="C107" t="s">
        <v>230</v>
      </c>
      <c r="D107" s="438">
        <f t="shared" si="37"/>
        <v>-84304.011788616204</v>
      </c>
      <c r="E107" s="33" t="s">
        <v>256</v>
      </c>
      <c r="F107" s="25"/>
      <c r="G107" s="532">
        <v>-84304.011788616204</v>
      </c>
      <c r="H107" s="25">
        <f>G107</f>
        <v>-84304.011788616204</v>
      </c>
      <c r="I107" s="25">
        <f t="shared" si="38"/>
        <v>-84304.011788616204</v>
      </c>
      <c r="J107" s="25">
        <f t="shared" si="38"/>
        <v>-84304.011788616204</v>
      </c>
      <c r="K107" s="12" t="s">
        <v>94</v>
      </c>
      <c r="L107" s="187" t="str">
        <f>VLOOKUP(A107,Summary!$B$7:$E$25,3,FALSE)</f>
        <v>Y</v>
      </c>
      <c r="O107" s="12" t="s">
        <v>250</v>
      </c>
      <c r="P107" s="442">
        <f>'Sales Allocations &amp; CCC'!S3</f>
        <v>8.0000000000000004E-4</v>
      </c>
      <c r="Q107" s="12"/>
      <c r="R107" s="12"/>
      <c r="S107" s="12"/>
      <c r="T107" s="12"/>
      <c r="V107" s="23"/>
      <c r="W107" s="23"/>
      <c r="X107" s="23"/>
      <c r="Y107" s="23"/>
      <c r="Z107" s="23"/>
      <c r="AA107" s="23"/>
      <c r="AB107" s="23"/>
      <c r="AC107" s="23"/>
    </row>
    <row r="108" spans="1:31">
      <c r="A108" t="s">
        <v>514</v>
      </c>
      <c r="B108" t="s">
        <v>534</v>
      </c>
      <c r="C108" t="s">
        <v>230</v>
      </c>
      <c r="D108" s="438">
        <f t="shared" si="37"/>
        <v>200501.80137909602</v>
      </c>
      <c r="E108" s="33" t="s">
        <v>256</v>
      </c>
      <c r="F108" s="25"/>
      <c r="G108" s="532">
        <v>200501.80137909602</v>
      </c>
      <c r="H108" s="25">
        <f t="shared" si="38"/>
        <v>200501.80137909602</v>
      </c>
      <c r="I108" s="25">
        <f t="shared" si="38"/>
        <v>200501.80137909602</v>
      </c>
      <c r="J108" s="25">
        <f t="shared" si="38"/>
        <v>200501.80137909602</v>
      </c>
      <c r="K108" s="12" t="s">
        <v>94</v>
      </c>
      <c r="L108" s="187" t="str">
        <f>VLOOKUP(A108,Summary!$B$7:$E$25,3,FALSE)</f>
        <v>Y</v>
      </c>
      <c r="O108" s="12"/>
      <c r="P108" s="238"/>
      <c r="Q108" s="12"/>
      <c r="R108" s="12"/>
      <c r="S108" s="12"/>
      <c r="T108" s="12"/>
    </row>
    <row r="109" spans="1:31" ht="15.75">
      <c r="A109" t="s">
        <v>514</v>
      </c>
      <c r="B109" t="s">
        <v>534</v>
      </c>
      <c r="C109" t="s">
        <v>230</v>
      </c>
      <c r="D109" s="438">
        <f t="shared" si="37"/>
        <v>-7369.6605196006794</v>
      </c>
      <c r="E109" s="33" t="s">
        <v>256</v>
      </c>
      <c r="F109" s="25"/>
      <c r="G109" s="532">
        <v>-7369.6605196006794</v>
      </c>
      <c r="H109" s="25">
        <f t="shared" si="38"/>
        <v>-7369.6605196006794</v>
      </c>
      <c r="I109" s="25">
        <f t="shared" si="38"/>
        <v>-7369.6605196006794</v>
      </c>
      <c r="J109" s="25">
        <f t="shared" si="38"/>
        <v>-7369.6605196006794</v>
      </c>
      <c r="K109" s="12" t="s">
        <v>94</v>
      </c>
      <c r="L109" s="187" t="str">
        <f>VLOOKUP(A109,Summary!$B$7:$E$25,3,FALSE)</f>
        <v>Y</v>
      </c>
      <c r="O109" s="295"/>
      <c r="P109" s="296"/>
      <c r="Q109" s="296"/>
      <c r="R109" s="296"/>
      <c r="S109" s="296"/>
      <c r="T109" s="296"/>
    </row>
    <row r="110" spans="1:31" ht="15.75">
      <c r="A110" t="s">
        <v>514</v>
      </c>
      <c r="B110" t="s">
        <v>534</v>
      </c>
      <c r="C110" t="s">
        <v>230</v>
      </c>
      <c r="D110" s="438">
        <f t="shared" si="37"/>
        <v>-3.7949271009098169</v>
      </c>
      <c r="E110" s="33" t="s">
        <v>392</v>
      </c>
      <c r="F110" s="25"/>
      <c r="G110" s="532">
        <v>-3.7949271009098169</v>
      </c>
      <c r="H110" s="25">
        <f t="shared" si="38"/>
        <v>-3.7949271009098169</v>
      </c>
      <c r="I110" s="25">
        <f t="shared" si="38"/>
        <v>-3.7949271009098169</v>
      </c>
      <c r="J110" s="25">
        <f t="shared" si="38"/>
        <v>-3.7949271009098169</v>
      </c>
      <c r="K110" s="12" t="s">
        <v>94</v>
      </c>
      <c r="L110" s="187" t="str">
        <f>VLOOKUP(A110,Summary!$B$7:$E$25,3,FALSE)</f>
        <v>Y</v>
      </c>
      <c r="O110" s="295"/>
      <c r="P110" s="296"/>
      <c r="Q110" s="296"/>
      <c r="R110" s="296"/>
      <c r="S110" s="296"/>
      <c r="T110" s="296"/>
    </row>
    <row r="111" spans="1:31">
      <c r="A111" t="s">
        <v>514</v>
      </c>
      <c r="B111" t="s">
        <v>534</v>
      </c>
      <c r="C111" t="s">
        <v>230</v>
      </c>
      <c r="D111" s="438">
        <f t="shared" si="37"/>
        <v>832.45783753968499</v>
      </c>
      <c r="E111" s="33" t="s">
        <v>256</v>
      </c>
      <c r="F111" s="25"/>
      <c r="G111" s="532">
        <v>832.45783753968499</v>
      </c>
      <c r="H111" s="25"/>
      <c r="I111" s="25">
        <f t="shared" si="38"/>
        <v>0</v>
      </c>
      <c r="J111" s="25">
        <f t="shared" si="38"/>
        <v>0</v>
      </c>
      <c r="K111" s="12" t="s">
        <v>94</v>
      </c>
      <c r="L111" s="187" t="str">
        <f>VLOOKUP(A111,Summary!$B$7:$E$25,3,FALSE)</f>
        <v>Y</v>
      </c>
      <c r="O111" s="23"/>
    </row>
    <row r="112" spans="1:31">
      <c r="A112" t="s">
        <v>492</v>
      </c>
      <c r="B112" t="s">
        <v>525</v>
      </c>
      <c r="C112" t="s">
        <v>230</v>
      </c>
      <c r="D112" s="438">
        <f t="shared" si="37"/>
        <v>-33795</v>
      </c>
      <c r="E112" s="33" t="s">
        <v>100</v>
      </c>
      <c r="F112" s="25"/>
      <c r="G112" s="25">
        <v>-33795</v>
      </c>
      <c r="H112" s="25">
        <f>G112</f>
        <v>-33795</v>
      </c>
      <c r="I112" s="25">
        <f t="shared" si="38"/>
        <v>-33795</v>
      </c>
      <c r="J112" s="25">
        <f t="shared" si="38"/>
        <v>-33795</v>
      </c>
      <c r="K112" s="12" t="s">
        <v>94</v>
      </c>
      <c r="L112" s="187" t="str">
        <f>VLOOKUP(A112,Summary!$B$7:$E$25,3,FALSE)</f>
        <v>Y</v>
      </c>
    </row>
    <row r="113" spans="1:21" ht="45">
      <c r="A113" s="433" t="s">
        <v>352</v>
      </c>
      <c r="B113" s="433" t="s">
        <v>353</v>
      </c>
      <c r="C113" s="439" t="s">
        <v>457</v>
      </c>
      <c r="D113" s="438">
        <f>SUM(F113:J113)</f>
        <v>100212.99114000001</v>
      </c>
      <c r="E113" s="439" t="s">
        <v>5</v>
      </c>
      <c r="F113" s="440">
        <v>20042.598228000003</v>
      </c>
      <c r="G113" s="440">
        <f>F113</f>
        <v>20042.598228000003</v>
      </c>
      <c r="H113" s="440">
        <f>G113</f>
        <v>20042.598228000003</v>
      </c>
      <c r="I113" s="440">
        <f>H113</f>
        <v>20042.598228000003</v>
      </c>
      <c r="J113" s="438">
        <f t="shared" si="35"/>
        <v>20042.598228000003</v>
      </c>
      <c r="K113" s="12" t="s">
        <v>506</v>
      </c>
      <c r="L113" s="187" t="str">
        <f>VLOOKUP(A113,Summary!$B$7:$E$25,3,FALSE)</f>
        <v>Y</v>
      </c>
    </row>
    <row r="114" spans="1:21">
      <c r="A114" t="s">
        <v>101</v>
      </c>
      <c r="B114" s="225" t="s">
        <v>516</v>
      </c>
      <c r="C114" t="s">
        <v>230</v>
      </c>
      <c r="D114" s="438">
        <f>SUM(F114:J114)</f>
        <v>-90784.707757072698</v>
      </c>
      <c r="E114" s="33" t="s">
        <v>100</v>
      </c>
      <c r="F114" s="23">
        <v>-7334.1140000000014</v>
      </c>
      <c r="G114" s="23">
        <v>-10486.761211799814</v>
      </c>
      <c r="H114" s="23">
        <v>-12794.664515090961</v>
      </c>
      <c r="I114" s="23">
        <v>-29880.505515090961</v>
      </c>
      <c r="J114" s="23">
        <v>-30288.66251509096</v>
      </c>
      <c r="K114" s="12" t="s">
        <v>94</v>
      </c>
      <c r="L114" s="187" t="str">
        <f>VLOOKUP(A114,Summary!$B$7:$E$25,3,FALSE)</f>
        <v>Y</v>
      </c>
    </row>
    <row r="115" spans="1:21">
      <c r="A115" t="s">
        <v>507</v>
      </c>
      <c r="B115" s="433" t="s">
        <v>517</v>
      </c>
      <c r="C115" t="s">
        <v>230</v>
      </c>
      <c r="D115" s="438">
        <f>SUM(F115:J115)</f>
        <v>110482.47067381286</v>
      </c>
      <c r="E115" t="s">
        <v>5</v>
      </c>
      <c r="F115" s="23"/>
      <c r="G115" s="438">
        <v>2429.9191855929721</v>
      </c>
      <c r="H115" s="438">
        <v>14055.361032656734</v>
      </c>
      <c r="I115" s="438">
        <v>39821.550539465497</v>
      </c>
      <c r="J115" s="438">
        <v>54175.639916097658</v>
      </c>
      <c r="K115" s="12" t="s">
        <v>506</v>
      </c>
      <c r="L115" s="187" t="str">
        <f>VLOOKUP(A115,Summary!$B$7:$E$25,3,FALSE)</f>
        <v>Y</v>
      </c>
    </row>
    <row r="116" spans="1:21">
      <c r="A116" t="s">
        <v>512</v>
      </c>
      <c r="B116" t="s">
        <v>520</v>
      </c>
      <c r="C116" t="s">
        <v>521</v>
      </c>
      <c r="D116" s="438">
        <f>SUM(F116:J116)</f>
        <v>1098.5356830000001</v>
      </c>
      <c r="E116" t="s">
        <v>5</v>
      </c>
      <c r="F116" s="185"/>
      <c r="G116" s="23">
        <v>811.96115699999996</v>
      </c>
      <c r="H116" s="23">
        <v>286.57452599999999</v>
      </c>
      <c r="I116" s="23"/>
      <c r="J116" s="23"/>
      <c r="K116" s="12" t="s">
        <v>506</v>
      </c>
      <c r="L116" s="187" t="str">
        <f>VLOOKUP(A116,Summary!$B$7:$E$25,3,FALSE)</f>
        <v>Y</v>
      </c>
      <c r="M116" s="33"/>
      <c r="N116" s="33"/>
    </row>
    <row r="117" spans="1:21">
      <c r="A117" t="s">
        <v>512</v>
      </c>
      <c r="B117" t="s">
        <v>520</v>
      </c>
      <c r="C117" t="s">
        <v>521</v>
      </c>
      <c r="D117" s="438">
        <f>SUM(F117:J117)</f>
        <v>72.918216000000001</v>
      </c>
      <c r="E117" t="s">
        <v>3</v>
      </c>
      <c r="F117" s="185"/>
      <c r="G117" s="23">
        <v>53.675909000000004</v>
      </c>
      <c r="H117" s="23">
        <v>19.242307</v>
      </c>
      <c r="I117" s="23"/>
      <c r="J117" s="23"/>
      <c r="K117" s="12" t="s">
        <v>506</v>
      </c>
      <c r="L117" s="187" t="str">
        <f>VLOOKUP(A117,Summary!$B$7:$E$25,3,FALSE)</f>
        <v>Y</v>
      </c>
      <c r="M117" s="33"/>
      <c r="N117" s="33"/>
    </row>
    <row r="118" spans="1:21">
      <c r="D118" s="23"/>
      <c r="E118" s="33"/>
      <c r="F118" s="188"/>
      <c r="G118" s="188"/>
      <c r="H118" s="188"/>
      <c r="I118" s="188"/>
      <c r="J118" s="23"/>
      <c r="L118" s="187"/>
      <c r="M118" s="33"/>
      <c r="N118" s="33"/>
    </row>
    <row r="119" spans="1:21">
      <c r="A119" s="18" t="s">
        <v>9</v>
      </c>
      <c r="D119" s="23"/>
      <c r="F119" s="188"/>
      <c r="G119" s="25"/>
      <c r="H119" s="25"/>
      <c r="I119" s="25"/>
      <c r="J119" s="23"/>
      <c r="L119" s="187"/>
      <c r="M119" s="33"/>
      <c r="N119" s="33"/>
    </row>
    <row r="120" spans="1:21">
      <c r="L120" s="187"/>
      <c r="M120" s="33"/>
      <c r="N120" s="33"/>
    </row>
    <row r="121" spans="1:21">
      <c r="D121" s="23"/>
      <c r="F121" s="188"/>
      <c r="G121" s="188"/>
      <c r="H121" s="25"/>
      <c r="I121" s="25"/>
      <c r="J121" s="25"/>
      <c r="L121" s="187"/>
      <c r="M121" s="33"/>
      <c r="N121" s="33"/>
    </row>
    <row r="122" spans="1:21">
      <c r="A122" s="18"/>
      <c r="D122" s="25"/>
      <c r="F122" s="185"/>
      <c r="G122" s="185"/>
      <c r="H122" s="185"/>
      <c r="I122" s="185"/>
      <c r="J122" s="185"/>
      <c r="L122" s="187"/>
      <c r="M122" s="33"/>
      <c r="N122" s="33"/>
    </row>
    <row r="123" spans="1:21" ht="15.75" thickBot="1">
      <c r="A123" s="73" t="s">
        <v>115</v>
      </c>
      <c r="B123" s="72"/>
      <c r="C123" s="72"/>
      <c r="D123" s="234">
        <f>SUM(D91:D119)</f>
        <v>1152283.6923615616</v>
      </c>
      <c r="E123" s="74"/>
      <c r="F123" s="234">
        <f>SUM(F91:F119)</f>
        <v>12708.484228000001</v>
      </c>
      <c r="G123" s="234">
        <f>SUM(G91:G119)</f>
        <v>291977.39249012264</v>
      </c>
      <c r="H123" s="234">
        <f>SUM(H91:H119)</f>
        <v>430062.05353258486</v>
      </c>
      <c r="I123" s="234">
        <f>SUM(I91:I119)</f>
        <v>438436.58520639373</v>
      </c>
      <c r="J123" s="234">
        <f>SUM(J91:J119)</f>
        <v>452382.51758302574</v>
      </c>
      <c r="K123" s="72"/>
      <c r="L123" s="324"/>
      <c r="M123" s="33"/>
      <c r="N123" s="33"/>
    </row>
    <row r="124" spans="1:21" ht="15.75" thickTop="1">
      <c r="D124" s="24"/>
      <c r="F124" s="28"/>
      <c r="G124" s="408"/>
      <c r="H124" s="28"/>
      <c r="I124" s="28"/>
      <c r="J124" s="28"/>
      <c r="L124" s="324"/>
      <c r="M124" s="33"/>
      <c r="N124" s="33"/>
    </row>
    <row r="125" spans="1:21" ht="15.75">
      <c r="A125" s="575" t="s">
        <v>116</v>
      </c>
      <c r="B125" s="575"/>
      <c r="C125" s="575"/>
      <c r="D125" s="575"/>
      <c r="E125" s="575"/>
      <c r="F125" s="575"/>
      <c r="G125" s="575"/>
      <c r="H125" s="575"/>
      <c r="I125" s="575"/>
      <c r="J125" s="575"/>
      <c r="K125" s="575"/>
      <c r="L125"/>
      <c r="M125" s="33"/>
      <c r="N125" s="33"/>
      <c r="U125" s="33"/>
    </row>
    <row r="126" spans="1:21" ht="60">
      <c r="A126" s="31" t="s">
        <v>0</v>
      </c>
      <c r="B126" s="32" t="s">
        <v>117</v>
      </c>
      <c r="C126" s="32" t="s">
        <v>118</v>
      </c>
      <c r="D126" s="32" t="s">
        <v>107</v>
      </c>
      <c r="E126" s="32" t="s">
        <v>108</v>
      </c>
      <c r="F126" s="576" t="s">
        <v>119</v>
      </c>
      <c r="G126" s="576"/>
      <c r="H126" s="576"/>
      <c r="I126" s="576"/>
      <c r="J126" s="293"/>
      <c r="K126" s="32" t="s">
        <v>92</v>
      </c>
      <c r="M126" s="33"/>
      <c r="N126" s="33"/>
      <c r="U126" s="33"/>
    </row>
    <row r="127" spans="1:21" ht="15.75">
      <c r="A127" s="18" t="s">
        <v>2</v>
      </c>
      <c r="C127" s="33"/>
      <c r="D127" s="33"/>
      <c r="E127" s="33"/>
      <c r="F127">
        <v>2024</v>
      </c>
      <c r="G127">
        <v>2025</v>
      </c>
      <c r="H127">
        <v>2026</v>
      </c>
      <c r="I127">
        <v>2027</v>
      </c>
      <c r="J127">
        <v>2028</v>
      </c>
      <c r="K127"/>
      <c r="L127"/>
      <c r="M127" s="33"/>
      <c r="N127" s="33"/>
      <c r="P127" s="34"/>
      <c r="Q127" s="34"/>
      <c r="R127" s="34"/>
      <c r="S127" s="35"/>
      <c r="U127" s="33"/>
    </row>
    <row r="128" spans="1:21" ht="15.75">
      <c r="B128" s="225"/>
      <c r="D128" s="23"/>
      <c r="F128" s="25"/>
      <c r="G128" s="25"/>
      <c r="H128" s="25"/>
      <c r="I128" s="25"/>
      <c r="J128" s="25"/>
      <c r="L128" s="23"/>
      <c r="M128" s="33"/>
      <c r="N128" s="33"/>
      <c r="P128" s="34"/>
      <c r="Q128" s="34"/>
      <c r="R128" s="34"/>
      <c r="S128" s="35"/>
      <c r="U128" s="33"/>
    </row>
    <row r="129" spans="1:29" ht="15.75">
      <c r="D129" s="23"/>
      <c r="F129" s="25"/>
      <c r="G129" s="25"/>
      <c r="H129" s="25"/>
      <c r="I129" s="25"/>
      <c r="J129" s="25"/>
      <c r="L129" s="23"/>
      <c r="M129" s="33"/>
      <c r="N129" s="33"/>
      <c r="P129" s="34"/>
      <c r="Q129" s="34"/>
      <c r="R129" s="34"/>
      <c r="S129" s="35"/>
      <c r="U129" s="33"/>
    </row>
    <row r="130" spans="1:29" ht="15.75">
      <c r="D130" s="23"/>
      <c r="F130" s="25"/>
      <c r="G130" s="25"/>
      <c r="H130" s="25"/>
      <c r="I130" s="25"/>
      <c r="J130" s="25"/>
      <c r="L130" s="23"/>
      <c r="M130" s="33"/>
      <c r="N130" s="33"/>
      <c r="P130" s="34"/>
      <c r="Q130" s="34"/>
      <c r="R130" s="34"/>
      <c r="S130" s="35"/>
      <c r="U130" s="33"/>
    </row>
    <row r="131" spans="1:29">
      <c r="A131" s="18" t="s">
        <v>7</v>
      </c>
      <c r="L131" s="33"/>
      <c r="M131" s="33"/>
      <c r="N131" s="33"/>
      <c r="P131" s="33"/>
      <c r="Q131" s="33"/>
      <c r="R131" s="33"/>
      <c r="S131" s="33"/>
      <c r="T131" s="33"/>
      <c r="U131" s="33"/>
      <c r="V131" s="29"/>
      <c r="W131" s="29"/>
      <c r="X131" s="29"/>
      <c r="Y131" s="29"/>
      <c r="Z131" s="29"/>
      <c r="AA131" s="29"/>
      <c r="AB131" s="29"/>
      <c r="AC131" s="29"/>
    </row>
    <row r="132" spans="1:29">
      <c r="A132" t="s">
        <v>526</v>
      </c>
      <c r="B132" s="225">
        <v>45925</v>
      </c>
      <c r="C132" t="s">
        <v>527</v>
      </c>
      <c r="D132" s="23"/>
      <c r="F132" s="23"/>
      <c r="G132" s="23"/>
      <c r="H132" s="23"/>
      <c r="I132" s="23"/>
      <c r="J132" s="23"/>
      <c r="M132" s="33"/>
      <c r="N132" s="33"/>
      <c r="P132" s="33"/>
      <c r="Q132" s="33"/>
      <c r="R132" s="33"/>
      <c r="S132" s="33"/>
      <c r="T132" s="33"/>
      <c r="U132" s="33"/>
      <c r="V132" s="29"/>
      <c r="W132" s="29"/>
      <c r="X132" s="29"/>
      <c r="Y132" s="29"/>
      <c r="Z132" s="29"/>
      <c r="AA132" s="29"/>
      <c r="AB132" s="29"/>
      <c r="AC132" s="29"/>
    </row>
    <row r="133" spans="1:29">
      <c r="A133" t="s">
        <v>528</v>
      </c>
      <c r="B133" s="225">
        <v>45973</v>
      </c>
      <c r="C133" t="s">
        <v>527</v>
      </c>
      <c r="D133" s="23"/>
      <c r="F133" s="25"/>
      <c r="G133" s="188"/>
      <c r="H133" s="25"/>
      <c r="I133" s="25"/>
      <c r="J133" s="25"/>
      <c r="L133"/>
      <c r="M133" s="33"/>
      <c r="N133" s="33"/>
      <c r="P133" s="33"/>
      <c r="Q133" s="33"/>
      <c r="R133" s="33"/>
      <c r="S133" s="33"/>
      <c r="T133" s="33"/>
      <c r="U133" s="33"/>
      <c r="V133" s="29"/>
      <c r="W133" s="29"/>
      <c r="X133" s="29"/>
      <c r="Y133" s="29"/>
      <c r="Z133" s="29"/>
      <c r="AA133" s="29"/>
      <c r="AB133" s="29"/>
      <c r="AC133" s="29"/>
    </row>
    <row r="134" spans="1:29" ht="15.75">
      <c r="D134" s="23"/>
      <c r="F134" s="25"/>
      <c r="G134" s="188"/>
      <c r="H134" s="25"/>
      <c r="I134" s="25"/>
      <c r="J134" s="25"/>
      <c r="M134" s="34"/>
      <c r="N134" s="34"/>
      <c r="P134" s="33"/>
      <c r="Q134" s="33"/>
      <c r="R134" s="33"/>
      <c r="S134" s="33"/>
      <c r="T134" s="33"/>
      <c r="U134" s="33"/>
      <c r="V134" s="29"/>
      <c r="W134" s="29"/>
      <c r="X134" s="29"/>
      <c r="Y134" s="29"/>
      <c r="Z134" s="29"/>
      <c r="AA134" s="29"/>
      <c r="AB134" s="29"/>
      <c r="AC134" s="29"/>
    </row>
    <row r="135" spans="1:29" ht="15.75">
      <c r="B135" s="36"/>
      <c r="K135"/>
      <c r="M135" s="34"/>
      <c r="N135" s="34"/>
      <c r="P135" s="33"/>
      <c r="Q135" s="33"/>
      <c r="R135" s="33"/>
      <c r="S135" s="33"/>
      <c r="T135" s="33"/>
      <c r="U135" s="33"/>
      <c r="V135" s="29"/>
      <c r="W135" s="29"/>
      <c r="X135" s="29"/>
      <c r="Y135" s="29"/>
      <c r="Z135" s="29"/>
      <c r="AA135" s="29"/>
      <c r="AB135" s="29"/>
      <c r="AC135" s="29"/>
    </row>
    <row r="136" spans="1:29" ht="15.75">
      <c r="A136" s="18" t="s">
        <v>9</v>
      </c>
      <c r="M136" s="34"/>
      <c r="N136" s="34"/>
      <c r="O136" s="34"/>
      <c r="P136" s="33"/>
      <c r="Q136" s="33"/>
      <c r="R136" s="33"/>
      <c r="S136" s="33"/>
      <c r="T136" s="33"/>
      <c r="U136" s="33"/>
      <c r="V136" s="29"/>
      <c r="W136" s="29"/>
      <c r="X136" s="29"/>
      <c r="Y136" s="29"/>
      <c r="Z136" s="29"/>
      <c r="AA136" s="29"/>
      <c r="AB136" s="29"/>
      <c r="AC136" s="29"/>
    </row>
    <row r="137" spans="1:29" ht="15.75">
      <c r="A137" t="s">
        <v>396</v>
      </c>
      <c r="B137" s="225">
        <v>45992</v>
      </c>
      <c r="K137"/>
      <c r="L137"/>
      <c r="M137" s="34"/>
      <c r="N137" s="34"/>
      <c r="O137" s="34"/>
      <c r="P137" s="33"/>
      <c r="Q137" s="33"/>
      <c r="R137" s="33"/>
      <c r="S137" s="33"/>
      <c r="T137" s="33"/>
      <c r="U137" s="33"/>
      <c r="V137" s="29"/>
      <c r="W137" s="29"/>
      <c r="X137" s="29"/>
      <c r="Y137" s="29"/>
      <c r="Z137" s="29"/>
      <c r="AA137" s="29"/>
      <c r="AB137" s="29"/>
      <c r="AC137" s="29"/>
    </row>
    <row r="138" spans="1:29" ht="15.75">
      <c r="A138" t="s">
        <v>397</v>
      </c>
      <c r="D138" s="23"/>
      <c r="F138" s="23"/>
      <c r="G138" s="23"/>
      <c r="H138" s="23"/>
      <c r="I138" s="23"/>
      <c r="J138" s="23"/>
      <c r="K138"/>
      <c r="L138"/>
      <c r="M138" s="13"/>
      <c r="N138" s="13"/>
      <c r="O138" s="34"/>
      <c r="P138" s="33"/>
      <c r="Q138" s="33"/>
      <c r="R138" s="33"/>
      <c r="S138" s="33"/>
      <c r="T138" s="33"/>
    </row>
    <row r="139" spans="1:29" ht="15.75">
      <c r="A139" t="s">
        <v>398</v>
      </c>
      <c r="B139" s="225"/>
      <c r="D139" s="23"/>
      <c r="F139" s="23"/>
      <c r="G139" s="23"/>
      <c r="H139" s="23"/>
      <c r="I139" s="23"/>
      <c r="J139" s="23"/>
      <c r="K139"/>
      <c r="L139"/>
      <c r="M139" s="13"/>
      <c r="N139" s="13"/>
      <c r="O139" s="34"/>
      <c r="P139" s="33"/>
      <c r="Q139" s="33"/>
      <c r="R139" s="33"/>
      <c r="S139" s="33"/>
      <c r="T139" s="33"/>
    </row>
    <row r="140" spans="1:29">
      <c r="B140" s="225"/>
      <c r="D140" s="23"/>
      <c r="F140" s="23"/>
      <c r="G140" s="23"/>
      <c r="H140" s="23"/>
      <c r="I140" s="23"/>
      <c r="J140" s="23"/>
      <c r="K140"/>
      <c r="L140"/>
      <c r="M140" s="13"/>
      <c r="N140" s="13"/>
      <c r="O140" s="33"/>
      <c r="P140" s="33"/>
      <c r="Q140" s="33"/>
      <c r="R140" s="33"/>
      <c r="S140" s="33"/>
      <c r="T140" s="33"/>
    </row>
    <row r="141" spans="1:29">
      <c r="B141" s="225"/>
      <c r="D141" s="23"/>
      <c r="F141" s="23"/>
      <c r="G141" s="23"/>
      <c r="H141" s="23"/>
      <c r="I141" s="23"/>
      <c r="J141" s="23"/>
      <c r="K141"/>
      <c r="L141"/>
      <c r="M141" s="13"/>
      <c r="N141" s="13"/>
      <c r="O141" s="33"/>
    </row>
    <row r="142" spans="1:29">
      <c r="L142"/>
      <c r="M142" s="13"/>
      <c r="N142" s="13"/>
      <c r="O142" s="33"/>
    </row>
    <row r="143" spans="1:29">
      <c r="M143" s="13"/>
      <c r="N143" s="13"/>
      <c r="O143" s="33"/>
    </row>
    <row r="144" spans="1:29">
      <c r="L144"/>
      <c r="M144" s="13"/>
      <c r="N144" s="13"/>
      <c r="O144" s="33"/>
    </row>
    <row r="145" spans="1:19">
      <c r="A145" t="s">
        <v>120</v>
      </c>
      <c r="L145"/>
      <c r="M145" s="33"/>
      <c r="N145" s="33"/>
      <c r="O145" s="33"/>
    </row>
    <row r="146" spans="1:19">
      <c r="O146" s="33"/>
    </row>
    <row r="147" spans="1:19" ht="15" customHeight="1">
      <c r="K147"/>
      <c r="O147" s="33"/>
    </row>
    <row r="148" spans="1:19" ht="15" customHeight="1">
      <c r="K148"/>
      <c r="O148" s="33"/>
    </row>
    <row r="149" spans="1:19" ht="15" customHeight="1">
      <c r="K149"/>
      <c r="O149" s="33"/>
    </row>
    <row r="150" spans="1:19" ht="15" customHeight="1">
      <c r="K150"/>
    </row>
    <row r="151" spans="1:19" ht="15" customHeight="1">
      <c r="K151"/>
    </row>
    <row r="152" spans="1:19" ht="15" customHeight="1">
      <c r="K152"/>
      <c r="L152"/>
    </row>
    <row r="153" spans="1:19">
      <c r="K153"/>
      <c r="L153"/>
    </row>
    <row r="154" spans="1:19">
      <c r="K154"/>
      <c r="L154"/>
    </row>
    <row r="155" spans="1:19" ht="15" customHeight="1">
      <c r="K155"/>
      <c r="L155"/>
    </row>
    <row r="156" spans="1:19" ht="15" customHeight="1">
      <c r="K156"/>
      <c r="L156"/>
    </row>
    <row r="157" spans="1:19">
      <c r="K157"/>
      <c r="L157"/>
      <c r="P157" s="30"/>
      <c r="Q157" s="30"/>
      <c r="R157" s="30"/>
      <c r="S157" s="37"/>
    </row>
    <row r="158" spans="1:19">
      <c r="K158"/>
      <c r="L158"/>
      <c r="P158" s="30"/>
      <c r="Q158" s="30"/>
      <c r="R158" s="30"/>
      <c r="S158" s="37"/>
    </row>
    <row r="159" spans="1:19">
      <c r="F159" s="28"/>
      <c r="L159"/>
      <c r="P159" s="30"/>
      <c r="Q159" s="30"/>
      <c r="R159" s="30"/>
      <c r="S159" s="37"/>
    </row>
    <row r="160" spans="1:19">
      <c r="F160" s="15"/>
      <c r="L160"/>
      <c r="P160" s="30"/>
      <c r="Q160" s="30"/>
      <c r="R160" s="30"/>
      <c r="S160" s="37"/>
    </row>
    <row r="161" spans="11:19">
      <c r="L161"/>
      <c r="P161" s="30"/>
      <c r="Q161" s="30"/>
      <c r="R161" s="30"/>
      <c r="S161" s="37"/>
    </row>
    <row r="162" spans="11:19">
      <c r="K162"/>
      <c r="L162"/>
      <c r="M162" s="30"/>
      <c r="N162" s="30"/>
      <c r="P162" s="30"/>
      <c r="Q162" s="30"/>
      <c r="R162" s="30"/>
      <c r="S162" s="37"/>
    </row>
    <row r="163" spans="11:19">
      <c r="K163"/>
      <c r="L163"/>
      <c r="M163" s="30"/>
      <c r="N163" s="30"/>
      <c r="P163" s="30"/>
      <c r="Q163" s="30"/>
      <c r="R163" s="30"/>
      <c r="S163" s="37"/>
    </row>
    <row r="164" spans="11:19">
      <c r="K164"/>
      <c r="M164" s="30"/>
      <c r="N164" s="30"/>
      <c r="P164" s="38"/>
      <c r="Q164" s="38"/>
      <c r="R164" s="38"/>
      <c r="S164" s="28"/>
    </row>
    <row r="165" spans="11:19">
      <c r="K165"/>
      <c r="M165" s="30"/>
      <c r="N165" s="30"/>
      <c r="P165" s="38"/>
      <c r="Q165" s="38"/>
      <c r="R165" s="38"/>
      <c r="S165" s="28"/>
    </row>
    <row r="166" spans="11:19">
      <c r="K166"/>
      <c r="M166" s="30"/>
      <c r="N166" s="30"/>
      <c r="O166" s="30"/>
      <c r="P166" s="38"/>
      <c r="Q166" s="38"/>
      <c r="R166" s="38"/>
      <c r="S166" s="28"/>
    </row>
    <row r="167" spans="11:19">
      <c r="K167"/>
      <c r="L167"/>
      <c r="M167" s="30"/>
      <c r="N167" s="30"/>
      <c r="O167" s="30"/>
      <c r="P167" s="38"/>
      <c r="Q167" s="38"/>
      <c r="R167" s="38"/>
      <c r="S167" s="28"/>
    </row>
    <row r="168" spans="11:19">
      <c r="K168"/>
      <c r="L168"/>
      <c r="M168" s="30"/>
      <c r="N168" s="30"/>
      <c r="O168" s="30"/>
      <c r="P168" s="21"/>
      <c r="Q168" s="21"/>
      <c r="R168" s="21"/>
      <c r="S168" s="21"/>
    </row>
    <row r="169" spans="11:19">
      <c r="K169"/>
      <c r="L169"/>
      <c r="M169" s="38"/>
      <c r="N169" s="38"/>
      <c r="O169" s="30"/>
    </row>
    <row r="170" spans="11:19">
      <c r="K170"/>
      <c r="L170"/>
      <c r="M170" s="38"/>
      <c r="N170" s="38"/>
      <c r="O170" s="30"/>
    </row>
    <row r="171" spans="11:19">
      <c r="K171"/>
      <c r="L171"/>
      <c r="M171" s="38"/>
      <c r="N171" s="38"/>
      <c r="O171" s="30"/>
    </row>
    <row r="172" spans="11:19">
      <c r="K172"/>
      <c r="L172"/>
      <c r="M172" s="38"/>
      <c r="N172" s="38"/>
      <c r="O172" s="30"/>
    </row>
    <row r="173" spans="11:19">
      <c r="K173"/>
      <c r="L173"/>
      <c r="O173" s="38"/>
    </row>
    <row r="174" spans="11:19">
      <c r="K174"/>
      <c r="L174"/>
      <c r="O174" s="38"/>
    </row>
    <row r="175" spans="11:19">
      <c r="K175"/>
      <c r="L175"/>
      <c r="O175" s="38"/>
    </row>
    <row r="176" spans="11:19">
      <c r="K176"/>
      <c r="L176"/>
      <c r="O176" s="38"/>
    </row>
    <row r="177" spans="11:15">
      <c r="K177"/>
      <c r="L177"/>
      <c r="O177" s="39"/>
    </row>
    <row r="178" spans="11:15">
      <c r="K178"/>
      <c r="L178"/>
    </row>
    <row r="179" spans="11:15">
      <c r="K179"/>
      <c r="L179"/>
    </row>
    <row r="180" spans="11:15">
      <c r="K180"/>
      <c r="L180"/>
    </row>
    <row r="181" spans="11:15">
      <c r="L181"/>
    </row>
    <row r="182" spans="11:15">
      <c r="L182"/>
    </row>
    <row r="183" spans="11:15">
      <c r="L183"/>
    </row>
    <row r="184" spans="11:15">
      <c r="L184"/>
    </row>
    <row r="185" spans="11:15">
      <c r="L185"/>
    </row>
  </sheetData>
  <autoFilter ref="A8:K119" xr:uid="{A3486F18-8C03-46B1-A3A4-34B73037874F}">
    <filterColumn colId="5" showButton="0"/>
    <filterColumn colId="6" showButton="0"/>
    <filterColumn colId="7" showButton="0"/>
    <filterColumn colId="8" showButton="0"/>
  </autoFilter>
  <mergeCells count="8">
    <mergeCell ref="X90:Y90"/>
    <mergeCell ref="A125:K125"/>
    <mergeCell ref="F126:I126"/>
    <mergeCell ref="O7:T7"/>
    <mergeCell ref="F8:J8"/>
    <mergeCell ref="A88:K88"/>
    <mergeCell ref="F89:J89"/>
    <mergeCell ref="A7:L7"/>
  </mergeCells>
  <phoneticPr fontId="42" type="noConversion"/>
  <conditionalFormatting sqref="A28">
    <cfRule type="duplicateValues" dxfId="13" priority="12"/>
  </conditionalFormatting>
  <conditionalFormatting sqref="A29">
    <cfRule type="duplicateValues" dxfId="12" priority="14"/>
  </conditionalFormatting>
  <conditionalFormatting sqref="A30">
    <cfRule type="duplicateValues" dxfId="11" priority="32"/>
  </conditionalFormatting>
  <conditionalFormatting sqref="M98:N98">
    <cfRule type="duplicateValues" dxfId="10" priority="76"/>
  </conditionalFormatting>
  <conditionalFormatting sqref="M138:N144">
    <cfRule type="duplicateValues" dxfId="9" priority="78"/>
  </conditionalFormatting>
  <conditionalFormatting sqref="Q79:Q85 M84:N85 M89:N93">
    <cfRule type="duplicateValues" dxfId="8" priority="68"/>
  </conditionalFormatting>
  <conditionalFormatting sqref="AA91:AE93">
    <cfRule type="cellIs" dxfId="7" priority="3" operator="equal">
      <formula>"NO CHANGE"</formula>
    </cfRule>
    <cfRule type="cellIs" dxfId="6" priority="4" operator="equal">
      <formula>"DECREASE"</formula>
    </cfRule>
    <cfRule type="cellIs" dxfId="5" priority="5" operator="greaterThan">
      <formula>0</formula>
    </cfRule>
    <cfRule type="cellIs" dxfId="4" priority="7" operator="lessThan">
      <formula>0</formula>
    </cfRule>
  </conditionalFormatting>
  <dataValidations disablePrompts="1" count="6">
    <dataValidation type="list" allowBlank="1" showInputMessage="1" showErrorMessage="1" sqref="K90 K127 F127:G127 F90 M146:N146" xr:uid="{F607B283-23EA-41F1-982F-630BAE586EF6}">
      <formula1>"2019,2020,2021,2022,2023,2024,2025"</formula1>
    </dataValidation>
    <dataValidation type="list" allowBlank="1" showInputMessage="1" showErrorMessage="1" sqref="H127 G90 L9 F9:G9" xr:uid="{15C4B3F3-BFFB-4E7F-89A3-71DB0F39ACBD}">
      <formula1>"2022,2023,2024,2025,2026"</formula1>
    </dataValidation>
    <dataValidation type="list" allowBlank="1" showInputMessage="1" showErrorMessage="1" sqref="H9 I127 H90" xr:uid="{F2215657-CD46-4314-873E-0D6ACCFA763E}">
      <formula1>"2022,2023,2024,2025,2026,2027"</formula1>
    </dataValidation>
    <dataValidation type="list" allowBlank="1" showInputMessage="1" showErrorMessage="1" sqref="I9 J127 I90" xr:uid="{B18AC4CE-2262-4725-B729-7180F7C36B1B}">
      <formula1>"2022,2023,2024,2025,2026,2027,2028"</formula1>
    </dataValidation>
    <dataValidation type="list" allowBlank="1" showInputMessage="1" showErrorMessage="1" sqref="A3" xr:uid="{682A2FD6-F1A0-4788-B1B3-738063C1821A}">
      <formula1>"Reporting Date: Quarter Ended March 31,Reporting Date: Quarter Ended June 30,Reporting Date: Quarter Ended September 30,Reporting Date: Quarter Ended December 31"</formula1>
    </dataValidation>
    <dataValidation type="list" allowBlank="1" showInputMessage="1" showErrorMessage="1" sqref="A2" xr:uid="{F8960B19-7EBC-4DEC-B61D-B5261CC9D82B}">
      <formula1>"Annual Period 2020,Annual Period 2021,Annual Period 2022,Annual Period 2023,Annual Period 2024, Annual Period 2025"</formula1>
    </dataValidation>
  </dataValidations>
  <pageMargins left="0.7" right="0.7" top="0.75" bottom="0.75" header="0.3" footer="0.3"/>
  <pageSetup paperSize="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2524B9-277D-4BA8-96CB-4C4B5722B56A}">
  <sheetPr codeName="Sheet3"/>
  <dimension ref="A1:AF84"/>
  <sheetViews>
    <sheetView workbookViewId="0"/>
  </sheetViews>
  <sheetFormatPr defaultColWidth="8.85546875" defaultRowHeight="15"/>
  <cols>
    <col min="1" max="1" width="3.5703125" style="6" customWidth="1"/>
    <col min="2" max="2" width="23.85546875" style="6" customWidth="1"/>
    <col min="3" max="3" width="19.42578125" style="6" customWidth="1"/>
    <col min="4" max="4" width="17.5703125" style="6" customWidth="1"/>
    <col min="5" max="6" width="16.28515625" style="6" customWidth="1"/>
    <col min="7" max="7" width="20.85546875" style="6" customWidth="1"/>
    <col min="8" max="8" width="16.5703125" style="6" customWidth="1"/>
    <col min="9" max="9" width="14.140625" style="6" customWidth="1"/>
    <col min="10" max="10" width="13.5703125" style="6" customWidth="1"/>
    <col min="11" max="11" width="15.140625" style="6" customWidth="1"/>
    <col min="12" max="12" width="14.85546875" style="6" customWidth="1"/>
    <col min="13" max="15" width="15.42578125" style="6" customWidth="1"/>
    <col min="16" max="16" width="13" style="6" customWidth="1"/>
    <col min="17" max="17" width="15.5703125" style="6" customWidth="1"/>
    <col min="18" max="18" width="17.5703125" style="6" customWidth="1"/>
    <col min="19" max="19" width="14.140625" style="6" customWidth="1"/>
    <col min="20" max="21" width="14" style="6" customWidth="1"/>
    <col min="22" max="22" width="15" style="6" customWidth="1"/>
    <col min="23" max="23" width="14.140625" style="6" customWidth="1"/>
    <col min="24" max="24" width="14.85546875" style="6" bestFit="1" customWidth="1"/>
    <col min="25" max="26" width="14.85546875" style="6" customWidth="1"/>
    <col min="27" max="27" width="13.5703125" style="6" customWidth="1"/>
    <col min="28" max="28" width="16.85546875" style="6" customWidth="1"/>
    <col min="29" max="32" width="15.85546875" style="6" customWidth="1"/>
    <col min="33" max="16384" width="8.85546875" style="6"/>
  </cols>
  <sheetData>
    <row r="1" spans="1:32" s="172" customFormat="1" ht="25.5" customHeight="1">
      <c r="A1" s="398"/>
      <c r="B1" s="399"/>
      <c r="C1" s="399"/>
      <c r="D1" s="399"/>
      <c r="E1" s="399"/>
      <c r="F1" s="399"/>
      <c r="G1" s="399"/>
      <c r="H1" s="399"/>
      <c r="I1" s="399"/>
      <c r="J1" s="399"/>
      <c r="K1" s="399"/>
      <c r="L1" s="399"/>
      <c r="M1" s="399"/>
      <c r="N1" s="399"/>
      <c r="O1" s="399"/>
      <c r="P1" s="399"/>
      <c r="Q1" s="399"/>
      <c r="R1" s="399"/>
      <c r="S1" s="399"/>
      <c r="T1" s="399"/>
      <c r="U1" s="399"/>
      <c r="V1" s="399"/>
      <c r="W1" s="399"/>
      <c r="X1" s="399"/>
      <c r="Y1" s="399"/>
      <c r="Z1" s="399"/>
      <c r="AA1" s="399"/>
      <c r="AB1" s="399"/>
      <c r="AC1" s="399"/>
      <c r="AD1" s="399"/>
    </row>
    <row r="2" spans="1:32" ht="15.75">
      <c r="B2" s="79"/>
      <c r="C2" s="594" t="s">
        <v>161</v>
      </c>
      <c r="D2" s="594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</row>
    <row r="3" spans="1:32">
      <c r="B3" s="80"/>
      <c r="C3" s="81" t="s">
        <v>158</v>
      </c>
      <c r="D3" s="81" t="s">
        <v>162</v>
      </c>
      <c r="S3" s="82"/>
      <c r="T3" s="82"/>
      <c r="U3" s="82"/>
      <c r="V3" s="82"/>
      <c r="W3" s="82"/>
      <c r="X3" s="82"/>
      <c r="Y3" s="82"/>
      <c r="Z3" s="82"/>
      <c r="AA3" s="82"/>
    </row>
    <row r="4" spans="1:32" ht="15.75">
      <c r="B4" s="244" t="s">
        <v>3</v>
      </c>
      <c r="C4" s="155">
        <f>INDEX('Incremental Rev Req'!$O$8:$T$23,MATCH(B4,'Incremental Rev Req'!$O$8:$O$23,0),MATCH(Summary!$D$2,'Incremental Rev Req'!$O$8:$T$8,0))</f>
        <v>630882.99788069271</v>
      </c>
      <c r="D4" s="155">
        <f>INDEX('Incremental Rev Req'!$O$89:$T$103,MATCH(B4,'Incremental Rev Req'!$O$89:$O$103,0),MATCH(Summary!$D$2,'Incremental Rev Req'!$O$89:$T$89,0))</f>
        <v>628175.1025076888</v>
      </c>
      <c r="H4" s="600" t="s">
        <v>163</v>
      </c>
      <c r="I4" s="600"/>
      <c r="J4" s="600"/>
      <c r="K4" s="600"/>
      <c r="L4" s="600"/>
      <c r="M4" s="600"/>
      <c r="N4" s="600"/>
      <c r="O4" s="600"/>
      <c r="P4" s="600"/>
      <c r="Q4" s="600"/>
      <c r="R4" s="600"/>
      <c r="S4" s="600"/>
      <c r="T4" s="600"/>
      <c r="U4" s="600"/>
      <c r="V4" s="42"/>
      <c r="W4" s="42"/>
      <c r="X4" s="42"/>
      <c r="Y4" s="42"/>
      <c r="Z4" s="42"/>
      <c r="AA4" s="42"/>
      <c r="AB4" s="42"/>
      <c r="AC4" s="42"/>
      <c r="AD4" s="42"/>
    </row>
    <row r="5" spans="1:32" ht="16.899999999999999" customHeight="1">
      <c r="B5" s="387" t="s">
        <v>392</v>
      </c>
      <c r="C5" s="155">
        <f>INDEX('Incremental Rev Req'!$O$8:$T$23,MATCH(B5,'Incremental Rev Req'!$O$8:$O$23,0),MATCH(Summary!$D$2,'Incremental Rev Req'!$O$8:$T$8,0))</f>
        <v>80.182302790146849</v>
      </c>
      <c r="D5" s="155">
        <f>INDEX('Incremental Rev Req'!$O$89:$T$103,MATCH(B5,'Incremental Rev Req'!$O$89:$O$103,0),MATCH(Summary!$D$2,'Incremental Rev Req'!$O$89:$T$89,0))</f>
        <v>76.387375689237032</v>
      </c>
      <c r="G5" s="1"/>
      <c r="H5" s="85" t="s">
        <v>3</v>
      </c>
      <c r="I5" s="85" t="s">
        <v>392</v>
      </c>
      <c r="J5" s="85" t="s">
        <v>59</v>
      </c>
      <c r="K5" s="85" t="s">
        <v>5</v>
      </c>
      <c r="L5" s="85" t="s">
        <v>98</v>
      </c>
      <c r="M5" s="85" t="s">
        <v>14</v>
      </c>
      <c r="N5" s="85" t="s">
        <v>80</v>
      </c>
      <c r="O5" s="85" t="s">
        <v>100</v>
      </c>
      <c r="P5" s="85" t="s">
        <v>97</v>
      </c>
      <c r="Q5" s="85" t="s">
        <v>78</v>
      </c>
      <c r="R5" s="85" t="s">
        <v>10</v>
      </c>
      <c r="S5" s="85" t="s">
        <v>225</v>
      </c>
      <c r="T5" s="85" t="s">
        <v>87</v>
      </c>
      <c r="U5" s="85" t="s">
        <v>256</v>
      </c>
      <c r="V5" s="6" t="s">
        <v>250</v>
      </c>
      <c r="AC5" s="259"/>
      <c r="AD5" s="48"/>
    </row>
    <row r="6" spans="1:32" ht="15.75">
      <c r="B6" s="388" t="s">
        <v>59</v>
      </c>
      <c r="C6" s="155">
        <f>INDEX('Incremental Rev Req'!$O$8:$T$23,MATCH(B6,'Incremental Rev Req'!$O$8:$O$23,0),MATCH(Summary!$D$2,'Incremental Rev Req'!$O$8:$T$8,0))</f>
        <v>111028.10550104988</v>
      </c>
      <c r="D6" s="155">
        <f>INDEX('Incremental Rev Req'!$O$89:$T$103,MATCH(B6,'Incremental Rev Req'!$O$89:$O$103,0),MATCH(Summary!$D$2,'Incremental Rev Req'!$O$89:$T$89,0))</f>
        <v>48302.492514545447</v>
      </c>
      <c r="G6" s="1" t="s">
        <v>149</v>
      </c>
      <c r="H6" s="86">
        <f>IF(Summary!$D$2=2025,'Sales Allocations &amp; CCC'!D3,'Sales Allocations &amp; CCC'!D4)</f>
        <v>0.41855989900368068</v>
      </c>
      <c r="I6" s="86">
        <f>IF(Summary!$D$2=2025,'Sales Allocations &amp; CCC'!E3,'Sales Allocations &amp; CCC'!E4)</f>
        <v>0.19327545344183236</v>
      </c>
      <c r="J6" s="86">
        <f>IF(Summary!$D$2=2025,'Sales Allocations &amp; CCC'!F3,'Sales Allocations &amp; CCC'!F4)</f>
        <v>0.39851332033456094</v>
      </c>
      <c r="K6" s="86">
        <f>IF(Summary!$D$2=2025,'Sales Allocations &amp; CCC'!G3,'Sales Allocations &amp; CCC'!G4)</f>
        <v>0.41391610651531041</v>
      </c>
      <c r="L6" s="86">
        <f>IF(Summary!$D$2=2025,'Sales Allocations &amp; CCC'!H3,'Sales Allocations &amp; CCC'!H4)</f>
        <v>0.93330912100688068</v>
      </c>
      <c r="M6" s="86">
        <f>IF(Summary!$D$2=2025,'Sales Allocations &amp; CCC'!I3,'Sales Allocations &amp; CCC'!I4)</f>
        <v>0.40372069148918138</v>
      </c>
      <c r="N6" s="86">
        <f>IF(Summary!$D$2=2025,'Sales Allocations &amp; CCC'!J3,'Sales Allocations &amp; CCC'!J4)</f>
        <v>0.37541693044702501</v>
      </c>
      <c r="O6" s="86">
        <f>IF(Summary!$D$2=2025,'Sales Allocations &amp; CCC'!K3,'Sales Allocations &amp; CCC'!K4)</f>
        <v>0.36605649315517785</v>
      </c>
      <c r="P6" s="86">
        <f>IF(Summary!$D$2=2025,'Sales Allocations &amp; CCC'!L3,'Sales Allocations &amp; CCC'!L4)</f>
        <v>0</v>
      </c>
      <c r="Q6" s="86">
        <f>IF(Summary!$D$2=2025,'Sales Allocations &amp; CCC'!M3,'Sales Allocations &amp; CCC'!M4)</f>
        <v>0</v>
      </c>
      <c r="R6" s="86">
        <f>IF(Summary!$D$2=2025,'Sales Allocations &amp; CCC'!N3,'Sales Allocations &amp; CCC'!N4)</f>
        <v>0.49166012428362338</v>
      </c>
      <c r="S6" s="86">
        <f>IF(Summary!$D$2=2025,'Sales Allocations &amp; CCC'!O3,'Sales Allocations &amp; CCC'!O4)</f>
        <v>0.36967484827966068</v>
      </c>
      <c r="T6" s="86">
        <f>IF(Summary!$D$2=2025,'Sales Allocations &amp; CCC'!P3,'Sales Allocations &amp; CCC'!P4)</f>
        <v>0.31719588101999252</v>
      </c>
      <c r="U6" s="86">
        <f>IF(Summary!$D$2=2025,'Sales Allocations &amp; CCC'!Q3,'Sales Allocations &amp; CCC'!Q4)</f>
        <v>0.42284096943088328</v>
      </c>
      <c r="V6" s="240">
        <f>'Sales Allocations &amp; CCC'!S3</f>
        <v>8.0000000000000004E-4</v>
      </c>
      <c r="AD6" s="260"/>
    </row>
    <row r="7" spans="1:32" ht="15.75">
      <c r="B7" s="245" t="s">
        <v>5</v>
      </c>
      <c r="C7" s="155">
        <f>INDEX('Incremental Rev Req'!$O$8:$T$23,MATCH(B7,'Incremental Rev Req'!$O$8:$O$23,0),MATCH(Summary!$D$2,'Incremental Rev Req'!$O$8:$T$8,0))</f>
        <v>2527010.8973516137</v>
      </c>
      <c r="D7" s="155">
        <f>INDEX('Incremental Rev Req'!$O$89:$T$103,MATCH(B7,'Incremental Rev Req'!$O$89:$O$103,0),MATCH(Summary!$D$2,'Incremental Rev Req'!$O$89:$T$89,0))</f>
        <v>2918791.2377433195</v>
      </c>
      <c r="G7" s="1"/>
      <c r="H7" s="303"/>
      <c r="I7" s="303"/>
      <c r="J7" s="303"/>
      <c r="K7" s="303"/>
      <c r="L7" s="303"/>
      <c r="M7" s="303"/>
      <c r="N7" s="303"/>
      <c r="O7" s="303"/>
      <c r="P7" s="303"/>
      <c r="Q7" s="303"/>
      <c r="R7" s="303"/>
      <c r="S7" s="303"/>
      <c r="T7" s="303"/>
      <c r="U7" s="303"/>
      <c r="AD7" s="233"/>
    </row>
    <row r="8" spans="1:32" ht="15.6" customHeight="1">
      <c r="B8" s="245" t="s">
        <v>98</v>
      </c>
      <c r="C8" s="155">
        <f>INDEX('Incremental Rev Req'!$O$8:$T$23,MATCH(B8,'Incremental Rev Req'!$O$8:$O$23,0),MATCH(Summary!$D$2,'Incremental Rev Req'!$O$8:$T$8,0))</f>
        <v>-246532.22998150348</v>
      </c>
      <c r="D8" s="155">
        <f>INDEX('Incremental Rev Req'!$O$89:$T$103,MATCH(B8,'Incremental Rev Req'!$O$89:$O$103,0),MATCH(Summary!$D$2,'Incremental Rev Req'!$O$89:$T$89,0))</f>
        <v>-161785.36159829696</v>
      </c>
      <c r="G8" s="88"/>
      <c r="H8" s="600" t="s">
        <v>164</v>
      </c>
      <c r="I8" s="600"/>
      <c r="J8" s="600"/>
      <c r="K8" s="600"/>
      <c r="L8" s="600"/>
      <c r="M8" s="600"/>
      <c r="N8" s="600"/>
      <c r="O8" s="600"/>
      <c r="P8" s="600"/>
      <c r="Q8" s="600"/>
      <c r="R8" s="600"/>
      <c r="S8" s="600"/>
      <c r="T8" s="600"/>
      <c r="U8" s="600"/>
      <c r="AD8" s="233"/>
    </row>
    <row r="9" spans="1:32" ht="15.75" customHeight="1">
      <c r="B9" s="245" t="s">
        <v>14</v>
      </c>
      <c r="C9" s="155">
        <f>INDEX('Incremental Rev Req'!$O$8:$T$23,MATCH(B9,'Incremental Rev Req'!$O$8:$O$23,0),MATCH(Summary!$D$2,'Incremental Rev Req'!$O$8:$T$8,0))</f>
        <v>5662.2347651632936</v>
      </c>
      <c r="D9" s="155">
        <f>INDEX('Incremental Rev Req'!$O$89:$T$103,MATCH(B9,'Incremental Rev Req'!$O$89:$O$103,0),MATCH(Summary!$D$2,'Incremental Rev Req'!$O$89:$T$89,0))</f>
        <v>3870.1470854317677</v>
      </c>
      <c r="G9" s="89" t="s">
        <v>158</v>
      </c>
      <c r="H9" s="85" t="s">
        <v>3</v>
      </c>
      <c r="I9" s="85" t="s">
        <v>392</v>
      </c>
      <c r="J9" s="85" t="s">
        <v>59</v>
      </c>
      <c r="K9" s="85" t="s">
        <v>5</v>
      </c>
      <c r="L9" s="85" t="s">
        <v>98</v>
      </c>
      <c r="M9" s="85" t="s">
        <v>14</v>
      </c>
      <c r="N9" s="85" t="s">
        <v>80</v>
      </c>
      <c r="O9" s="85" t="s">
        <v>100</v>
      </c>
      <c r="P9" s="85" t="s">
        <v>97</v>
      </c>
      <c r="Q9" s="85" t="s">
        <v>78</v>
      </c>
      <c r="R9" s="85" t="s">
        <v>10</v>
      </c>
      <c r="S9" s="85" t="s">
        <v>225</v>
      </c>
      <c r="T9" s="85" t="s">
        <v>87</v>
      </c>
      <c r="U9" s="85" t="s">
        <v>256</v>
      </c>
      <c r="X9" s="512" t="s">
        <v>499</v>
      </c>
      <c r="AD9" s="233"/>
    </row>
    <row r="10" spans="1:32" ht="15.75">
      <c r="B10" s="245" t="s">
        <v>80</v>
      </c>
      <c r="C10" s="155">
        <f>INDEX('Incremental Rev Req'!$O$8:$T$23,MATCH(B10,'Incremental Rev Req'!$O$8:$O$23,0),MATCH(Summary!$D$2,'Incremental Rev Req'!$O$8:$T$8,0))</f>
        <v>211.66537700000001</v>
      </c>
      <c r="D10" s="155">
        <f>INDEX('Incremental Rev Req'!$O$89:$T$103,MATCH(B10,'Incremental Rev Req'!$O$89:$O$103,0),MATCH(Summary!$D$2,'Incremental Rev Req'!$O$89:$T$89,0))</f>
        <v>211.66537700000001</v>
      </c>
      <c r="G10" s="1" t="s">
        <v>149</v>
      </c>
      <c r="H10" s="90">
        <f>H6*H11</f>
        <v>264062.32387608202</v>
      </c>
      <c r="I10" s="90">
        <f>I6*I11</f>
        <v>15.497270929775933</v>
      </c>
      <c r="J10" s="90">
        <f>J6*J11</f>
        <v>44246.178973679322</v>
      </c>
      <c r="K10" s="90">
        <f>K6*K11</f>
        <v>1045970.5117535407</v>
      </c>
      <c r="L10" s="90">
        <f t="shared" ref="L10:T10" si="0">L6*L11</f>
        <v>-230090.77886390316</v>
      </c>
      <c r="M10" s="90">
        <f t="shared" si="0"/>
        <v>2285.9613347658074</v>
      </c>
      <c r="N10" s="90">
        <f t="shared" si="0"/>
        <v>79.462766115252336</v>
      </c>
      <c r="O10" s="90">
        <f t="shared" si="0"/>
        <v>131560.68625781164</v>
      </c>
      <c r="P10" s="90">
        <f t="shared" si="0"/>
        <v>0</v>
      </c>
      <c r="Q10" s="90">
        <f t="shared" si="0"/>
        <v>0</v>
      </c>
      <c r="R10" s="90">
        <f t="shared" si="0"/>
        <v>424157.85709861119</v>
      </c>
      <c r="S10" s="90">
        <f>S6*S11</f>
        <v>33942.319069331446</v>
      </c>
      <c r="T10" s="90">
        <f t="shared" si="0"/>
        <v>56.703168867095371</v>
      </c>
      <c r="U10" s="90">
        <f>U6*U11</f>
        <v>-78550.96387740002</v>
      </c>
      <c r="V10" s="90">
        <f>SUM(H10:U10)</f>
        <v>1637735.7588284318</v>
      </c>
      <c r="W10" s="178"/>
      <c r="X10" s="182">
        <f>V10-AD18</f>
        <v>1369752.5435866076</v>
      </c>
      <c r="AB10" s="99"/>
      <c r="AD10" s="233"/>
    </row>
    <row r="11" spans="1:32" ht="15.75">
      <c r="B11" s="246" t="s">
        <v>100</v>
      </c>
      <c r="C11" s="155">
        <f>INDEX('Incremental Rev Req'!$O$8:$T$23,MATCH(B11,'Incremental Rev Req'!$O$8:$O$23,0),MATCH(Summary!$D$2,'Incremental Rev Req'!$O$8:$T$8,0))</f>
        <v>359399.95251509099</v>
      </c>
      <c r="D11" s="155">
        <f>INDEX('Incremental Rev Req'!$O$89:$T$103,MATCH(B11,'Incremental Rev Req'!$O$89:$O$103,0),MATCH(Summary!$D$2,'Incremental Rev Req'!$O$89:$T$89,0))</f>
        <v>293656.52321866585</v>
      </c>
      <c r="G11" s="1" t="s">
        <v>165</v>
      </c>
      <c r="H11" s="91">
        <f>C4</f>
        <v>630882.99788069271</v>
      </c>
      <c r="I11" s="91">
        <f>C5</f>
        <v>80.182302790146849</v>
      </c>
      <c r="J11" s="91">
        <f>C6</f>
        <v>111028.10550104988</v>
      </c>
      <c r="K11" s="91">
        <f>C7</f>
        <v>2527010.8973516137</v>
      </c>
      <c r="L11" s="91">
        <f>C8</f>
        <v>-246532.22998150348</v>
      </c>
      <c r="M11" s="91">
        <f>C9</f>
        <v>5662.2347651632936</v>
      </c>
      <c r="N11" s="91">
        <f>C10</f>
        <v>211.66537700000001</v>
      </c>
      <c r="O11" s="91">
        <f>C11</f>
        <v>359399.95251509099</v>
      </c>
      <c r="P11" s="91">
        <f>C12</f>
        <v>0</v>
      </c>
      <c r="Q11" s="91">
        <f>C16</f>
        <v>0</v>
      </c>
      <c r="R11" s="91">
        <f>C14</f>
        <v>862705.42626704415</v>
      </c>
      <c r="S11" s="91">
        <f>C17</f>
        <v>91816.684925380512</v>
      </c>
      <c r="T11" s="91">
        <f>C15</f>
        <v>178.76388774267036</v>
      </c>
      <c r="U11" s="91">
        <f>C13</f>
        <v>-185769.51988149245</v>
      </c>
      <c r="V11" s="90">
        <f>SUM(H11:U11)</f>
        <v>4156675.1609105719</v>
      </c>
      <c r="W11" s="177"/>
      <c r="X11" s="182">
        <f>V11-AD18</f>
        <v>3888691.9456687476</v>
      </c>
      <c r="AB11" s="99"/>
      <c r="AC11" s="99"/>
    </row>
    <row r="12" spans="1:32" ht="15.75">
      <c r="B12" s="245" t="s">
        <v>97</v>
      </c>
      <c r="C12" s="155">
        <f>INDEX('Incremental Rev Req'!$O$8:$T$23,MATCH(B12,'Incremental Rev Req'!$O$8:$O$23,0),MATCH(Summary!$D$2,'Incremental Rev Req'!$O$8:$T$8,0))</f>
        <v>0</v>
      </c>
      <c r="D12" s="155">
        <f>INDEX('Incremental Rev Req'!$O$89:$T$103,MATCH(B12,'Incremental Rev Req'!$O$89:$O$103,0),MATCH(Summary!$D$2,'Incremental Rev Req'!$O$89:$T$89,0))</f>
        <v>0</v>
      </c>
      <c r="G12" s="89" t="s">
        <v>166</v>
      </c>
      <c r="V12" s="90"/>
      <c r="X12" s="182"/>
      <c r="AC12" s="182"/>
      <c r="AD12" s="168"/>
    </row>
    <row r="13" spans="1:32" ht="15.75" customHeight="1">
      <c r="B13" s="245" t="s">
        <v>256</v>
      </c>
      <c r="C13" s="155">
        <f>INDEX('Incremental Rev Req'!$O$8:$T$23,MATCH(B13,'Incremental Rev Req'!$O$8:$O$23,0),MATCH(Summary!$D$2,'Incremental Rev Req'!$O$8:$T$8,0))</f>
        <v>-185769.51988149245</v>
      </c>
      <c r="D13" s="155">
        <f>INDEX('Incremental Rev Req'!$O$89:$T$103,MATCH(B13,'Incremental Rev Req'!$O$89:$O$103,0),MATCH(Summary!$D$2,'Incremental Rev Req'!$O$89:$T$89,0))</f>
        <v>-76941.390810613317</v>
      </c>
      <c r="G13" s="1" t="s">
        <v>149</v>
      </c>
      <c r="H13" s="90">
        <f>H6*H14</f>
        <v>262928.90746224497</v>
      </c>
      <c r="I13" s="90">
        <f>I6*I14</f>
        <v>14.76380467356889</v>
      </c>
      <c r="J13" s="90">
        <f t="shared" ref="J13:T13" si="1">J6*J14</f>
        <v>19249.18667240678</v>
      </c>
      <c r="K13" s="90">
        <f t="shared" si="1"/>
        <v>1208134.7048577184</v>
      </c>
      <c r="L13" s="90">
        <f t="shared" si="1"/>
        <v>-150995.75362508689</v>
      </c>
      <c r="M13" s="90">
        <f t="shared" si="1"/>
        <v>1562.4584574953533</v>
      </c>
      <c r="N13" s="90">
        <f t="shared" si="1"/>
        <v>79.462766115252336</v>
      </c>
      <c r="O13" s="90">
        <f t="shared" si="1"/>
        <v>107494.87708156688</v>
      </c>
      <c r="P13" s="90">
        <f t="shared" si="1"/>
        <v>0</v>
      </c>
      <c r="Q13" s="90">
        <f t="shared" si="1"/>
        <v>0</v>
      </c>
      <c r="R13" s="90">
        <f t="shared" si="1"/>
        <v>424157.85709861119</v>
      </c>
      <c r="S13" s="90">
        <f>S6*S14</f>
        <v>33942.319069331446</v>
      </c>
      <c r="T13" s="90">
        <f t="shared" si="1"/>
        <v>56.703168867095371</v>
      </c>
      <c r="U13" s="90">
        <f>U6*U14</f>
        <v>-32533.97227972019</v>
      </c>
      <c r="V13" s="90">
        <f>SUM(H13:U13)</f>
        <v>1874091.5145342241</v>
      </c>
      <c r="W13" s="178"/>
      <c r="X13" s="182">
        <f>V13-AE18</f>
        <v>1606108.2992924</v>
      </c>
      <c r="AC13" s="99"/>
      <c r="AD13" s="99"/>
    </row>
    <row r="14" spans="1:32" ht="15.75" customHeight="1">
      <c r="B14" s="245" t="s">
        <v>10</v>
      </c>
      <c r="C14" s="155">
        <f>INDEX('Incremental Rev Req'!$O$8:$T$23,MATCH(B14,'Incremental Rev Req'!$O$8:$O$23,0),MATCH(Summary!$D$2,'Incremental Rev Req'!$O$8:$T$8,0))</f>
        <v>862705.42626704415</v>
      </c>
      <c r="D14" s="155">
        <f>INDEX('Incremental Rev Req'!$O$89:$T$103,MATCH(B14,'Incremental Rev Req'!$O$89:$O$103,0),MATCH(Summary!$D$2,'Incremental Rev Req'!$O$89:$T$89,0))</f>
        <v>862705.42626704415</v>
      </c>
      <c r="G14" s="1" t="s">
        <v>165</v>
      </c>
      <c r="H14" s="91">
        <f>D4</f>
        <v>628175.1025076888</v>
      </c>
      <c r="I14" s="91">
        <f>D5</f>
        <v>76.387375689237032</v>
      </c>
      <c r="J14" s="91">
        <f>D6</f>
        <v>48302.492514545447</v>
      </c>
      <c r="K14" s="91">
        <f>D7</f>
        <v>2918791.2377433195</v>
      </c>
      <c r="L14" s="91">
        <f>D8</f>
        <v>-161785.36159829696</v>
      </c>
      <c r="M14" s="91">
        <f>D9</f>
        <v>3870.1470854317677</v>
      </c>
      <c r="N14" s="91">
        <f>D10</f>
        <v>211.66537700000001</v>
      </c>
      <c r="O14" s="91">
        <f>D11</f>
        <v>293656.52321866585</v>
      </c>
      <c r="P14" s="91">
        <f>D12</f>
        <v>0</v>
      </c>
      <c r="Q14" s="91">
        <f>D16</f>
        <v>0</v>
      </c>
      <c r="R14" s="91">
        <f>D14</f>
        <v>862705.42626704415</v>
      </c>
      <c r="S14" s="91">
        <f>D17</f>
        <v>91816.684925380512</v>
      </c>
      <c r="T14" s="91">
        <f>D15</f>
        <v>178.76388774267036</v>
      </c>
      <c r="U14" s="91">
        <f>D13</f>
        <v>-76941.390810613317</v>
      </c>
      <c r="V14" s="90">
        <f>SUM(H14:U14)</f>
        <v>4609057.6784935966</v>
      </c>
      <c r="W14" s="177"/>
      <c r="X14" s="182">
        <f>V14-AE18</f>
        <v>4341074.4632517723</v>
      </c>
      <c r="AC14" s="99"/>
    </row>
    <row r="15" spans="1:32" ht="15.75">
      <c r="B15" s="245" t="s">
        <v>87</v>
      </c>
      <c r="C15" s="155">
        <f>INDEX('Incremental Rev Req'!$O$8:$T$23,MATCH(B15,'Incremental Rev Req'!$O$8:$O$23,0),MATCH(Summary!$D$2,'Incremental Rev Req'!$O$8:$T$8,0))</f>
        <v>178.76388774267036</v>
      </c>
      <c r="D15" s="155">
        <f>INDEX('Incremental Rev Req'!$O$89:$T$103,MATCH(B15,'Incremental Rev Req'!$O$89:$O$103,0),MATCH(Summary!$D$2,'Incremental Rev Req'!$O$89:$T$89,0))</f>
        <v>178.76388774267036</v>
      </c>
      <c r="G15" s="92"/>
      <c r="H15" s="40"/>
      <c r="I15" s="40"/>
      <c r="J15" s="40"/>
      <c r="K15" s="40"/>
      <c r="L15" s="88"/>
      <c r="AC15" s="1"/>
      <c r="AD15" s="93" t="s">
        <v>158</v>
      </c>
      <c r="AE15" s="93" t="s">
        <v>166</v>
      </c>
    </row>
    <row r="16" spans="1:32" ht="15.75">
      <c r="B16" s="245" t="s">
        <v>78</v>
      </c>
      <c r="C16" s="155">
        <f>INDEX('Incremental Rev Req'!$O$8:$T$23,MATCH(B16,'Incremental Rev Req'!$O$8:$O$23,0),MATCH(Summary!$D$2,'Incremental Rev Req'!$O$8:$T$8,0))</f>
        <v>0</v>
      </c>
      <c r="D16" s="155">
        <f>INDEX('Incremental Rev Req'!$O$89:$T$103,MATCH(B16,'Incremental Rev Req'!$O$89:$O$103,0),MATCH(Summary!$D$2,'Incremental Rev Req'!$O$89:$T$89,0))</f>
        <v>0</v>
      </c>
      <c r="V16" s="586" t="s">
        <v>262</v>
      </c>
      <c r="W16" s="587"/>
      <c r="X16" s="586" t="s">
        <v>258</v>
      </c>
      <c r="Y16" s="587"/>
      <c r="Z16" s="595" t="s">
        <v>259</v>
      </c>
      <c r="AA16" s="595" t="s">
        <v>260</v>
      </c>
      <c r="AC16" s="94" t="s">
        <v>167</v>
      </c>
      <c r="AD16" s="167">
        <v>0.22330588938421425</v>
      </c>
      <c r="AE16" s="86">
        <f>AD16</f>
        <v>0.22330588938421425</v>
      </c>
      <c r="AF16" s="168"/>
    </row>
    <row r="17" spans="2:32" ht="15.75">
      <c r="B17" s="1" t="s">
        <v>225</v>
      </c>
      <c r="C17" s="155">
        <f>INDEX('Incremental Rev Req'!$O$8:$T$23,MATCH(B17,'Incremental Rev Req'!$O$8:$O$23,0),MATCH(Summary!$D$2,'Incremental Rev Req'!$O$8:$T$8,0))</f>
        <v>91816.684925380512</v>
      </c>
      <c r="D17" s="155">
        <f>INDEX('Incremental Rev Req'!$O$89:$T$103,MATCH(B17,'Incremental Rev Req'!$O$89:$O$103,0),MATCH(Summary!$D$2,'Incremental Rev Req'!$O$89:$T$89,0))</f>
        <v>91816.684925380512</v>
      </c>
      <c r="G17" s="88"/>
      <c r="H17" s="593" t="s">
        <v>254</v>
      </c>
      <c r="I17" s="593"/>
      <c r="J17" s="593"/>
      <c r="K17" s="593"/>
      <c r="L17" s="593"/>
      <c r="M17" s="593"/>
      <c r="N17" s="593"/>
      <c r="O17" s="593"/>
      <c r="P17" s="593"/>
      <c r="Q17" s="593"/>
      <c r="R17" s="593"/>
      <c r="S17" s="593"/>
      <c r="T17" s="593"/>
      <c r="U17" s="589"/>
      <c r="V17" s="588" t="s">
        <v>169</v>
      </c>
      <c r="W17" s="589"/>
      <c r="X17" s="588" t="s">
        <v>169</v>
      </c>
      <c r="Y17" s="589"/>
      <c r="Z17" s="596"/>
      <c r="AA17" s="596"/>
      <c r="AC17" s="94" t="s">
        <v>496</v>
      </c>
      <c r="AD17" s="86">
        <v>0.35</v>
      </c>
      <c r="AE17" s="86">
        <f>AD17</f>
        <v>0.35</v>
      </c>
    </row>
    <row r="18" spans="2:32" ht="31.5">
      <c r="B18" s="2" t="s">
        <v>261</v>
      </c>
      <c r="C18" s="83">
        <f>SUM(C4:C17)</f>
        <v>4156675.1609105719</v>
      </c>
      <c r="D18" s="83">
        <f>SUM(D4:D17)</f>
        <v>4609057.6784935975</v>
      </c>
      <c r="F18" s="280"/>
      <c r="H18" s="85" t="s">
        <v>3</v>
      </c>
      <c r="I18" s="85" t="s">
        <v>392</v>
      </c>
      <c r="J18" s="85" t="s">
        <v>59</v>
      </c>
      <c r="K18" s="85" t="s">
        <v>5</v>
      </c>
      <c r="L18" s="85" t="s">
        <v>98</v>
      </c>
      <c r="M18" s="85" t="s">
        <v>14</v>
      </c>
      <c r="N18" s="85" t="s">
        <v>80</v>
      </c>
      <c r="O18" s="85" t="s">
        <v>100</v>
      </c>
      <c r="P18" s="85" t="s">
        <v>97</v>
      </c>
      <c r="Q18" s="85" t="s">
        <v>78</v>
      </c>
      <c r="R18" s="85" t="s">
        <v>10</v>
      </c>
      <c r="S18" s="85" t="s">
        <v>225</v>
      </c>
      <c r="T18" s="85" t="s">
        <v>87</v>
      </c>
      <c r="U18" s="85" t="s">
        <v>256</v>
      </c>
      <c r="V18" s="95" t="s">
        <v>113</v>
      </c>
      <c r="W18" s="512" t="s">
        <v>499</v>
      </c>
      <c r="X18" s="513" t="s">
        <v>113</v>
      </c>
      <c r="Y18" s="512" t="s">
        <v>499</v>
      </c>
      <c r="Z18" s="95" t="s">
        <v>3</v>
      </c>
      <c r="AA18" s="242" t="s">
        <v>3</v>
      </c>
      <c r="AC18" s="214" t="s">
        <v>500</v>
      </c>
      <c r="AD18" s="91">
        <f>IF(Summary!$D$2=2025,C31,C32)</f>
        <v>267983.21524182416</v>
      </c>
      <c r="AE18" s="91">
        <f>AD18</f>
        <v>267983.21524182416</v>
      </c>
      <c r="AF18" s="99"/>
    </row>
    <row r="19" spans="2:32" ht="15.75">
      <c r="C19" s="182"/>
      <c r="D19" s="182"/>
      <c r="E19" s="280"/>
      <c r="G19" s="1" t="s">
        <v>149</v>
      </c>
      <c r="H19" s="86">
        <v>1</v>
      </c>
      <c r="I19" s="86">
        <v>0</v>
      </c>
      <c r="J19" s="86">
        <v>1</v>
      </c>
      <c r="K19" s="86">
        <v>1</v>
      </c>
      <c r="L19" s="86">
        <v>1</v>
      </c>
      <c r="M19" s="86">
        <v>1</v>
      </c>
      <c r="N19" s="86">
        <v>1</v>
      </c>
      <c r="O19" s="86">
        <v>1</v>
      </c>
      <c r="P19" s="86">
        <v>1</v>
      </c>
      <c r="Q19" s="86">
        <v>1</v>
      </c>
      <c r="R19" s="86">
        <v>1</v>
      </c>
      <c r="S19" s="86">
        <v>1</v>
      </c>
      <c r="T19" s="86">
        <v>1</v>
      </c>
      <c r="U19" s="86">
        <v>0</v>
      </c>
      <c r="V19" s="96">
        <f>SUMPRODUCT(J10:T10,J19:T19)</f>
        <v>1452208.9015588195</v>
      </c>
      <c r="W19" s="100">
        <f>V19-((AD18)*D31)</f>
        <v>1225427.6913004024</v>
      </c>
      <c r="X19" s="96">
        <f>SUMPRODUCT(J13:T13,J19:T19)</f>
        <v>1643681.8155470258</v>
      </c>
      <c r="Y19" s="97">
        <f>X19-((AE18)*D31)</f>
        <v>1416900.6052886087</v>
      </c>
      <c r="Z19" s="96">
        <f>SUMPRODUCT(H10,H19)</f>
        <v>264062.32387608202</v>
      </c>
      <c r="AA19" s="243">
        <f>SUMPRODUCT(H13,H19)</f>
        <v>262928.90746224497</v>
      </c>
      <c r="AC19" s="214"/>
      <c r="AD19" s="90"/>
      <c r="AE19" s="90"/>
    </row>
    <row r="20" spans="2:32" ht="15.75">
      <c r="B20" s="2" t="s">
        <v>250</v>
      </c>
      <c r="C20" s="239">
        <f>'Sales Allocations &amp; CCC'!S3</f>
        <v>8.0000000000000004E-4</v>
      </c>
      <c r="D20" s="239">
        <f>'Sales Allocations &amp; CCC'!S3</f>
        <v>8.0000000000000004E-4</v>
      </c>
      <c r="G20" s="1" t="s">
        <v>165</v>
      </c>
      <c r="H20" s="86">
        <v>1</v>
      </c>
      <c r="I20" s="86">
        <v>0</v>
      </c>
      <c r="J20" s="86">
        <v>1</v>
      </c>
      <c r="K20" s="86">
        <v>1</v>
      </c>
      <c r="L20" s="86">
        <v>1</v>
      </c>
      <c r="M20" s="86">
        <v>1</v>
      </c>
      <c r="N20" s="86">
        <v>1</v>
      </c>
      <c r="O20" s="86">
        <v>1</v>
      </c>
      <c r="P20" s="86">
        <v>1</v>
      </c>
      <c r="Q20" s="86">
        <v>1</v>
      </c>
      <c r="R20" s="86">
        <v>1</v>
      </c>
      <c r="S20" s="86">
        <v>1</v>
      </c>
      <c r="T20" s="86">
        <v>1</v>
      </c>
      <c r="U20" s="86">
        <v>0</v>
      </c>
      <c r="V20" s="96">
        <f>SUMPRODUCT(J11:T11,J20:T20)</f>
        <v>3711481.5006085811</v>
      </c>
      <c r="W20" s="100">
        <f>V20-AD18</f>
        <v>3443498.2853667568</v>
      </c>
      <c r="X20" s="96">
        <f>SUMPRODUCT(J14:T14,J20:T20)</f>
        <v>4057747.5794208329</v>
      </c>
      <c r="Y20" s="97">
        <f>X20-AE18</f>
        <v>3789764.3641790086</v>
      </c>
      <c r="Z20" s="96">
        <f>SUMPRODUCT(H11,H20)</f>
        <v>630882.99788069271</v>
      </c>
      <c r="AA20" s="243">
        <f>SUMPRODUCT(H14,H20)</f>
        <v>628175.1025076888</v>
      </c>
      <c r="AC20" s="214" t="s">
        <v>217</v>
      </c>
      <c r="AD20" s="230">
        <v>0.32826850141764163</v>
      </c>
      <c r="AE20" s="230">
        <f>AD20</f>
        <v>0.32826850141764163</v>
      </c>
      <c r="AF20" s="1"/>
    </row>
    <row r="21" spans="2:32" ht="15.75">
      <c r="B21" s="2"/>
      <c r="C21" s="239"/>
      <c r="D21" s="239"/>
      <c r="G21" s="1"/>
      <c r="H21" s="303"/>
      <c r="I21" s="303"/>
      <c r="J21" s="303"/>
      <c r="K21" s="303"/>
      <c r="L21" s="303"/>
      <c r="M21" s="303"/>
      <c r="N21" s="303"/>
      <c r="O21" s="303"/>
      <c r="P21" s="303"/>
      <c r="Q21" s="303"/>
      <c r="R21" s="303"/>
      <c r="S21" s="303"/>
      <c r="T21" s="303"/>
      <c r="U21" s="100"/>
      <c r="V21" s="100"/>
      <c r="W21" s="100"/>
      <c r="X21" s="100"/>
      <c r="Y21" s="100"/>
      <c r="Z21" s="100"/>
      <c r="AB21" s="214"/>
      <c r="AC21" s="304"/>
      <c r="AD21" s="304"/>
      <c r="AE21" s="1"/>
    </row>
    <row r="22" spans="2:32" ht="15.75">
      <c r="B22" s="2"/>
      <c r="C22" s="239"/>
      <c r="D22" s="239"/>
      <c r="G22" s="590" t="s">
        <v>172</v>
      </c>
      <c r="H22" s="591"/>
      <c r="I22" s="591"/>
      <c r="J22" s="591"/>
      <c r="K22" s="591"/>
      <c r="L22" s="592"/>
      <c r="P22" s="1"/>
      <c r="Q22" s="590" t="s">
        <v>173</v>
      </c>
      <c r="R22" s="591"/>
      <c r="S22" s="591"/>
      <c r="T22" s="591"/>
      <c r="U22" s="591"/>
      <c r="V22" s="591"/>
      <c r="W22" s="592"/>
      <c r="X22" s="106"/>
      <c r="AB22" s="94"/>
      <c r="AC22" s="91"/>
      <c r="AD22" s="91"/>
      <c r="AE22" s="169"/>
    </row>
    <row r="23" spans="2:32" ht="47.25">
      <c r="C23" s="597" t="s">
        <v>450</v>
      </c>
      <c r="D23" s="598"/>
      <c r="E23" s="599"/>
      <c r="F23" s="84"/>
      <c r="G23" s="84" t="str">
        <f>Summary!D2&amp;" SALES DETERMINANTS BUNDLED"</f>
        <v>2029 SALES DETERMINANTS BUNDLED</v>
      </c>
      <c r="H23" s="84" t="str">
        <f>Summary!I2&amp;" Avg Rates"&amp;"(sales adj.)"</f>
        <v>6/1/25 Avg Rates(sales adj.)</v>
      </c>
      <c r="I23" s="84" t="s">
        <v>174</v>
      </c>
      <c r="J23" s="84" t="s">
        <v>175</v>
      </c>
      <c r="K23" s="84" t="s">
        <v>176</v>
      </c>
      <c r="L23" s="84" t="s">
        <v>177</v>
      </c>
      <c r="Q23" s="1"/>
      <c r="R23" s="84" t="str">
        <f>C24</f>
        <v>SYSTEM NET</v>
      </c>
      <c r="S23" s="84" t="str">
        <f>H23</f>
        <v>6/1/25 Avg Rates(sales adj.)</v>
      </c>
      <c r="T23" s="84" t="s">
        <v>174</v>
      </c>
      <c r="U23" s="84" t="s">
        <v>175</v>
      </c>
      <c r="V23" s="84" t="s">
        <v>176</v>
      </c>
      <c r="W23" s="84" t="s">
        <v>177</v>
      </c>
      <c r="X23" s="106"/>
      <c r="AB23" s="53"/>
      <c r="AC23" s="459">
        <v>45689</v>
      </c>
      <c r="AD23" s="421">
        <v>45809</v>
      </c>
      <c r="AE23" s="459">
        <f>AC23</f>
        <v>45689</v>
      </c>
      <c r="AF23" s="459">
        <f>AD23</f>
        <v>45809</v>
      </c>
    </row>
    <row r="24" spans="2:32" ht="31.5">
      <c r="B24" s="1"/>
      <c r="C24" s="84" t="s">
        <v>339</v>
      </c>
      <c r="D24" s="84" t="s">
        <v>340</v>
      </c>
      <c r="E24" s="84" t="s">
        <v>341</v>
      </c>
      <c r="F24" s="107" t="s">
        <v>149</v>
      </c>
      <c r="G24" s="241">
        <f>IF(Summary!$D$2=2025,E25,E38)</f>
        <v>1313398.550759305</v>
      </c>
      <c r="H24" s="510">
        <f>IF(Summary!$I$8="N",AF26,AD26)</f>
        <v>37.777000000000001</v>
      </c>
      <c r="I24" s="462">
        <f>IF(Summary!$I$8="Y",((SUM($J10:$L10,$Q10:$R10,$T10)-($AD$18*$D$31))/IF(Summary!$D$2=2025,$C25,$C38)*100)+(SUM($M10:$P10,$S10)/IF(Summary!$D$2=2025,$D25,$D38)*100)+($H10/IF(Summary!$D$2=2025,$E25,$E38)*100),((SUM($J10:$K10,$Q10:$R10,$T10)-($AD$18*$D$31))/IF(Summary!$D$2=2025,$C25,$C38)*100)+(SUM($M10:$P10,$S10)/IF(Summary!$D$2=2025,$D25,$D38)*100)+($H10/IF(Summary!$D$2=2025,$E25,$E38)*100))</f>
        <v>41.527766275097839</v>
      </c>
      <c r="J24" s="462">
        <f>IF(Summary!$I$8="Y",((SUM($J13:$L13,$Q13:$R13,$T13)-($AE$18*$D$31))/IF(Summary!$D$2=2025,$C25,$C38)*100)+(SUM($M13:$P13,$S13)/IF(Summary!$D$2=2025,$D25,$D38)*100)+($H13/IF(Summary!$D$2=2025,$E25,$E38)*100),((SUM($J13:$K13,$Q13:$R13,$T13)-($AE$18*$D$31))/IF(Summary!$D$2=2025,$C25,$C38)*100)+(SUM($M13:$P13,$S13)/IF(Summary!$D$2=2025,$D25,$D38)*100)+($H13/IF(Summary!$D$2=2025,$E25,$E38)*100))</f>
        <v>45.013683128359304</v>
      </c>
      <c r="K24" s="108">
        <f>I24/H24-1</f>
        <v>9.9287033779755784E-2</v>
      </c>
      <c r="L24" s="108">
        <f>J24/H24-1</f>
        <v>0.19156320322840092</v>
      </c>
      <c r="O24" s="285"/>
      <c r="Q24" s="107" t="s">
        <v>149</v>
      </c>
      <c r="R24" s="98">
        <f>IF(Summary!$D$2=2025,C25,C38)</f>
        <v>5529244.7570373612</v>
      </c>
      <c r="S24" s="511">
        <v>36.233247053260584</v>
      </c>
      <c r="T24" s="462">
        <f>I24+($U10/(IF(Summary!$D$2=2025,$C25,$C38)-IF(Summary!$D$2=2025,$E25,$E38))*100)+($I10/(IF(Summary!$D$2=2025,$C25,$C38)-IF(Summary!$D$2=2025,$E25,$E38))*100)</f>
        <v>39.664902622967489</v>
      </c>
      <c r="U24" s="462">
        <f>J24+($U13/(IF(Summary!$D$2=2025,$C25,$C38)-IF(Summary!$D$2=2025,$E25,$E38))*100)+($I13/(IF(Summary!$D$2=2025,$C25,$C38)-IF(Summary!$D$2=2025,$E25,$E38))*100)</f>
        <v>44.242326516094359</v>
      </c>
      <c r="V24" s="108">
        <f>T24/S24-1</f>
        <v>9.4710130854753105E-2</v>
      </c>
      <c r="W24" s="108">
        <f>U24/S24-1</f>
        <v>0.22104227785770725</v>
      </c>
      <c r="X24" s="106"/>
      <c r="Y24" s="1"/>
      <c r="Z24" s="1"/>
      <c r="AB24" s="53"/>
      <c r="AC24" s="584" t="s">
        <v>461</v>
      </c>
      <c r="AD24" s="584"/>
      <c r="AE24" s="584" t="s">
        <v>460</v>
      </c>
      <c r="AF24" s="584"/>
    </row>
    <row r="25" spans="2:32" ht="15.75">
      <c r="B25" s="107" t="s">
        <v>149</v>
      </c>
      <c r="C25" s="241">
        <v>6059160.2764376383</v>
      </c>
      <c r="D25" s="241">
        <v>7793802.9381372696</v>
      </c>
      <c r="E25" s="4">
        <v>1515275.3552196764</v>
      </c>
      <c r="F25" s="107" t="s">
        <v>165</v>
      </c>
      <c r="G25" s="241">
        <f>IF(Summary!$D$2=2025,E26,E39)</f>
        <v>3218717.0926473769</v>
      </c>
      <c r="H25" s="510">
        <f>IF(Summary!$I$8="N",AF27,AD27)</f>
        <v>35.430999999999997</v>
      </c>
      <c r="I25" s="462">
        <f>IF(Summary!$I$8="Y",((SUM($J11:$L11,$Q11:$R11,$T11)-$AD$18)/IF(Summary!$D$2=2025,$C26,$C39)*100)+(SUM($M11:$P11,$S11)/IF(Summary!$D$2=2025,$D26,$D39)*100)+($H11/IF(Summary!$D$2=2025,$E26,$E39)*100),((SUM($J11:$K11,$Q11:$R11,$T11)-$AD$18)/IF(Summary!$D$2=2025,$C26,$C39)*100)+(SUM($M11:$P11,$S11)/IF(Summary!$D$2=2025,$D26,$D39)*100)+($H11/IF(Summary!$D$2=2025,$E26,$E39)*100))</f>
        <v>39.079654180243196</v>
      </c>
      <c r="J25" s="462">
        <f>IF(Summary!$I$8="Y",((SUM($J14:$L14,$Q14:$R14,$T14)-$AE$18)/IF(Summary!$D$2=2025,$C26,$C39)*100)+(SUM($M14:$P14,$S14)/IF(Summary!$D$2=2025,$D26,$D39)*100)+($H14/IF(Summary!$D$2=2025,$E26,$E39)*100),((SUM($J14:$K14,$Q14:$R14,$T14)-$AE$18)/IF(Summary!$D$2=2025,$C26,$C39)*100)+(SUM($M14:$P14,$S14)/IF(Summary!$D$2=2025,$D26,$D39)*100)+($H14/IF(Summary!$D$2=2025,$E26,$E39)*100))</f>
        <v>41.022652121412222</v>
      </c>
      <c r="K25" s="108">
        <f>I25/H25-1</f>
        <v>0.10297914764593719</v>
      </c>
      <c r="L25" s="108">
        <f>J25/H25-1</f>
        <v>0.1578180723494178</v>
      </c>
      <c r="Q25" s="107" t="s">
        <v>165</v>
      </c>
      <c r="R25" s="98">
        <f>IF(Summary!$D$2=2025,C26,C39)</f>
        <v>17431428.835748378</v>
      </c>
      <c r="S25" s="511">
        <v>34.280275336408138</v>
      </c>
      <c r="T25" s="462">
        <f>I25+($U11/(IF(Summary!$D$2=2025,$C26,$C39)-IF(Summary!$D$2=2025,$E26,$E39))*100)+($I11/(IF(Summary!$D$2=2025,$C26,$C39)-IF(Summary!$D$2=2025,$E26,$E39))*100)</f>
        <v>37.773152360357642</v>
      </c>
      <c r="U25" s="462">
        <f>J25+($U14/(IF(Summary!$D$2=2025,$C26,$C39)-IF(Summary!$D$2=2025,$E26,$E39))*100)+($I14/(IF(Summary!$D$2=2025,$C26,$C39)-IF(Summary!$D$2=2025,$E26,$E39))*100)</f>
        <v>40.481833417534439</v>
      </c>
      <c r="V25" s="108">
        <f>T25/S25-1</f>
        <v>0.10189174356600961</v>
      </c>
      <c r="W25" s="108">
        <f>U25/S25-1</f>
        <v>0.18090747580839284</v>
      </c>
      <c r="X25" s="110"/>
      <c r="Y25" s="103"/>
      <c r="Z25" s="103"/>
      <c r="AB25" s="53" t="s">
        <v>341</v>
      </c>
      <c r="AC25" s="53"/>
      <c r="AD25" s="53"/>
      <c r="AE25" s="53"/>
      <c r="AF25" s="53"/>
    </row>
    <row r="26" spans="2:32" ht="15.75">
      <c r="B26" s="107" t="s">
        <v>165</v>
      </c>
      <c r="C26" s="241">
        <v>18290445.652985182</v>
      </c>
      <c r="D26" s="241">
        <v>20272867.503732543</v>
      </c>
      <c r="E26" s="4">
        <v>3877834.6865865677</v>
      </c>
      <c r="F26" s="20"/>
      <c r="I26" s="458"/>
      <c r="J26" s="458"/>
      <c r="S26" s="323"/>
      <c r="T26" s="1"/>
      <c r="U26" s="104"/>
      <c r="V26" s="105"/>
      <c r="W26" s="104"/>
      <c r="X26" s="106"/>
      <c r="Y26" s="105"/>
      <c r="Z26" s="105"/>
      <c r="AB26" s="53" t="s">
        <v>149</v>
      </c>
      <c r="AC26" s="460">
        <v>35.887999999999998</v>
      </c>
      <c r="AD26" s="53">
        <v>37.777000000000001</v>
      </c>
      <c r="AE26" s="53">
        <v>39.652999999999999</v>
      </c>
      <c r="AF26" s="53">
        <v>41.541999999999994</v>
      </c>
    </row>
    <row r="27" spans="2:32" ht="15.75">
      <c r="B27" s="283"/>
      <c r="C27" s="241"/>
      <c r="D27" s="241"/>
      <c r="E27" s="4"/>
      <c r="F27" s="1"/>
      <c r="H27" s="4"/>
      <c r="I27" s="4"/>
      <c r="J27" s="171"/>
      <c r="Q27" s="1"/>
      <c r="R27" s="1"/>
      <c r="S27" s="1"/>
      <c r="T27" s="1"/>
      <c r="U27" s="1"/>
      <c r="V27" s="1"/>
      <c r="W27" s="1"/>
      <c r="X27" s="110"/>
      <c r="Y27" s="106"/>
      <c r="Z27" s="106"/>
      <c r="AB27" s="53" t="s">
        <v>165</v>
      </c>
      <c r="AC27" s="461">
        <v>34.025999999999996</v>
      </c>
      <c r="AD27" s="53">
        <v>35.430999999999997</v>
      </c>
      <c r="AE27" s="53">
        <v>35.373999999999995</v>
      </c>
      <c r="AF27" s="53">
        <v>36.778999999999996</v>
      </c>
    </row>
    <row r="28" spans="2:32" ht="15.75">
      <c r="D28" s="1"/>
      <c r="E28" s="1"/>
      <c r="F28" s="1"/>
      <c r="G28" s="286"/>
      <c r="H28" s="4"/>
      <c r="I28" s="4"/>
      <c r="J28" s="4"/>
      <c r="K28" s="20"/>
      <c r="L28" s="20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10"/>
      <c r="Y28" s="106"/>
      <c r="Z28" s="106"/>
      <c r="AC28" s="241"/>
      <c r="AD28" s="1"/>
      <c r="AE28" s="1"/>
    </row>
    <row r="29" spans="2:32" ht="15.75">
      <c r="B29" s="443" t="s">
        <v>498</v>
      </c>
      <c r="C29" s="3"/>
      <c r="D29" s="1"/>
      <c r="E29" s="1"/>
      <c r="I29" s="307"/>
      <c r="J29" s="307"/>
      <c r="K29" s="314"/>
      <c r="L29" s="314"/>
      <c r="M29" s="1"/>
      <c r="N29" s="1"/>
      <c r="O29" s="1"/>
      <c r="P29" s="1"/>
      <c r="Q29" s="107"/>
      <c r="R29" s="1"/>
      <c r="S29" s="1"/>
      <c r="T29" s="1"/>
      <c r="U29" s="1"/>
      <c r="V29" s="1"/>
      <c r="W29" s="1"/>
      <c r="X29" s="106"/>
      <c r="Y29" s="106"/>
      <c r="Z29" s="106"/>
      <c r="AC29" s="3"/>
      <c r="AD29" s="1"/>
      <c r="AE29" s="1"/>
    </row>
    <row r="30" spans="2:32" ht="15.75">
      <c r="B30" s="20"/>
      <c r="C30" s="447" t="s">
        <v>151</v>
      </c>
      <c r="D30" s="448" t="s">
        <v>501</v>
      </c>
      <c r="E30" s="447"/>
      <c r="I30" s="307"/>
      <c r="J30" s="307"/>
      <c r="K30" s="314"/>
      <c r="L30" s="314"/>
      <c r="M30" s="308"/>
      <c r="N30" s="308"/>
      <c r="O30" s="1"/>
      <c r="P30" s="1"/>
      <c r="Q30" s="107"/>
      <c r="R30" s="1"/>
      <c r="S30" s="1"/>
      <c r="T30" s="1"/>
      <c r="U30" s="1"/>
      <c r="V30" s="1"/>
      <c r="W30" s="1"/>
      <c r="X30" s="103"/>
      <c r="Y30" s="110"/>
      <c r="Z30" s="110"/>
      <c r="AE30" s="84"/>
    </row>
    <row r="31" spans="2:32" ht="15.75">
      <c r="B31" s="20" t="s">
        <v>497</v>
      </c>
      <c r="C31" s="445">
        <v>267983.21524182416</v>
      </c>
      <c r="D31" s="446">
        <v>0.84625154621632948</v>
      </c>
      <c r="E31" s="445"/>
      <c r="I31" s="307"/>
      <c r="J31" s="307"/>
      <c r="K31" s="314"/>
      <c r="L31" s="314"/>
      <c r="M31" s="308"/>
      <c r="N31" s="308"/>
      <c r="O31" s="1"/>
      <c r="P31" s="1"/>
      <c r="Q31" s="1"/>
      <c r="R31" s="1"/>
      <c r="S31" s="1"/>
      <c r="T31" s="1"/>
      <c r="U31" s="1"/>
      <c r="V31" s="1"/>
      <c r="W31" s="1"/>
      <c r="X31" s="106"/>
      <c r="Y31" s="106"/>
      <c r="Z31" s="106"/>
      <c r="AE31" s="84"/>
    </row>
    <row r="32" spans="2:32" ht="15.75">
      <c r="B32" s="444" t="s">
        <v>178</v>
      </c>
      <c r="C32" s="445">
        <v>267983.21524182416</v>
      </c>
      <c r="D32" s="446">
        <f>D31</f>
        <v>0.84625154621632948</v>
      </c>
      <c r="E32" s="445"/>
      <c r="I32" s="5"/>
      <c r="J32" s="20"/>
      <c r="K32" s="20"/>
      <c r="L32" s="20"/>
      <c r="M32" s="1"/>
      <c r="N32" s="1"/>
      <c r="O32" s="1"/>
      <c r="P32" s="1"/>
      <c r="Q32" s="1"/>
      <c r="R32" s="2"/>
      <c r="S32" s="2"/>
      <c r="T32" s="2"/>
      <c r="U32" s="2"/>
      <c r="V32" s="2"/>
      <c r="W32" s="2"/>
      <c r="X32" s="2"/>
      <c r="Y32" s="110"/>
      <c r="Z32" s="110"/>
      <c r="AA32" s="110"/>
    </row>
    <row r="33" spans="2:28" ht="15.75">
      <c r="B33" s="1"/>
      <c r="C33" s="90"/>
      <c r="D33" s="48"/>
      <c r="I33" s="5"/>
      <c r="J33" s="20"/>
      <c r="K33" s="20"/>
      <c r="L33" s="20"/>
      <c r="M33" s="1"/>
      <c r="N33" s="1"/>
      <c r="O33" s="1"/>
      <c r="P33" s="1"/>
      <c r="Q33" s="1"/>
      <c r="R33" s="2"/>
      <c r="S33" s="2"/>
      <c r="T33" s="2"/>
      <c r="U33" s="2"/>
      <c r="V33" s="2"/>
      <c r="W33" s="2"/>
      <c r="X33" s="2"/>
      <c r="Y33" s="110"/>
      <c r="Z33" s="110"/>
      <c r="AA33" s="110"/>
      <c r="AB33" s="106"/>
    </row>
    <row r="34" spans="2:28" ht="15.75">
      <c r="D34" s="1"/>
      <c r="E34" s="1"/>
      <c r="I34" s="5"/>
      <c r="J34" s="20"/>
      <c r="K34" s="20"/>
      <c r="L34" s="20"/>
      <c r="M34" s="1"/>
      <c r="N34" s="1"/>
      <c r="O34" s="1"/>
      <c r="P34" s="1"/>
      <c r="Q34" s="1"/>
      <c r="R34" s="2"/>
      <c r="S34" s="2"/>
      <c r="T34" s="2"/>
      <c r="U34" s="2"/>
      <c r="V34" s="2"/>
      <c r="W34" s="2"/>
      <c r="X34" s="2"/>
      <c r="Y34" s="106"/>
      <c r="Z34" s="106"/>
      <c r="AA34" s="110"/>
      <c r="AB34" s="106"/>
    </row>
    <row r="35" spans="2:28" ht="15.75">
      <c r="D35" s="1"/>
      <c r="E35" s="20"/>
      <c r="I35" s="306"/>
      <c r="J35" s="20"/>
      <c r="K35" s="20"/>
      <c r="L35" s="20"/>
      <c r="M35" s="1"/>
      <c r="N35" s="1"/>
      <c r="O35" s="1"/>
      <c r="P35" s="1"/>
      <c r="Q35" s="1"/>
      <c r="R35" s="2"/>
      <c r="S35" s="2"/>
      <c r="T35" s="2"/>
      <c r="U35" s="2"/>
      <c r="V35" s="2"/>
      <c r="W35" s="2"/>
      <c r="X35" s="2"/>
      <c r="Y35" s="103"/>
      <c r="Z35" s="103"/>
      <c r="AA35" s="110"/>
      <c r="AB35" s="106"/>
    </row>
    <row r="36" spans="2:28" ht="15.75">
      <c r="C36" s="597" t="s">
        <v>530</v>
      </c>
      <c r="D36" s="598"/>
      <c r="E36" s="599"/>
      <c r="F36" s="107"/>
      <c r="G36" s="3"/>
      <c r="H36" s="4"/>
      <c r="I36" s="306"/>
      <c r="J36" s="20"/>
      <c r="K36" s="20"/>
      <c r="L36" s="20"/>
      <c r="M36" s="1"/>
      <c r="N36" s="1"/>
      <c r="O36" s="1"/>
      <c r="P36" s="1"/>
      <c r="Q36" s="1"/>
      <c r="R36" s="2"/>
      <c r="S36" s="2"/>
      <c r="T36" s="2"/>
      <c r="U36" s="2"/>
      <c r="V36" s="2"/>
      <c r="W36" s="2"/>
      <c r="X36" s="2"/>
      <c r="Y36" s="106"/>
      <c r="Z36" s="106"/>
      <c r="AA36" s="110"/>
      <c r="AB36" s="110"/>
    </row>
    <row r="37" spans="2:28" ht="31.5">
      <c r="B37" s="1"/>
      <c r="C37" s="84" t="s">
        <v>339</v>
      </c>
      <c r="D37" s="84" t="s">
        <v>340</v>
      </c>
      <c r="E37" s="84" t="s">
        <v>341</v>
      </c>
      <c r="F37" s="107"/>
      <c r="G37" s="20"/>
      <c r="H37" s="20"/>
      <c r="I37" s="20"/>
      <c r="J37" s="20"/>
      <c r="K37" s="20"/>
      <c r="L37" s="20"/>
      <c r="M37" s="1"/>
      <c r="N37" s="1"/>
      <c r="O37" s="1"/>
      <c r="P37" s="1"/>
      <c r="Q37" s="1"/>
      <c r="R37" s="2"/>
      <c r="S37" s="2"/>
      <c r="T37" s="2"/>
      <c r="U37" s="2"/>
      <c r="V37" s="2"/>
      <c r="W37" s="2"/>
      <c r="X37" s="2"/>
      <c r="Y37" s="2"/>
      <c r="Z37" s="105"/>
      <c r="AA37" s="105"/>
      <c r="AB37" s="106"/>
    </row>
    <row r="38" spans="2:28" ht="15.75">
      <c r="B38" s="107" t="s">
        <v>149</v>
      </c>
      <c r="C38" s="241">
        <v>5529244.7570373612</v>
      </c>
      <c r="D38" s="241">
        <v>7311830.3174004517</v>
      </c>
      <c r="E38" s="4">
        <v>1313398.550759305</v>
      </c>
      <c r="F38" s="1"/>
      <c r="G38" s="20"/>
      <c r="H38" s="20"/>
      <c r="I38" s="20"/>
      <c r="J38" s="20"/>
      <c r="K38" s="20"/>
      <c r="L38" s="20"/>
      <c r="M38" s="1"/>
      <c r="N38" s="1"/>
      <c r="O38" s="1"/>
      <c r="P38" s="1"/>
      <c r="Q38" s="1"/>
      <c r="R38" s="2"/>
      <c r="S38" s="2"/>
      <c r="T38" s="2"/>
      <c r="U38" s="2"/>
      <c r="V38" s="2"/>
      <c r="W38" s="2"/>
      <c r="X38" s="2"/>
      <c r="Y38" s="2"/>
      <c r="Z38" s="105"/>
      <c r="AA38" s="110"/>
      <c r="AB38" s="105"/>
    </row>
    <row r="39" spans="2:28" ht="15.75">
      <c r="B39" s="107" t="s">
        <v>165</v>
      </c>
      <c r="C39" s="241">
        <v>17431428.835748378</v>
      </c>
      <c r="D39" s="241">
        <v>19476455.217814039</v>
      </c>
      <c r="E39" s="4">
        <v>3218717.0926473769</v>
      </c>
      <c r="F39" s="1"/>
      <c r="G39" s="20"/>
      <c r="H39" s="20"/>
      <c r="I39" s="20"/>
      <c r="J39" s="20"/>
      <c r="K39" s="20"/>
      <c r="L39" s="20"/>
      <c r="M39" s="1"/>
      <c r="N39" s="1"/>
      <c r="O39" s="1"/>
      <c r="P39" s="1"/>
      <c r="Q39" s="1"/>
      <c r="R39" s="2"/>
      <c r="S39" s="2"/>
      <c r="T39" s="2"/>
      <c r="U39" s="2"/>
      <c r="V39" s="2"/>
      <c r="W39" s="2"/>
      <c r="X39" s="2"/>
      <c r="Y39" s="2"/>
      <c r="Z39" s="110"/>
      <c r="AA39" s="106"/>
      <c r="AB39" s="106"/>
    </row>
    <row r="40" spans="2:28" ht="15.75">
      <c r="B40" s="2"/>
      <c r="C40" s="2"/>
      <c r="E40" s="1"/>
      <c r="F40" s="1"/>
      <c r="G40" s="20"/>
      <c r="H40" s="20"/>
      <c r="I40" s="20"/>
      <c r="J40" s="20"/>
      <c r="K40" s="20"/>
      <c r="L40" s="20"/>
      <c r="M40" s="1"/>
      <c r="N40" s="1"/>
      <c r="O40" s="1"/>
      <c r="P40" s="1"/>
      <c r="Q40" s="1"/>
      <c r="R40" s="2"/>
      <c r="S40" s="2"/>
      <c r="T40" s="2"/>
      <c r="U40" s="2"/>
      <c r="V40" s="2"/>
      <c r="W40" s="2"/>
      <c r="X40" s="2"/>
      <c r="Y40" s="2"/>
      <c r="Z40" s="110"/>
      <c r="AA40" s="110"/>
      <c r="AB40" s="106"/>
    </row>
    <row r="41" spans="2:28" ht="15.75">
      <c r="B41" s="2"/>
      <c r="C41" s="2"/>
      <c r="E41" s="1"/>
      <c r="F41" s="1"/>
      <c r="G41" s="20"/>
      <c r="H41" s="20"/>
      <c r="I41" s="20"/>
      <c r="J41" s="20"/>
      <c r="K41" s="20"/>
      <c r="L41" s="20"/>
      <c r="M41" s="1"/>
      <c r="N41" s="1"/>
      <c r="O41" s="1"/>
      <c r="P41" s="1"/>
      <c r="Q41" s="1"/>
      <c r="R41" s="2"/>
      <c r="S41" s="2"/>
      <c r="T41" s="2"/>
      <c r="U41" s="2"/>
      <c r="V41" s="2"/>
      <c r="W41" s="2"/>
      <c r="X41" s="2"/>
      <c r="Y41" s="2"/>
      <c r="Z41" s="110"/>
      <c r="AA41" s="110"/>
      <c r="AB41" s="110"/>
    </row>
    <row r="42" spans="2:28" ht="15.75">
      <c r="B42" s="2"/>
      <c r="C42" s="2"/>
      <c r="E42" s="1"/>
      <c r="F42" s="1"/>
      <c r="G42" s="20"/>
      <c r="H42" s="20"/>
      <c r="I42" s="20"/>
      <c r="J42" s="20"/>
      <c r="K42" s="20"/>
      <c r="L42" s="20"/>
      <c r="M42" s="1"/>
      <c r="N42" s="1"/>
      <c r="O42" s="1"/>
      <c r="P42" s="1"/>
      <c r="Q42" s="1"/>
      <c r="R42" s="1"/>
      <c r="S42" s="1"/>
      <c r="T42" s="1"/>
      <c r="U42" s="104"/>
      <c r="V42" s="105"/>
      <c r="W42" s="105"/>
      <c r="X42" s="105"/>
      <c r="Y42" s="2"/>
      <c r="Z42" s="110"/>
      <c r="AA42" s="106"/>
      <c r="AB42" s="106"/>
    </row>
    <row r="43" spans="2:28" ht="15.75">
      <c r="B43" s="2"/>
      <c r="C43" s="2"/>
      <c r="D43" s="1"/>
      <c r="E43" s="1"/>
      <c r="F43" s="1"/>
      <c r="G43" s="20"/>
      <c r="H43" s="20"/>
      <c r="I43" s="20"/>
      <c r="J43" s="20"/>
      <c r="K43" s="20"/>
      <c r="L43" s="20"/>
      <c r="M43" s="1"/>
      <c r="N43" s="1"/>
      <c r="O43" s="1"/>
      <c r="P43" s="1"/>
      <c r="Q43" s="1"/>
      <c r="R43" s="1"/>
      <c r="S43" s="1"/>
      <c r="T43" s="1"/>
      <c r="U43" s="104"/>
      <c r="V43" s="585"/>
      <c r="W43" s="585"/>
      <c r="X43" s="105"/>
      <c r="Y43" s="2"/>
      <c r="Z43" s="110"/>
      <c r="AA43" s="103"/>
      <c r="AB43" s="106"/>
    </row>
    <row r="44" spans="2:28" ht="15.75">
      <c r="B44" s="2"/>
      <c r="C44" s="2"/>
      <c r="D44" s="1"/>
      <c r="E44" s="1"/>
      <c r="F44" s="1"/>
      <c r="G44" s="20"/>
      <c r="H44" s="20"/>
      <c r="I44" s="20"/>
      <c r="J44" s="20"/>
      <c r="K44" s="20"/>
      <c r="L44" s="20"/>
      <c r="M44" s="1"/>
      <c r="N44" s="1"/>
      <c r="O44" s="1"/>
      <c r="P44" s="1"/>
      <c r="Q44" s="1"/>
      <c r="R44" s="1"/>
      <c r="S44" s="1"/>
      <c r="T44" s="1"/>
      <c r="U44" s="104"/>
      <c r="V44" s="105"/>
      <c r="W44" s="104"/>
      <c r="X44" s="110"/>
      <c r="Y44" s="2"/>
      <c r="Z44" s="110"/>
      <c r="AA44" s="106"/>
      <c r="AB44" s="103"/>
    </row>
    <row r="45" spans="2:28" ht="15.75">
      <c r="B45" s="2"/>
      <c r="C45" s="2"/>
      <c r="D45" s="1"/>
      <c r="E45" s="1"/>
      <c r="F45" s="1"/>
      <c r="G45" s="20"/>
      <c r="H45" s="20"/>
      <c r="I45" s="20"/>
      <c r="J45" s="20"/>
      <c r="K45" s="20"/>
      <c r="L45" s="20"/>
      <c r="M45" s="1"/>
      <c r="N45" s="1"/>
      <c r="O45" s="1"/>
      <c r="P45" s="1"/>
      <c r="Q45" s="1"/>
      <c r="R45" s="1"/>
      <c r="S45" s="1"/>
      <c r="T45" s="1"/>
      <c r="U45" s="104"/>
      <c r="V45" s="105"/>
      <c r="W45" s="104"/>
      <c r="X45" s="110"/>
      <c r="Y45" s="2"/>
      <c r="Z45" s="103"/>
      <c r="AA45" s="105"/>
      <c r="AB45" s="106"/>
    </row>
    <row r="46" spans="2:28" ht="15.75">
      <c r="B46" s="2"/>
      <c r="C46" s="2"/>
      <c r="D46" s="1"/>
      <c r="E46" s="1"/>
      <c r="F46" s="1"/>
      <c r="G46" s="20"/>
      <c r="H46" s="20"/>
      <c r="I46" s="20"/>
      <c r="J46" s="20"/>
      <c r="K46" s="20"/>
      <c r="L46" s="20"/>
      <c r="M46" s="1"/>
      <c r="N46" s="1"/>
      <c r="O46" s="1"/>
      <c r="P46" s="1"/>
      <c r="Q46" s="1"/>
      <c r="R46" s="1"/>
      <c r="S46" s="1"/>
      <c r="T46" s="1"/>
      <c r="U46" s="104"/>
      <c r="V46" s="105"/>
      <c r="W46" s="105"/>
      <c r="X46" s="103"/>
      <c r="Y46" s="2"/>
      <c r="Z46" s="110"/>
      <c r="AA46" s="105"/>
      <c r="AB46" s="105"/>
    </row>
    <row r="47" spans="2:28" ht="15.75">
      <c r="B47" s="2"/>
      <c r="C47" s="2"/>
      <c r="D47" s="1"/>
      <c r="E47" s="1"/>
      <c r="F47" s="1"/>
      <c r="G47" s="20"/>
      <c r="H47" s="20"/>
      <c r="I47" s="20"/>
      <c r="J47" s="20"/>
      <c r="K47" s="20"/>
      <c r="L47" s="20"/>
      <c r="M47" s="1"/>
      <c r="N47" s="1"/>
      <c r="O47" s="1"/>
      <c r="P47" s="1"/>
      <c r="Q47" s="1"/>
      <c r="R47" s="1"/>
      <c r="S47" s="1"/>
      <c r="T47" s="1"/>
      <c r="U47" s="104"/>
      <c r="V47" s="105"/>
      <c r="W47" s="104"/>
      <c r="X47" s="110"/>
      <c r="Y47" s="105"/>
      <c r="Z47" s="105"/>
      <c r="AA47" s="106"/>
      <c r="AB47" s="105"/>
    </row>
    <row r="48" spans="2:28" ht="15.75">
      <c r="B48" s="2"/>
      <c r="C48" s="2"/>
      <c r="D48" s="1"/>
      <c r="E48" s="1"/>
      <c r="F48" s="1"/>
      <c r="G48" s="20"/>
      <c r="H48" s="20"/>
      <c r="I48" s="20"/>
      <c r="J48" s="20"/>
      <c r="K48" s="20"/>
      <c r="L48" s="20"/>
      <c r="M48" s="1"/>
      <c r="N48" s="1"/>
      <c r="O48" s="1"/>
      <c r="P48" s="1"/>
      <c r="Q48" s="1"/>
      <c r="R48" s="1"/>
      <c r="S48" s="1"/>
      <c r="T48" s="1"/>
      <c r="U48" s="104"/>
      <c r="V48" s="105"/>
      <c r="W48" s="105"/>
      <c r="X48" s="105"/>
      <c r="Y48" s="105"/>
      <c r="Z48" s="105"/>
      <c r="AA48" s="106"/>
      <c r="AB48" s="106"/>
    </row>
    <row r="49" spans="2:28" ht="15.75">
      <c r="B49" s="2"/>
      <c r="C49" s="2"/>
      <c r="D49" s="1"/>
      <c r="E49" s="1"/>
      <c r="F49" s="1"/>
      <c r="G49" s="20"/>
      <c r="H49" s="20"/>
      <c r="I49" s="20"/>
      <c r="J49" s="20"/>
      <c r="K49" s="20"/>
      <c r="L49" s="20"/>
      <c r="M49" s="1"/>
      <c r="N49" s="1"/>
      <c r="O49" s="1"/>
      <c r="P49" s="1"/>
      <c r="Q49" s="1"/>
      <c r="R49" s="1"/>
      <c r="S49" s="1"/>
      <c r="T49" s="1"/>
      <c r="U49" s="104"/>
      <c r="V49" s="585"/>
      <c r="W49" s="585"/>
      <c r="X49" s="105"/>
      <c r="Y49" s="110"/>
      <c r="Z49" s="110"/>
      <c r="AA49" s="106"/>
      <c r="AB49" s="106"/>
    </row>
    <row r="50" spans="2:28" ht="15.75">
      <c r="B50" s="2"/>
      <c r="C50" s="2"/>
      <c r="D50" s="1"/>
      <c r="E50" s="1"/>
      <c r="F50" s="1"/>
      <c r="G50" s="20"/>
      <c r="H50" s="20"/>
      <c r="I50" s="20"/>
      <c r="J50" s="20"/>
      <c r="K50" s="20"/>
      <c r="L50" s="20"/>
      <c r="M50" s="1"/>
      <c r="N50" s="1"/>
      <c r="O50" s="1"/>
      <c r="P50" s="1"/>
      <c r="Q50" s="1"/>
      <c r="R50" s="1"/>
      <c r="S50" s="1"/>
      <c r="T50" s="1"/>
      <c r="U50" s="104"/>
      <c r="V50" s="105"/>
      <c r="W50" s="104"/>
      <c r="X50" s="110"/>
      <c r="Y50" s="110"/>
      <c r="Z50" s="110"/>
      <c r="AA50" s="110"/>
      <c r="AB50" s="106"/>
    </row>
    <row r="51" spans="2:28" ht="15.75">
      <c r="B51" s="2"/>
      <c r="C51" s="2"/>
      <c r="D51" s="1"/>
      <c r="E51" s="1"/>
      <c r="F51" s="1"/>
      <c r="G51" s="20"/>
      <c r="H51" s="20"/>
      <c r="I51" s="20"/>
      <c r="J51" s="20"/>
      <c r="K51" s="20"/>
      <c r="L51" s="20"/>
      <c r="M51" s="1"/>
      <c r="N51" s="1"/>
      <c r="O51" s="1"/>
      <c r="P51" s="1"/>
      <c r="Q51" s="1"/>
      <c r="R51" s="1"/>
      <c r="S51" s="1"/>
      <c r="T51" s="1"/>
      <c r="U51" s="104"/>
      <c r="V51" s="105"/>
      <c r="W51" s="104"/>
      <c r="X51" s="110"/>
      <c r="Y51" s="103"/>
      <c r="Z51" s="103"/>
      <c r="AA51" s="110"/>
      <c r="AB51" s="106"/>
    </row>
    <row r="52" spans="2:28" ht="15.75">
      <c r="B52" s="2"/>
      <c r="C52" s="2"/>
      <c r="D52" s="1"/>
      <c r="E52" s="1"/>
      <c r="F52" s="1"/>
      <c r="G52" s="20"/>
      <c r="H52" s="20"/>
      <c r="I52" s="20"/>
      <c r="J52" s="20"/>
      <c r="K52" s="20"/>
      <c r="L52" s="20"/>
      <c r="M52" s="1"/>
      <c r="N52" s="1"/>
      <c r="O52" s="1"/>
      <c r="P52" s="1"/>
      <c r="Q52" s="1"/>
      <c r="R52" s="1"/>
      <c r="S52" s="1"/>
      <c r="T52" s="1"/>
      <c r="U52" s="104"/>
      <c r="V52" s="105"/>
      <c r="W52" s="104"/>
      <c r="X52" s="106"/>
      <c r="Y52" s="110"/>
      <c r="Z52" s="110"/>
      <c r="AA52" s="106"/>
      <c r="AB52" s="106"/>
    </row>
    <row r="53" spans="2:28" ht="15.75">
      <c r="B53" s="2"/>
      <c r="C53" s="2"/>
      <c r="D53" s="1"/>
      <c r="E53" s="1"/>
      <c r="F53" s="1"/>
      <c r="G53" s="20"/>
      <c r="H53" s="20"/>
      <c r="I53" s="20"/>
      <c r="J53" s="20"/>
      <c r="K53" s="20"/>
      <c r="L53" s="20"/>
      <c r="M53" s="1"/>
      <c r="N53" s="1"/>
      <c r="O53" s="1"/>
      <c r="P53" s="1"/>
      <c r="Q53" s="1"/>
      <c r="R53" s="1"/>
      <c r="S53" s="1"/>
      <c r="T53" s="1"/>
      <c r="U53" s="104"/>
      <c r="V53" s="105"/>
      <c r="W53" s="104"/>
      <c r="X53" s="110"/>
      <c r="Y53" s="105"/>
      <c r="Z53" s="105"/>
      <c r="AA53" s="103"/>
      <c r="AB53" s="106"/>
    </row>
    <row r="54" spans="2:28" ht="15.75">
      <c r="B54" s="2"/>
      <c r="C54" s="2"/>
      <c r="D54" s="1"/>
      <c r="E54" s="1"/>
      <c r="F54" s="1"/>
      <c r="G54" s="20"/>
      <c r="H54" s="20"/>
      <c r="I54" s="20"/>
      <c r="J54" s="20"/>
      <c r="K54" s="20"/>
      <c r="L54" s="20"/>
      <c r="M54" s="1"/>
      <c r="N54" s="1"/>
      <c r="O54" s="1"/>
      <c r="P54" s="1"/>
      <c r="Q54" s="1"/>
      <c r="R54" s="1"/>
      <c r="S54" s="1"/>
      <c r="T54" s="1"/>
      <c r="U54" s="104"/>
      <c r="V54" s="105"/>
      <c r="W54" s="104"/>
      <c r="X54" s="110"/>
      <c r="Y54" s="105"/>
      <c r="Z54" s="105"/>
      <c r="AA54" s="106"/>
      <c r="AB54" s="103"/>
    </row>
    <row r="55" spans="2:28" ht="15.75">
      <c r="B55" s="2"/>
      <c r="C55" s="2"/>
      <c r="D55" s="1"/>
      <c r="E55" s="1"/>
      <c r="F55" s="1"/>
      <c r="G55" s="20"/>
      <c r="H55" s="20"/>
      <c r="I55" s="20"/>
      <c r="J55" s="20"/>
      <c r="K55" s="20"/>
      <c r="L55" s="20"/>
      <c r="M55" s="1"/>
      <c r="N55" s="1"/>
      <c r="O55" s="1"/>
      <c r="P55" s="1"/>
      <c r="Q55" s="1"/>
      <c r="R55" s="1"/>
      <c r="S55" s="1"/>
      <c r="T55" s="1"/>
      <c r="U55" s="104"/>
      <c r="V55" s="105"/>
      <c r="W55" s="105"/>
      <c r="X55" s="103"/>
      <c r="Y55" s="110"/>
      <c r="Z55" s="110"/>
      <c r="AA55" s="105"/>
      <c r="AB55" s="106"/>
    </row>
    <row r="56" spans="2:28" ht="15.75">
      <c r="B56" s="1"/>
      <c r="C56" s="1"/>
      <c r="D56" s="1"/>
      <c r="E56" s="1"/>
      <c r="F56" s="1"/>
      <c r="G56" s="20"/>
      <c r="H56" s="20"/>
      <c r="I56" s="20"/>
      <c r="J56" s="20"/>
      <c r="K56" s="20"/>
      <c r="L56" s="20"/>
      <c r="M56" s="1"/>
      <c r="N56" s="1"/>
      <c r="O56" s="1"/>
      <c r="P56" s="1"/>
      <c r="Q56" s="1"/>
      <c r="R56" s="1"/>
      <c r="S56" s="1"/>
      <c r="T56" s="1"/>
      <c r="U56" s="104"/>
      <c r="V56" s="105"/>
      <c r="W56" s="104"/>
      <c r="X56" s="106"/>
      <c r="Y56" s="110"/>
      <c r="Z56" s="110"/>
      <c r="AA56" s="105"/>
      <c r="AB56" s="105"/>
    </row>
    <row r="57" spans="2:28" ht="15.75">
      <c r="B57" s="1"/>
      <c r="C57" s="1"/>
      <c r="D57" s="1"/>
      <c r="E57" s="1"/>
      <c r="F57" s="1"/>
      <c r="G57" s="20"/>
      <c r="H57" s="20"/>
      <c r="I57" s="20"/>
      <c r="J57" s="20"/>
      <c r="K57" s="20"/>
      <c r="L57" s="20"/>
      <c r="M57" s="1"/>
      <c r="N57" s="1"/>
      <c r="O57" s="1"/>
      <c r="P57" s="1"/>
      <c r="Q57" s="1"/>
      <c r="R57" s="1"/>
      <c r="S57" s="1"/>
      <c r="T57" s="1"/>
      <c r="U57" s="104"/>
      <c r="V57" s="105"/>
      <c r="W57" s="105"/>
      <c r="X57" s="105"/>
      <c r="Y57" s="106"/>
      <c r="Z57" s="106"/>
      <c r="AA57" s="110"/>
      <c r="AB57" s="105"/>
    </row>
    <row r="58" spans="2:28" ht="15.75">
      <c r="B58" s="1"/>
      <c r="C58" s="1"/>
      <c r="D58" s="1"/>
      <c r="E58" s="1"/>
      <c r="F58" s="1"/>
      <c r="G58" s="20"/>
      <c r="H58" s="20"/>
      <c r="I58" s="20"/>
      <c r="J58" s="20"/>
      <c r="K58" s="20"/>
      <c r="L58" s="20"/>
      <c r="M58" s="1"/>
      <c r="N58" s="1"/>
      <c r="O58" s="1"/>
      <c r="P58" s="1"/>
      <c r="Q58" s="1"/>
      <c r="R58" s="1"/>
      <c r="S58" s="1"/>
      <c r="T58" s="1"/>
      <c r="U58" s="104"/>
      <c r="V58" s="105"/>
      <c r="W58" s="105"/>
      <c r="X58" s="105"/>
      <c r="Y58" s="110"/>
      <c r="Z58" s="110"/>
      <c r="AA58" s="110"/>
      <c r="AB58" s="106"/>
    </row>
    <row r="59" spans="2:28" ht="15.75">
      <c r="B59" s="1"/>
      <c r="C59" s="1"/>
      <c r="D59" s="1"/>
      <c r="E59" s="1"/>
      <c r="F59" s="1"/>
      <c r="G59" s="20"/>
      <c r="H59" s="20"/>
      <c r="I59" s="20"/>
      <c r="J59" s="20"/>
      <c r="K59" s="20"/>
      <c r="L59" s="20"/>
      <c r="M59" s="1"/>
      <c r="N59" s="1"/>
      <c r="O59" s="1"/>
      <c r="P59" s="1"/>
      <c r="Q59" s="1"/>
      <c r="R59" s="1"/>
      <c r="S59" s="1"/>
      <c r="T59" s="1"/>
      <c r="U59" s="104"/>
      <c r="V59" s="105"/>
      <c r="W59" s="104"/>
      <c r="X59" s="106"/>
      <c r="Y59" s="110"/>
      <c r="Z59" s="110"/>
      <c r="AA59" s="103"/>
      <c r="AB59" s="106"/>
    </row>
    <row r="60" spans="2:28" ht="15.75">
      <c r="B60" s="1"/>
      <c r="C60" s="1"/>
      <c r="D60" s="1"/>
      <c r="E60" s="1"/>
      <c r="F60" s="1"/>
      <c r="G60" s="20"/>
      <c r="H60" s="20"/>
      <c r="I60" s="20"/>
      <c r="J60" s="20"/>
      <c r="K60" s="20"/>
      <c r="L60" s="20"/>
      <c r="M60" s="1"/>
      <c r="N60" s="1"/>
      <c r="O60" s="1"/>
      <c r="P60" s="1"/>
      <c r="Q60" s="1"/>
      <c r="R60" s="1"/>
      <c r="S60" s="1"/>
      <c r="T60" s="1"/>
      <c r="U60" s="104"/>
      <c r="V60" s="105"/>
      <c r="W60" s="105"/>
      <c r="X60" s="103"/>
      <c r="Y60" s="103"/>
      <c r="Z60" s="103"/>
      <c r="AA60" s="110"/>
      <c r="AB60" s="103"/>
    </row>
    <row r="61" spans="2:28" ht="15.75">
      <c r="B61" s="1"/>
      <c r="C61" s="1"/>
      <c r="D61" s="1"/>
      <c r="E61" s="1"/>
      <c r="F61" s="1"/>
      <c r="G61" s="20"/>
      <c r="H61" s="20"/>
      <c r="I61" s="20"/>
      <c r="J61" s="20"/>
      <c r="K61" s="20"/>
      <c r="L61" s="20"/>
      <c r="M61" s="1"/>
      <c r="N61" s="1"/>
      <c r="O61" s="1"/>
      <c r="P61" s="1"/>
      <c r="Q61" s="1"/>
      <c r="R61" s="1"/>
      <c r="S61" s="1"/>
      <c r="T61" s="1"/>
      <c r="U61" s="104"/>
      <c r="V61" s="585"/>
      <c r="W61" s="585"/>
      <c r="X61" s="105"/>
      <c r="Y61" s="106"/>
      <c r="Z61" s="106"/>
      <c r="AA61" s="105"/>
      <c r="AB61" s="106"/>
    </row>
    <row r="62" spans="2:28" ht="15.75">
      <c r="B62" s="1"/>
      <c r="C62" s="1"/>
      <c r="D62" s="1"/>
      <c r="E62" s="1"/>
      <c r="F62" s="1"/>
      <c r="G62" s="20"/>
      <c r="H62" s="20"/>
      <c r="I62" s="20"/>
      <c r="J62" s="20"/>
      <c r="K62" s="20"/>
      <c r="L62" s="20"/>
      <c r="M62" s="1"/>
      <c r="N62" s="1"/>
      <c r="O62" s="1"/>
      <c r="P62" s="1"/>
      <c r="Q62" s="1"/>
      <c r="R62" s="1"/>
      <c r="S62" s="1"/>
      <c r="T62" s="1"/>
      <c r="U62" s="104"/>
      <c r="V62" s="105"/>
      <c r="W62" s="105"/>
      <c r="X62" s="105"/>
      <c r="Y62" s="105"/>
      <c r="Z62" s="105"/>
      <c r="AA62" s="105"/>
      <c r="AB62" s="105"/>
    </row>
    <row r="63" spans="2:28" ht="15.75">
      <c r="B63" s="1"/>
      <c r="C63" s="1"/>
      <c r="D63" s="1"/>
      <c r="E63" s="1"/>
      <c r="F63" s="1"/>
      <c r="G63" s="20"/>
      <c r="H63" s="20"/>
      <c r="I63" s="20"/>
      <c r="J63" s="20"/>
      <c r="K63" s="20"/>
      <c r="L63" s="20"/>
      <c r="M63" s="1"/>
      <c r="N63" s="1"/>
      <c r="O63" s="1"/>
      <c r="P63" s="1"/>
      <c r="Q63" s="1"/>
      <c r="R63" s="1"/>
      <c r="S63" s="1"/>
      <c r="T63" s="1"/>
      <c r="U63" s="104"/>
      <c r="V63" s="105"/>
      <c r="W63" s="104"/>
      <c r="X63" s="105"/>
      <c r="Y63" s="105"/>
      <c r="Z63" s="105"/>
      <c r="AA63" s="110"/>
      <c r="AB63" s="105"/>
    </row>
    <row r="64" spans="2:28" ht="15.75">
      <c r="B64" s="1"/>
      <c r="C64" s="1"/>
      <c r="D64" s="1"/>
      <c r="E64" s="1"/>
      <c r="F64" s="1"/>
      <c r="G64" s="20"/>
      <c r="H64" s="20"/>
      <c r="I64" s="20"/>
      <c r="J64" s="20"/>
      <c r="K64" s="20"/>
      <c r="L64" s="20"/>
      <c r="M64" s="1"/>
      <c r="N64" s="1"/>
      <c r="O64" s="1"/>
      <c r="P64" s="1"/>
      <c r="Q64" s="1"/>
      <c r="R64" s="1"/>
      <c r="S64" s="1"/>
      <c r="T64" s="1"/>
      <c r="U64" s="104"/>
      <c r="V64" s="105"/>
      <c r="W64" s="105"/>
      <c r="X64" s="103"/>
      <c r="Y64" s="106"/>
      <c r="Z64" s="106"/>
      <c r="AA64" s="110"/>
      <c r="AB64" s="106"/>
    </row>
    <row r="65" spans="2:28" ht="15.75">
      <c r="B65" s="1"/>
      <c r="C65" s="1"/>
      <c r="D65" s="1"/>
      <c r="E65" s="1"/>
      <c r="F65" s="1"/>
      <c r="G65" s="20"/>
      <c r="H65" s="20"/>
      <c r="I65" s="20"/>
      <c r="J65" s="20"/>
      <c r="K65" s="20"/>
      <c r="L65" s="20"/>
      <c r="M65" s="1"/>
      <c r="N65" s="1"/>
      <c r="O65" s="1"/>
      <c r="P65" s="1"/>
      <c r="Q65" s="1"/>
      <c r="R65" s="1"/>
      <c r="S65" s="1"/>
      <c r="T65" s="1"/>
      <c r="U65" s="104"/>
      <c r="V65" s="105"/>
      <c r="W65" s="104"/>
      <c r="X65" s="105"/>
      <c r="Y65" s="103"/>
      <c r="Z65" s="103"/>
      <c r="AA65" s="110"/>
      <c r="AB65" s="106"/>
    </row>
    <row r="66" spans="2:28" ht="15.75">
      <c r="B66" s="1"/>
      <c r="C66" s="1"/>
      <c r="D66" s="1"/>
      <c r="E66" s="1"/>
      <c r="F66" s="1"/>
      <c r="G66" s="20"/>
      <c r="H66" s="20"/>
      <c r="I66" s="20"/>
      <c r="J66" s="20"/>
      <c r="K66" s="20"/>
      <c r="L66" s="20"/>
      <c r="M66" s="1"/>
      <c r="N66" s="1"/>
      <c r="O66" s="1"/>
      <c r="P66" s="1"/>
      <c r="Q66" s="1"/>
      <c r="R66" s="1"/>
      <c r="S66" s="1"/>
      <c r="T66" s="1"/>
      <c r="U66" s="104"/>
      <c r="V66" s="105"/>
      <c r="W66" s="105"/>
      <c r="X66" s="105"/>
      <c r="Y66" s="105"/>
      <c r="Z66" s="105"/>
      <c r="AA66" s="110"/>
      <c r="AB66" s="106"/>
    </row>
    <row r="67" spans="2:28" ht="15.75">
      <c r="B67" s="1"/>
      <c r="C67" s="1"/>
      <c r="D67" s="1"/>
      <c r="E67" s="1"/>
      <c r="F67" s="1"/>
      <c r="G67" s="20"/>
      <c r="H67" s="20"/>
      <c r="I67" s="20"/>
      <c r="J67" s="20"/>
      <c r="K67" s="20"/>
      <c r="L67" s="20"/>
      <c r="M67" s="1"/>
      <c r="N67" s="1"/>
      <c r="O67" s="1"/>
      <c r="P67" s="1"/>
      <c r="Q67" s="1"/>
      <c r="R67" s="1"/>
      <c r="S67" s="1"/>
      <c r="T67" s="1"/>
      <c r="U67" s="104"/>
      <c r="V67" s="105"/>
      <c r="W67" s="105"/>
      <c r="X67" s="103"/>
      <c r="Y67" s="105"/>
      <c r="Z67" s="105"/>
      <c r="AA67" s="110"/>
      <c r="AB67" s="110"/>
    </row>
    <row r="68" spans="2:28" ht="15.75">
      <c r="B68" s="1"/>
      <c r="C68" s="1"/>
      <c r="D68" s="1"/>
      <c r="E68" s="1"/>
      <c r="F68" s="1"/>
      <c r="G68" s="20"/>
      <c r="H68" s="20"/>
      <c r="I68" s="20"/>
      <c r="J68" s="20"/>
      <c r="K68" s="20"/>
      <c r="L68" s="20"/>
      <c r="M68" s="1"/>
      <c r="N68" s="1"/>
      <c r="O68" s="1"/>
      <c r="P68" s="1"/>
      <c r="Q68" s="1"/>
      <c r="R68" s="1"/>
      <c r="S68" s="1"/>
      <c r="T68" s="1"/>
      <c r="U68" s="104"/>
      <c r="V68" s="585"/>
      <c r="W68" s="585"/>
      <c r="X68" s="106"/>
      <c r="Y68" s="105"/>
      <c r="Z68" s="105"/>
      <c r="AA68" s="103"/>
      <c r="AB68" s="110"/>
    </row>
    <row r="69" spans="2:28" ht="15.75">
      <c r="B69" s="1"/>
      <c r="C69" s="1"/>
      <c r="D69" s="1"/>
      <c r="E69" s="1"/>
      <c r="F69" s="1"/>
      <c r="G69" s="20"/>
      <c r="H69" s="20"/>
      <c r="I69" s="20"/>
      <c r="J69" s="20"/>
      <c r="K69" s="20"/>
      <c r="L69" s="20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03"/>
      <c r="Z69" s="103"/>
      <c r="AA69" s="110"/>
      <c r="AB69" s="103"/>
    </row>
    <row r="70" spans="2:28" ht="15.75">
      <c r="B70" s="1"/>
      <c r="C70" s="1"/>
      <c r="D70" s="1"/>
      <c r="E70" s="1"/>
      <c r="F70" s="1"/>
      <c r="Y70" s="105"/>
      <c r="Z70" s="105"/>
      <c r="AA70" s="105"/>
      <c r="AB70" s="106"/>
    </row>
    <row r="71" spans="2:28" ht="15.75">
      <c r="B71" s="1"/>
      <c r="C71" s="1"/>
      <c r="D71" s="1"/>
      <c r="E71" s="1"/>
      <c r="F71" s="1"/>
      <c r="Y71" s="105"/>
      <c r="Z71" s="105"/>
      <c r="AA71" s="105"/>
      <c r="AB71" s="105"/>
    </row>
    <row r="72" spans="2:28" ht="15.75">
      <c r="B72" s="1"/>
      <c r="C72" s="1"/>
      <c r="D72" s="1"/>
      <c r="E72" s="1"/>
      <c r="F72" s="1"/>
      <c r="Y72" s="103"/>
      <c r="Z72" s="103"/>
      <c r="AA72" s="106"/>
      <c r="AB72" s="105"/>
    </row>
    <row r="73" spans="2:28" ht="15.75">
      <c r="B73" s="1"/>
      <c r="C73" s="1"/>
      <c r="D73" s="1"/>
      <c r="E73" s="1"/>
      <c r="F73" s="1"/>
      <c r="Y73" s="106"/>
      <c r="Z73" s="106"/>
      <c r="AA73" s="103"/>
      <c r="AB73" s="106"/>
    </row>
    <row r="74" spans="2:28" ht="15.75">
      <c r="B74" s="1"/>
      <c r="C74" s="1"/>
      <c r="D74" s="1"/>
      <c r="E74" s="1"/>
      <c r="F74" s="1"/>
      <c r="Y74" s="1"/>
      <c r="Z74" s="1"/>
      <c r="AA74" s="105"/>
      <c r="AB74" s="103"/>
    </row>
    <row r="75" spans="2:28" ht="15.75">
      <c r="B75" s="1"/>
      <c r="C75" s="1"/>
      <c r="D75" s="1"/>
      <c r="E75" s="1"/>
      <c r="AA75" s="105"/>
      <c r="AB75" s="105"/>
    </row>
    <row r="76" spans="2:28" ht="15.75">
      <c r="B76" s="1"/>
      <c r="C76" s="1"/>
      <c r="D76" s="1"/>
      <c r="AA76" s="105"/>
      <c r="AB76" s="105"/>
    </row>
    <row r="77" spans="2:28" ht="15.75">
      <c r="B77" s="1"/>
      <c r="C77" s="1"/>
      <c r="D77" s="1"/>
      <c r="AA77" s="103"/>
      <c r="AB77" s="105"/>
    </row>
    <row r="78" spans="2:28" ht="15.75">
      <c r="B78" s="1"/>
      <c r="C78" s="1"/>
      <c r="D78" s="1"/>
      <c r="AA78" s="105"/>
      <c r="AB78" s="103"/>
    </row>
    <row r="79" spans="2:28" ht="15.75">
      <c r="B79" s="1"/>
      <c r="C79" s="1"/>
      <c r="D79" s="1"/>
      <c r="AA79" s="105"/>
      <c r="AB79" s="105"/>
    </row>
    <row r="80" spans="2:28" ht="15.75">
      <c r="B80" s="1"/>
      <c r="C80" s="1"/>
      <c r="D80" s="1"/>
      <c r="AA80" s="103"/>
      <c r="AB80" s="105"/>
    </row>
    <row r="81" spans="2:28" ht="15.75">
      <c r="B81" s="1"/>
      <c r="C81" s="1"/>
      <c r="D81" s="1"/>
      <c r="AA81" s="106"/>
      <c r="AB81" s="103"/>
    </row>
    <row r="82" spans="2:28" ht="15.75">
      <c r="B82" s="1"/>
      <c r="C82" s="1"/>
      <c r="D82" s="1"/>
      <c r="AA82" s="1"/>
      <c r="AB82" s="106"/>
    </row>
    <row r="83" spans="2:28" ht="15.75">
      <c r="B83" s="1"/>
      <c r="C83" s="1"/>
      <c r="D83" s="1"/>
      <c r="AB83" s="1"/>
    </row>
    <row r="84" spans="2:28" ht="15.75">
      <c r="B84" s="1"/>
      <c r="C84" s="1"/>
      <c r="D84" s="1"/>
    </row>
  </sheetData>
  <autoFilter ref="A1:AE83" xr:uid="{D2A1145E-5B3D-42A6-AF79-8205DD936E88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hiddenButton="1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  <filterColumn colId="25" showButton="0"/>
    <filterColumn colId="26" showButton="0"/>
    <filterColumn colId="27" showButton="0"/>
    <filterColumn colId="28" showButton="0"/>
  </autoFilter>
  <mergeCells count="20">
    <mergeCell ref="C2:D2"/>
    <mergeCell ref="G22:L22"/>
    <mergeCell ref="V61:W61"/>
    <mergeCell ref="Z16:Z17"/>
    <mergeCell ref="AA16:AA17"/>
    <mergeCell ref="C36:E36"/>
    <mergeCell ref="C23:E23"/>
    <mergeCell ref="H4:U4"/>
    <mergeCell ref="H8:U8"/>
    <mergeCell ref="AC24:AD24"/>
    <mergeCell ref="AE24:AF24"/>
    <mergeCell ref="V68:W68"/>
    <mergeCell ref="V16:W16"/>
    <mergeCell ref="V17:W17"/>
    <mergeCell ref="X16:Y16"/>
    <mergeCell ref="X17:Y17"/>
    <mergeCell ref="Q22:W22"/>
    <mergeCell ref="V43:W43"/>
    <mergeCell ref="V49:W49"/>
    <mergeCell ref="H17:U17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819720-4F19-4227-95C9-1B60B672F29A}">
  <dimension ref="A1:AF84"/>
  <sheetViews>
    <sheetView workbookViewId="0"/>
  </sheetViews>
  <sheetFormatPr defaultColWidth="8.85546875" defaultRowHeight="15"/>
  <cols>
    <col min="1" max="1" width="3.5703125" style="6" customWidth="1"/>
    <col min="2" max="2" width="23.85546875" style="6" customWidth="1"/>
    <col min="3" max="3" width="19.42578125" style="6" customWidth="1"/>
    <col min="4" max="4" width="17.5703125" style="6" customWidth="1"/>
    <col min="5" max="6" width="16.28515625" style="6" customWidth="1"/>
    <col min="7" max="7" width="20.85546875" style="6" customWidth="1"/>
    <col min="8" max="8" width="16.5703125" style="6" customWidth="1"/>
    <col min="9" max="9" width="14.140625" style="6" customWidth="1"/>
    <col min="10" max="10" width="13.5703125" style="6" customWidth="1"/>
    <col min="11" max="11" width="15.140625" style="6" customWidth="1"/>
    <col min="12" max="12" width="14.85546875" style="6" customWidth="1"/>
    <col min="13" max="15" width="15.42578125" style="6" customWidth="1"/>
    <col min="16" max="16" width="13" style="6" customWidth="1"/>
    <col min="17" max="17" width="15.5703125" style="6" customWidth="1"/>
    <col min="18" max="18" width="17.5703125" style="6" customWidth="1"/>
    <col min="19" max="19" width="14.140625" style="6" customWidth="1"/>
    <col min="20" max="21" width="14" style="6" customWidth="1"/>
    <col min="22" max="22" width="15" style="6" customWidth="1"/>
    <col min="23" max="23" width="14.140625" style="6" customWidth="1"/>
    <col min="24" max="24" width="14.85546875" style="6" bestFit="1" customWidth="1"/>
    <col min="25" max="26" width="14.85546875" style="6" customWidth="1"/>
    <col min="27" max="27" width="19.42578125" style="6" customWidth="1"/>
    <col min="28" max="28" width="15.140625" style="6" bestFit="1" customWidth="1"/>
    <col min="29" max="32" width="11.85546875" style="6" customWidth="1"/>
    <col min="33" max="16384" width="8.85546875" style="6"/>
  </cols>
  <sheetData>
    <row r="1" spans="1:32" s="172" customFormat="1" ht="25.5" customHeight="1">
      <c r="A1" s="398"/>
      <c r="B1" s="399"/>
      <c r="C1" s="399"/>
      <c r="D1" s="399"/>
      <c r="E1" s="399"/>
      <c r="F1" s="399"/>
      <c r="G1" s="399"/>
      <c r="H1" s="399"/>
      <c r="I1" s="399"/>
      <c r="J1" s="399"/>
      <c r="K1" s="399"/>
      <c r="L1" s="399"/>
      <c r="M1" s="399"/>
      <c r="N1" s="399"/>
      <c r="O1" s="399"/>
      <c r="P1" s="399"/>
      <c r="Q1" s="399"/>
      <c r="R1" s="399"/>
      <c r="S1" s="399"/>
      <c r="T1" s="399"/>
      <c r="U1" s="399"/>
      <c r="V1" s="399"/>
      <c r="W1" s="399"/>
      <c r="X1" s="399"/>
      <c r="Y1" s="399"/>
      <c r="Z1" s="399"/>
      <c r="AA1" s="399"/>
      <c r="AB1" s="399"/>
      <c r="AC1" s="399"/>
      <c r="AD1" s="399"/>
    </row>
    <row r="2" spans="1:32" ht="15.75">
      <c r="B2" s="79"/>
      <c r="C2" s="594" t="s">
        <v>161</v>
      </c>
      <c r="D2" s="594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</row>
    <row r="3" spans="1:32">
      <c r="B3" s="80"/>
      <c r="C3" s="81" t="s">
        <v>158</v>
      </c>
      <c r="D3" s="81" t="s">
        <v>162</v>
      </c>
      <c r="S3" s="82"/>
      <c r="T3" s="82"/>
      <c r="U3" s="82"/>
      <c r="V3" s="82"/>
      <c r="W3" s="82"/>
      <c r="X3" s="82"/>
      <c r="Y3" s="82"/>
      <c r="Z3" s="82"/>
      <c r="AA3" s="82"/>
    </row>
    <row r="4" spans="1:32" ht="15.75">
      <c r="B4" s="244" t="s">
        <v>3</v>
      </c>
      <c r="C4" s="155">
        <f>INDEX('Incremental Rev Req'!$O$8:$T$23,MATCH(B4,'Incremental Rev Req'!$O$8:$O$23,0),MATCH(Summary!$D$2,'Incremental Rev Req'!$O$8:$T$8,0))</f>
        <v>630882.99788069271</v>
      </c>
      <c r="D4" s="155">
        <f>INDEX('Incremental Rev Req'!$O$89:$T$103,MATCH(B4,'Incremental Rev Req'!$O$89:$O$103,0),MATCH(Summary!$D$2,'Incremental Rev Req'!$O$89:$T$89,0))</f>
        <v>628175.1025076888</v>
      </c>
      <c r="H4" s="600" t="s">
        <v>163</v>
      </c>
      <c r="I4" s="600"/>
      <c r="J4" s="600"/>
      <c r="K4" s="600"/>
      <c r="L4" s="600"/>
      <c r="M4" s="600"/>
      <c r="N4" s="600"/>
      <c r="O4" s="600"/>
      <c r="P4" s="600"/>
      <c r="Q4" s="600"/>
      <c r="R4" s="600"/>
      <c r="S4" s="600"/>
      <c r="T4" s="600"/>
      <c r="U4" s="600"/>
      <c r="V4" s="42"/>
      <c r="W4" s="42"/>
      <c r="X4" s="42"/>
      <c r="Y4" s="42"/>
      <c r="Z4" s="42"/>
      <c r="AA4" s="42"/>
      <c r="AB4" s="42"/>
      <c r="AC4" s="42"/>
      <c r="AD4" s="42"/>
    </row>
    <row r="5" spans="1:32" ht="25.15" customHeight="1">
      <c r="B5" s="244" t="s">
        <v>392</v>
      </c>
      <c r="C5" s="155">
        <f>INDEX('Incremental Rev Req'!$O$8:$T$23,MATCH(B5,'Incremental Rev Req'!$O$8:$O$23,0),MATCH(Summary!$D$2,'Incremental Rev Req'!$O$8:$T$8,0))</f>
        <v>80.182302790146849</v>
      </c>
      <c r="D5" s="155">
        <f>INDEX('Incremental Rev Req'!$O$89:$T$103,MATCH(B5,'Incremental Rev Req'!$O$89:$O$103,0),MATCH(Summary!$D$2,'Incremental Rev Req'!$O$89:$T$89,0))</f>
        <v>76.387375689237032</v>
      </c>
      <c r="G5" s="1"/>
      <c r="H5" s="85" t="s">
        <v>3</v>
      </c>
      <c r="I5" s="85" t="s">
        <v>392</v>
      </c>
      <c r="J5" s="85" t="s">
        <v>59</v>
      </c>
      <c r="K5" s="85" t="s">
        <v>5</v>
      </c>
      <c r="L5" s="85" t="s">
        <v>98</v>
      </c>
      <c r="M5" s="85" t="s">
        <v>14</v>
      </c>
      <c r="N5" s="85" t="s">
        <v>80</v>
      </c>
      <c r="O5" s="85" t="s">
        <v>100</v>
      </c>
      <c r="P5" s="85" t="s">
        <v>97</v>
      </c>
      <c r="Q5" s="85" t="s">
        <v>78</v>
      </c>
      <c r="R5" s="85" t="s">
        <v>10</v>
      </c>
      <c r="S5" s="85" t="s">
        <v>225</v>
      </c>
      <c r="T5" s="85" t="s">
        <v>87</v>
      </c>
      <c r="U5" s="85" t="s">
        <v>256</v>
      </c>
      <c r="V5" s="6" t="s">
        <v>250</v>
      </c>
      <c r="AC5" s="259"/>
      <c r="AD5" s="48"/>
    </row>
    <row r="6" spans="1:32" ht="15.75">
      <c r="B6" s="245" t="s">
        <v>59</v>
      </c>
      <c r="C6" s="155">
        <f>INDEX('Incremental Rev Req'!$O$8:$T$23,MATCH(B6,'Incremental Rev Req'!$O$8:$O$23,0),MATCH(Summary!$D$2,'Incremental Rev Req'!$O$8:$T$8,0))</f>
        <v>111028.10550104988</v>
      </c>
      <c r="D6" s="155">
        <f>INDEX('Incremental Rev Req'!$O$89:$T$103,MATCH(B6,'Incremental Rev Req'!$O$89:$O$103,0),MATCH(Summary!$D$2,'Incremental Rev Req'!$O$89:$T$89,0))</f>
        <v>48302.492514545447</v>
      </c>
      <c r="G6" s="1" t="s">
        <v>401</v>
      </c>
      <c r="H6" s="86">
        <f>IF(Summary!$D$2=2025,'Sales Allocations &amp; CCC'!D10,'Sales Allocations &amp; CCC'!D11)</f>
        <v>0.14073541835963316</v>
      </c>
      <c r="I6" s="86">
        <f>IF(Summary!$D$2=2025,'Sales Allocations &amp; CCC'!E10,'Sales Allocations &amp; CCC'!E11)</f>
        <v>0.13851677628572273</v>
      </c>
      <c r="J6" s="86">
        <f>IF(Summary!$D$2=2025,'Sales Allocations &amp; CCC'!F10,'Sales Allocations &amp; CCC'!F11)</f>
        <v>0.12314002343000453</v>
      </c>
      <c r="K6" s="86">
        <f>IF(Summary!$D$2=2025,'Sales Allocations &amp; CCC'!G10,'Sales Allocations &amp; CCC'!G11)</f>
        <v>0.17612272398724904</v>
      </c>
      <c r="L6" s="86">
        <f>IF(Summary!$D$2=2025,'Sales Allocations &amp; CCC'!H10,'Sales Allocations &amp; CCC'!H11)</f>
        <v>6.3877354985922646E-2</v>
      </c>
      <c r="M6" s="86">
        <f>IF(Summary!$D$2=2025,'Sales Allocations &amp; CCC'!I10,'Sales Allocations &amp; CCC'!I11)</f>
        <v>0.13346462848468227</v>
      </c>
      <c r="N6" s="86">
        <f>IF(Summary!$D$2=2025,'Sales Allocations &amp; CCC'!J10,'Sales Allocations &amp; CCC'!J11)</f>
        <v>0.12731378681507657</v>
      </c>
      <c r="O6" s="86">
        <f>IF(Summary!$D$2=2025,'Sales Allocations &amp; CCC'!K10,'Sales Allocations &amp; CCC'!K11)</f>
        <v>0.13012679378381697</v>
      </c>
      <c r="P6" s="86">
        <f>IF(Summary!$D$2=2025,'Sales Allocations &amp; CCC'!L10,'Sales Allocations &amp; CCC'!L11)</f>
        <v>0</v>
      </c>
      <c r="Q6" s="86">
        <f>IF(Summary!$D$2=2025,'Sales Allocations &amp; CCC'!M10,'Sales Allocations &amp; CCC'!M11)</f>
        <v>0</v>
      </c>
      <c r="R6" s="86">
        <f>IF(Summary!$D$2=2025,'Sales Allocations &amp; CCC'!N10,'Sales Allocations &amp; CCC'!N11)</f>
        <v>0.11297745746232328</v>
      </c>
      <c r="S6" s="86">
        <f>IF(Summary!$D$2=2025,'Sales Allocations &amp; CCC'!O10,'Sales Allocations &amp; CCC'!O11)</f>
        <v>0.16257569189656407</v>
      </c>
      <c r="T6" s="86">
        <f>IF(Summary!$D$2=2025,'Sales Allocations &amp; CCC'!P10,'Sales Allocations &amp; CCC'!P11)</f>
        <v>0.14009695092218111</v>
      </c>
      <c r="U6" s="86">
        <f>IF(Summary!$D$2=2025,'Sales Allocations &amp; CCC'!Q10,'Sales Allocations &amp; CCC'!Q11)</f>
        <v>0.14092538688734535</v>
      </c>
      <c r="V6" s="240">
        <f>'Sales Allocations &amp; CCC'!S3</f>
        <v>8.0000000000000004E-4</v>
      </c>
      <c r="AD6" s="260"/>
    </row>
    <row r="7" spans="1:32" ht="15.75">
      <c r="B7" s="245" t="s">
        <v>5</v>
      </c>
      <c r="C7" s="155">
        <f>INDEX('Incremental Rev Req'!$O$8:$T$23,MATCH(B7,'Incremental Rev Req'!$O$8:$O$23,0),MATCH(Summary!$D$2,'Incremental Rev Req'!$O$8:$T$8,0))</f>
        <v>2527010.8973516137</v>
      </c>
      <c r="D7" s="155">
        <f>INDEX('Incremental Rev Req'!$O$89:$T$103,MATCH(B7,'Incremental Rev Req'!$O$89:$O$103,0),MATCH(Summary!$D$2,'Incremental Rev Req'!$O$89:$T$89,0))</f>
        <v>2918791.2377433195</v>
      </c>
      <c r="G7" s="1"/>
      <c r="H7" s="303"/>
      <c r="I7" s="303"/>
      <c r="J7" s="303"/>
      <c r="K7" s="303"/>
      <c r="L7" s="303"/>
      <c r="M7" s="303"/>
      <c r="N7" s="303"/>
      <c r="O7" s="303"/>
      <c r="P7" s="303"/>
      <c r="Q7" s="303"/>
      <c r="R7" s="303"/>
      <c r="S7" s="303"/>
      <c r="T7" s="303"/>
      <c r="U7" s="303"/>
      <c r="AD7" s="233"/>
    </row>
    <row r="8" spans="1:32" ht="15.6" customHeight="1">
      <c r="B8" s="245" t="s">
        <v>98</v>
      </c>
      <c r="C8" s="155">
        <f>INDEX('Incremental Rev Req'!$O$8:$T$23,MATCH(B8,'Incremental Rev Req'!$O$8:$O$23,0),MATCH(Summary!$D$2,'Incremental Rev Req'!$O$8:$T$8,0))</f>
        <v>-246532.22998150348</v>
      </c>
      <c r="D8" s="155">
        <f>INDEX('Incremental Rev Req'!$O$89:$T$103,MATCH(B8,'Incremental Rev Req'!$O$89:$O$103,0),MATCH(Summary!$D$2,'Incremental Rev Req'!$O$89:$T$89,0))</f>
        <v>-161785.36159829696</v>
      </c>
      <c r="G8" s="88"/>
      <c r="H8" s="600" t="s">
        <v>164</v>
      </c>
      <c r="I8" s="600"/>
      <c r="J8" s="600"/>
      <c r="K8" s="600"/>
      <c r="L8" s="600"/>
      <c r="M8" s="600"/>
      <c r="N8" s="600"/>
      <c r="O8" s="600"/>
      <c r="P8" s="600"/>
      <c r="Q8" s="600"/>
      <c r="R8" s="600"/>
      <c r="S8" s="600"/>
      <c r="T8" s="600"/>
      <c r="U8" s="600"/>
      <c r="AD8" s="233"/>
    </row>
    <row r="9" spans="1:32" ht="15.75" customHeight="1">
      <c r="B9" s="245" t="s">
        <v>14</v>
      </c>
      <c r="C9" s="155">
        <f>INDEX('Incremental Rev Req'!$O$8:$T$23,MATCH(B9,'Incremental Rev Req'!$O$8:$O$23,0),MATCH(Summary!$D$2,'Incremental Rev Req'!$O$8:$T$8,0))</f>
        <v>5662.2347651632936</v>
      </c>
      <c r="D9" s="155">
        <f>INDEX('Incremental Rev Req'!$O$89:$T$103,MATCH(B9,'Incremental Rev Req'!$O$89:$O$103,0),MATCH(Summary!$D$2,'Incremental Rev Req'!$O$89:$T$89,0))</f>
        <v>3870.1470854317677</v>
      </c>
      <c r="G9" s="89" t="s">
        <v>158</v>
      </c>
      <c r="H9" s="85" t="s">
        <v>3</v>
      </c>
      <c r="I9" s="85" t="s">
        <v>392</v>
      </c>
      <c r="J9" s="85" t="s">
        <v>59</v>
      </c>
      <c r="K9" s="85" t="s">
        <v>5</v>
      </c>
      <c r="L9" s="85" t="s">
        <v>98</v>
      </c>
      <c r="M9" s="85" t="s">
        <v>14</v>
      </c>
      <c r="N9" s="85" t="s">
        <v>80</v>
      </c>
      <c r="O9" s="85" t="s">
        <v>100</v>
      </c>
      <c r="P9" s="85" t="s">
        <v>97</v>
      </c>
      <c r="Q9" s="85" t="s">
        <v>78</v>
      </c>
      <c r="R9" s="85" t="s">
        <v>10</v>
      </c>
      <c r="S9" s="85" t="s">
        <v>225</v>
      </c>
      <c r="T9" s="85" t="s">
        <v>87</v>
      </c>
      <c r="U9" s="85" t="s">
        <v>256</v>
      </c>
      <c r="AD9" s="233"/>
    </row>
    <row r="10" spans="1:32" ht="15.75">
      <c r="B10" s="245" t="s">
        <v>80</v>
      </c>
      <c r="C10" s="155">
        <f>INDEX('Incremental Rev Req'!$O$8:$T$23,MATCH(B10,'Incremental Rev Req'!$O$8:$O$23,0),MATCH(Summary!$D$2,'Incremental Rev Req'!$O$8:$T$8,0))</f>
        <v>211.66537700000001</v>
      </c>
      <c r="D10" s="155">
        <f>INDEX('Incremental Rev Req'!$O$89:$T$103,MATCH(B10,'Incremental Rev Req'!$O$89:$O$103,0),MATCH(Summary!$D$2,'Incremental Rev Req'!$O$89:$T$89,0))</f>
        <v>211.66537700000001</v>
      </c>
      <c r="G10" s="1" t="s">
        <v>401</v>
      </c>
      <c r="H10" s="90">
        <f>H6*H11</f>
        <v>88787.582642718844</v>
      </c>
      <c r="I10" s="90">
        <f>I6*I11</f>
        <v>11.106594097656853</v>
      </c>
      <c r="J10" s="90">
        <f>J6*J11</f>
        <v>13672.003512788298</v>
      </c>
      <c r="K10" s="90">
        <f>K6*K11</f>
        <v>445064.04278702877</v>
      </c>
      <c r="L10" s="90">
        <f t="shared" ref="L10:T10" si="0">L6*L11</f>
        <v>-15747.82676999962</v>
      </c>
      <c r="M10" s="90">
        <f t="shared" si="0"/>
        <v>755.70805932557107</v>
      </c>
      <c r="N10" s="90">
        <f t="shared" si="0"/>
        <v>26.947920683510812</v>
      </c>
      <c r="O10" s="90">
        <f t="shared" si="0"/>
        <v>46767.563506844861</v>
      </c>
      <c r="P10" s="90">
        <f t="shared" si="0"/>
        <v>0</v>
      </c>
      <c r="Q10" s="90">
        <f t="shared" si="0"/>
        <v>0</v>
      </c>
      <c r="R10" s="90">
        <f t="shared" si="0"/>
        <v>97466.265598600454</v>
      </c>
      <c r="S10" s="90">
        <f>S6*S11</f>
        <v>14927.161079392561</v>
      </c>
      <c r="T10" s="90">
        <f t="shared" si="0"/>
        <v>25.044275607743181</v>
      </c>
      <c r="U10" s="90">
        <f>U6*U11</f>
        <v>-26179.641461175717</v>
      </c>
      <c r="V10" s="90">
        <f>SUM(H10:U10)</f>
        <v>665575.95774591295</v>
      </c>
      <c r="W10" s="178"/>
      <c r="X10" s="182"/>
      <c r="AB10" s="99"/>
      <c r="AD10" s="233"/>
    </row>
    <row r="11" spans="1:32" ht="15.75">
      <c r="B11" s="246" t="s">
        <v>100</v>
      </c>
      <c r="C11" s="155">
        <f>INDEX('Incremental Rev Req'!$O$8:$T$23,MATCH(B11,'Incremental Rev Req'!$O$8:$O$23,0),MATCH(Summary!$D$2,'Incremental Rev Req'!$O$8:$T$8,0))</f>
        <v>359399.95251509099</v>
      </c>
      <c r="D11" s="155">
        <f>INDEX('Incremental Rev Req'!$O$89:$T$103,MATCH(B11,'Incremental Rev Req'!$O$89:$O$103,0),MATCH(Summary!$D$2,'Incremental Rev Req'!$O$89:$T$89,0))</f>
        <v>293656.52321866585</v>
      </c>
      <c r="G11" s="1" t="s">
        <v>165</v>
      </c>
      <c r="H11" s="91">
        <f>C4</f>
        <v>630882.99788069271</v>
      </c>
      <c r="I11" s="91">
        <f>C5</f>
        <v>80.182302790146849</v>
      </c>
      <c r="J11" s="91">
        <f>C6</f>
        <v>111028.10550104988</v>
      </c>
      <c r="K11" s="91">
        <f>C7</f>
        <v>2527010.8973516137</v>
      </c>
      <c r="L11" s="91">
        <f>C8</f>
        <v>-246532.22998150348</v>
      </c>
      <c r="M11" s="91">
        <f>C9</f>
        <v>5662.2347651632936</v>
      </c>
      <c r="N11" s="91">
        <f>C10</f>
        <v>211.66537700000001</v>
      </c>
      <c r="O11" s="91">
        <f>C11</f>
        <v>359399.95251509099</v>
      </c>
      <c r="P11" s="91">
        <f>C12</f>
        <v>0</v>
      </c>
      <c r="Q11" s="91">
        <f>C16</f>
        <v>0</v>
      </c>
      <c r="R11" s="91">
        <f>C14</f>
        <v>862705.42626704415</v>
      </c>
      <c r="S11" s="91">
        <f>C17</f>
        <v>91816.684925380512</v>
      </c>
      <c r="T11" s="91">
        <f>C15</f>
        <v>178.76388774267036</v>
      </c>
      <c r="U11" s="91">
        <f>C13</f>
        <v>-185769.51988149245</v>
      </c>
      <c r="V11" s="90">
        <f>SUM(H11:U11)</f>
        <v>4156675.1609105719</v>
      </c>
      <c r="W11" s="177"/>
      <c r="X11" s="182"/>
      <c r="AB11" s="99"/>
      <c r="AC11" s="99"/>
    </row>
    <row r="12" spans="1:32" ht="15.75">
      <c r="B12" s="245" t="s">
        <v>97</v>
      </c>
      <c r="C12" s="155">
        <f>INDEX('Incremental Rev Req'!$O$8:$T$23,MATCH(B12,'Incremental Rev Req'!$O$8:$O$23,0),MATCH(Summary!$D$2,'Incremental Rev Req'!$O$8:$T$8,0))</f>
        <v>0</v>
      </c>
      <c r="D12" s="155">
        <f>INDEX('Incremental Rev Req'!$O$89:$T$103,MATCH(B12,'Incremental Rev Req'!$O$89:$O$103,0),MATCH(Summary!$D$2,'Incremental Rev Req'!$O$89:$T$89,0))</f>
        <v>0</v>
      </c>
      <c r="G12" s="89" t="s">
        <v>166</v>
      </c>
      <c r="V12" s="90"/>
      <c r="X12" s="182"/>
      <c r="AC12" s="182"/>
      <c r="AD12" s="168"/>
    </row>
    <row r="13" spans="1:32" ht="15.75" customHeight="1">
      <c r="B13" s="245" t="s">
        <v>256</v>
      </c>
      <c r="C13" s="155">
        <f>INDEX('Incremental Rev Req'!$O$8:$T$23,MATCH(B13,'Incremental Rev Req'!$O$8:$O$23,0),MATCH(Summary!$D$2,'Incremental Rev Req'!$O$8:$T$8,0))</f>
        <v>-185769.51988149245</v>
      </c>
      <c r="D13" s="155">
        <f>INDEX('Incremental Rev Req'!$O$89:$T$103,MATCH(B13,'Incremental Rev Req'!$O$89:$O$103,0),MATCH(Summary!$D$2,'Incremental Rev Req'!$O$89:$T$89,0))</f>
        <v>-76941.390810613317</v>
      </c>
      <c r="G13" s="1" t="s">
        <v>401</v>
      </c>
      <c r="H13" s="90">
        <f>H6*H14</f>
        <v>88406.485854525032</v>
      </c>
      <c r="I13" s="90">
        <f>I6*I14</f>
        <v>10.580933029399501</v>
      </c>
      <c r="J13" s="90">
        <f t="shared" ref="J13:T13" si="1">J6*J14</f>
        <v>5947.9700599687449</v>
      </c>
      <c r="K13" s="90">
        <f t="shared" si="1"/>
        <v>514065.46354146767</v>
      </c>
      <c r="L13" s="90">
        <f t="shared" si="1"/>
        <v>-10334.420974340273</v>
      </c>
      <c r="M13" s="90">
        <f t="shared" si="1"/>
        <v>516.52774293822677</v>
      </c>
      <c r="N13" s="90">
        <f t="shared" si="1"/>
        <v>26.947920683510812</v>
      </c>
      <c r="O13" s="90">
        <f t="shared" si="1"/>
        <v>38212.581840147992</v>
      </c>
      <c r="P13" s="90">
        <f t="shared" si="1"/>
        <v>0</v>
      </c>
      <c r="Q13" s="90">
        <f t="shared" si="1"/>
        <v>0</v>
      </c>
      <c r="R13" s="90">
        <f t="shared" si="1"/>
        <v>97466.265598600454</v>
      </c>
      <c r="S13" s="90">
        <f>S6*S14</f>
        <v>14927.161079392561</v>
      </c>
      <c r="T13" s="90">
        <f t="shared" si="1"/>
        <v>25.044275607743181</v>
      </c>
      <c r="U13" s="90">
        <f>U6*U14</f>
        <v>-10842.995267636119</v>
      </c>
      <c r="V13" s="90">
        <f>SUM(H13:U13)</f>
        <v>738427.61260438501</v>
      </c>
      <c r="W13" s="178"/>
      <c r="X13" s="182"/>
      <c r="AC13" s="99"/>
      <c r="AD13" s="99"/>
    </row>
    <row r="14" spans="1:32" ht="15.75" customHeight="1">
      <c r="B14" s="245" t="s">
        <v>10</v>
      </c>
      <c r="C14" s="155">
        <f>INDEX('Incremental Rev Req'!$O$8:$T$23,MATCH(B14,'Incremental Rev Req'!$O$8:$O$23,0),MATCH(Summary!$D$2,'Incremental Rev Req'!$O$8:$T$8,0))</f>
        <v>862705.42626704415</v>
      </c>
      <c r="D14" s="155">
        <f>INDEX('Incremental Rev Req'!$O$89:$T$103,MATCH(B14,'Incremental Rev Req'!$O$89:$O$103,0),MATCH(Summary!$D$2,'Incremental Rev Req'!$O$89:$T$89,0))</f>
        <v>862705.42626704415</v>
      </c>
      <c r="G14" s="1" t="s">
        <v>165</v>
      </c>
      <c r="H14" s="91">
        <f>D4</f>
        <v>628175.1025076888</v>
      </c>
      <c r="I14" s="91">
        <f>D5</f>
        <v>76.387375689237032</v>
      </c>
      <c r="J14" s="91">
        <f>D6</f>
        <v>48302.492514545447</v>
      </c>
      <c r="K14" s="91">
        <f>D7</f>
        <v>2918791.2377433195</v>
      </c>
      <c r="L14" s="91">
        <f>D8</f>
        <v>-161785.36159829696</v>
      </c>
      <c r="M14" s="91">
        <f>D9</f>
        <v>3870.1470854317677</v>
      </c>
      <c r="N14" s="91">
        <f>D10</f>
        <v>211.66537700000001</v>
      </c>
      <c r="O14" s="91">
        <f>D11</f>
        <v>293656.52321866585</v>
      </c>
      <c r="P14" s="91">
        <f>D12</f>
        <v>0</v>
      </c>
      <c r="Q14" s="91">
        <f>D16</f>
        <v>0</v>
      </c>
      <c r="R14" s="91">
        <f>D14</f>
        <v>862705.42626704415</v>
      </c>
      <c r="S14" s="91">
        <f>D17</f>
        <v>91816.684925380512</v>
      </c>
      <c r="T14" s="91">
        <f>D15</f>
        <v>178.76388774267036</v>
      </c>
      <c r="U14" s="91">
        <f>D13</f>
        <v>-76941.390810613317</v>
      </c>
      <c r="V14" s="90">
        <f>SUM(H14:U14)</f>
        <v>4609057.6784935966</v>
      </c>
      <c r="W14" s="177"/>
      <c r="X14" s="182"/>
      <c r="AC14" s="99"/>
      <c r="AD14" s="333"/>
    </row>
    <row r="15" spans="1:32" ht="15.75">
      <c r="B15" s="245" t="s">
        <v>87</v>
      </c>
      <c r="C15" s="155">
        <f>INDEX('Incremental Rev Req'!$O$8:$T$23,MATCH(B15,'Incremental Rev Req'!$O$8:$O$23,0),MATCH(Summary!$D$2,'Incremental Rev Req'!$O$8:$T$8,0))</f>
        <v>178.76388774267036</v>
      </c>
      <c r="D15" s="155">
        <f>INDEX('Incremental Rev Req'!$O$89:$T$103,MATCH(B15,'Incremental Rev Req'!$O$89:$O$103,0),MATCH(Summary!$D$2,'Incremental Rev Req'!$O$89:$T$89,0))</f>
        <v>178.76388774267036</v>
      </c>
      <c r="G15" s="92"/>
      <c r="H15" s="40"/>
      <c r="I15" s="40"/>
      <c r="J15" s="40"/>
      <c r="K15" s="40"/>
      <c r="L15" s="88"/>
      <c r="AC15" s="1"/>
    </row>
    <row r="16" spans="1:32" ht="15.75">
      <c r="B16" s="245" t="s">
        <v>78</v>
      </c>
      <c r="C16" s="155">
        <f>INDEX('Incremental Rev Req'!$O$8:$T$23,MATCH(B16,'Incremental Rev Req'!$O$8:$O$23,0),MATCH(Summary!$D$2,'Incremental Rev Req'!$O$8:$T$8,0))</f>
        <v>0</v>
      </c>
      <c r="D16" s="155">
        <f>INDEX('Incremental Rev Req'!$O$89:$T$103,MATCH(B16,'Incremental Rev Req'!$O$89:$O$103,0),MATCH(Summary!$D$2,'Incremental Rev Req'!$O$89:$T$89,0))</f>
        <v>0</v>
      </c>
      <c r="V16" s="586" t="s">
        <v>262</v>
      </c>
      <c r="W16" s="587"/>
      <c r="X16" s="586" t="s">
        <v>258</v>
      </c>
      <c r="Y16" s="587"/>
      <c r="Z16" s="595" t="s">
        <v>259</v>
      </c>
      <c r="AA16" s="595" t="s">
        <v>260</v>
      </c>
      <c r="AC16" s="214"/>
      <c r="AD16" s="334"/>
      <c r="AE16" s="303"/>
      <c r="AF16" s="168"/>
    </row>
    <row r="17" spans="2:32" ht="15.75">
      <c r="B17" s="1" t="s">
        <v>225</v>
      </c>
      <c r="C17" s="155">
        <f>INDEX('Incremental Rev Req'!$O$8:$T$23,MATCH(B17,'Incremental Rev Req'!$O$8:$O$23,0),MATCH(Summary!$D$2,'Incremental Rev Req'!$O$8:$T$8,0))</f>
        <v>91816.684925380512</v>
      </c>
      <c r="D17" s="155">
        <f>INDEX('Incremental Rev Req'!$O$89:$T$103,MATCH(B17,'Incremental Rev Req'!$O$89:$O$103,0),MATCH(Summary!$D$2,'Incremental Rev Req'!$O$89:$T$89,0))</f>
        <v>91816.684925380512</v>
      </c>
      <c r="G17" s="88"/>
      <c r="H17" s="593" t="s">
        <v>254</v>
      </c>
      <c r="I17" s="593"/>
      <c r="J17" s="593"/>
      <c r="K17" s="593"/>
      <c r="L17" s="593"/>
      <c r="M17" s="593"/>
      <c r="N17" s="593"/>
      <c r="O17" s="593"/>
      <c r="P17" s="593"/>
      <c r="Q17" s="593"/>
      <c r="R17" s="593"/>
      <c r="S17" s="593"/>
      <c r="T17" s="593"/>
      <c r="U17" s="589"/>
      <c r="V17" s="588" t="s">
        <v>169</v>
      </c>
      <c r="W17" s="589"/>
      <c r="X17" s="588" t="s">
        <v>169</v>
      </c>
      <c r="Y17" s="589"/>
      <c r="Z17" s="596"/>
      <c r="AA17" s="596"/>
      <c r="AC17" s="214"/>
      <c r="AD17" s="93" t="s">
        <v>158</v>
      </c>
      <c r="AE17" s="93" t="s">
        <v>166</v>
      </c>
    </row>
    <row r="18" spans="2:32" ht="31.5">
      <c r="B18" s="2" t="s">
        <v>261</v>
      </c>
      <c r="C18" s="83">
        <f>SUM(C4:C17)</f>
        <v>4156675.1609105719</v>
      </c>
      <c r="D18" s="83">
        <f>SUM(D4:D17)</f>
        <v>4609057.6784935975</v>
      </c>
      <c r="F18" s="280"/>
      <c r="H18" s="85" t="s">
        <v>3</v>
      </c>
      <c r="I18" s="85" t="s">
        <v>392</v>
      </c>
      <c r="J18" s="85" t="s">
        <v>59</v>
      </c>
      <c r="K18" s="85" t="s">
        <v>5</v>
      </c>
      <c r="L18" s="85" t="s">
        <v>98</v>
      </c>
      <c r="M18" s="85" t="s">
        <v>14</v>
      </c>
      <c r="N18" s="85" t="s">
        <v>80</v>
      </c>
      <c r="O18" s="85" t="s">
        <v>100</v>
      </c>
      <c r="P18" s="85" t="s">
        <v>97</v>
      </c>
      <c r="Q18" s="85" t="s">
        <v>78</v>
      </c>
      <c r="R18" s="85" t="s">
        <v>10</v>
      </c>
      <c r="S18" s="85" t="s">
        <v>225</v>
      </c>
      <c r="T18" s="85" t="s">
        <v>87</v>
      </c>
      <c r="U18" s="85" t="s">
        <v>256</v>
      </c>
      <c r="V18" s="95" t="s">
        <v>113</v>
      </c>
      <c r="W18" s="512" t="s">
        <v>499</v>
      </c>
      <c r="X18" s="513" t="s">
        <v>113</v>
      </c>
      <c r="Y18" s="512" t="s">
        <v>499</v>
      </c>
      <c r="Z18" s="95" t="s">
        <v>3</v>
      </c>
      <c r="AA18" s="242" t="s">
        <v>3</v>
      </c>
      <c r="AC18" s="214" t="s">
        <v>500</v>
      </c>
      <c r="AD18" s="91">
        <f>IF(Summary!$D$2=2025,C31,C32)</f>
        <v>267983.21524182416</v>
      </c>
      <c r="AE18" s="91">
        <f>AD18</f>
        <v>267983.21524182416</v>
      </c>
      <c r="AF18" s="99"/>
    </row>
    <row r="19" spans="2:32" ht="15.75">
      <c r="C19" s="182"/>
      <c r="D19" s="182"/>
      <c r="E19" s="280"/>
      <c r="G19" s="1" t="s">
        <v>401</v>
      </c>
      <c r="H19" s="86">
        <v>1</v>
      </c>
      <c r="I19" s="86">
        <v>0</v>
      </c>
      <c r="J19" s="86">
        <v>1</v>
      </c>
      <c r="K19" s="86">
        <v>1</v>
      </c>
      <c r="L19" s="86">
        <v>1</v>
      </c>
      <c r="M19" s="86">
        <v>1</v>
      </c>
      <c r="N19" s="86">
        <v>1</v>
      </c>
      <c r="O19" s="86">
        <v>1</v>
      </c>
      <c r="P19" s="86">
        <v>1</v>
      </c>
      <c r="Q19" s="86">
        <v>1</v>
      </c>
      <c r="R19" s="86">
        <v>1</v>
      </c>
      <c r="S19" s="86">
        <v>1</v>
      </c>
      <c r="T19" s="86">
        <v>1</v>
      </c>
      <c r="U19" s="86">
        <v>0</v>
      </c>
      <c r="V19" s="514">
        <f>SUMPRODUCT(J10:T10,J19:T19)</f>
        <v>602956.90997027222</v>
      </c>
      <c r="W19" s="100">
        <f>V19-((AD18)*D31)</f>
        <v>592347.25198061718</v>
      </c>
      <c r="X19" s="514">
        <f>SUMPRODUCT(J13:T13,J19:T19)</f>
        <v>660853.54108446673</v>
      </c>
      <c r="Y19" s="515">
        <f>X19-((AE18)*D31)</f>
        <v>650243.8830948117</v>
      </c>
      <c r="Z19" s="514">
        <f>SUMPRODUCT(H10,H19)</f>
        <v>88787.582642718844</v>
      </c>
      <c r="AA19" s="243">
        <f>SUMPRODUCT(H13,H19)</f>
        <v>88406.485854525032</v>
      </c>
      <c r="AC19" s="214"/>
      <c r="AD19" s="90"/>
      <c r="AE19" s="90"/>
    </row>
    <row r="20" spans="2:32" ht="15.75">
      <c r="B20" s="2" t="s">
        <v>250</v>
      </c>
      <c r="C20" s="239">
        <f>'Sales Allocations &amp; CCC'!S3</f>
        <v>8.0000000000000004E-4</v>
      </c>
      <c r="D20" s="239">
        <f>'Sales Allocations &amp; CCC'!S3</f>
        <v>8.0000000000000004E-4</v>
      </c>
      <c r="G20" s="1" t="s">
        <v>165</v>
      </c>
      <c r="H20" s="86">
        <v>1</v>
      </c>
      <c r="I20" s="86">
        <v>0</v>
      </c>
      <c r="J20" s="86">
        <v>1</v>
      </c>
      <c r="K20" s="86">
        <v>1</v>
      </c>
      <c r="L20" s="86">
        <v>1</v>
      </c>
      <c r="M20" s="86">
        <v>1</v>
      </c>
      <c r="N20" s="86">
        <v>1</v>
      </c>
      <c r="O20" s="86">
        <v>1</v>
      </c>
      <c r="P20" s="86">
        <v>1</v>
      </c>
      <c r="Q20" s="86">
        <v>1</v>
      </c>
      <c r="R20" s="86">
        <v>1</v>
      </c>
      <c r="S20" s="86">
        <v>1</v>
      </c>
      <c r="T20" s="86">
        <v>1</v>
      </c>
      <c r="U20" s="86">
        <v>0</v>
      </c>
      <c r="V20" s="96">
        <f>SUMPRODUCT(J11:T11,J20:T20)</f>
        <v>3711481.5006085811</v>
      </c>
      <c r="W20" s="100">
        <f>V20-AD18</f>
        <v>3443498.2853667568</v>
      </c>
      <c r="X20" s="96">
        <f>SUMPRODUCT(J14:T14,J20:T20)</f>
        <v>4057747.5794208329</v>
      </c>
      <c r="Y20" s="97">
        <f>X20-AE18</f>
        <v>3789764.3641790086</v>
      </c>
      <c r="Z20" s="96">
        <f>SUMPRODUCT(H11,H20)</f>
        <v>630882.99788069271</v>
      </c>
      <c r="AA20" s="243">
        <f>SUMPRODUCT(H14,H20)</f>
        <v>628175.1025076888</v>
      </c>
      <c r="AC20" s="214"/>
      <c r="AD20" s="304"/>
      <c r="AE20" s="304"/>
      <c r="AF20" s="1"/>
    </row>
    <row r="21" spans="2:32" ht="15.75">
      <c r="B21" s="2"/>
      <c r="C21" s="239"/>
      <c r="D21" s="239"/>
      <c r="G21" s="1"/>
      <c r="H21" s="303"/>
      <c r="I21" s="303"/>
      <c r="J21" s="303"/>
      <c r="K21" s="303"/>
      <c r="L21" s="303"/>
      <c r="M21" s="303"/>
      <c r="N21" s="303"/>
      <c r="O21" s="303"/>
      <c r="P21" s="303"/>
      <c r="Q21" s="303"/>
      <c r="R21" s="303"/>
      <c r="S21" s="303"/>
      <c r="T21" s="303"/>
      <c r="U21" s="100"/>
      <c r="V21" s="100"/>
      <c r="W21" s="100"/>
      <c r="X21" s="100"/>
      <c r="Y21" s="100"/>
      <c r="Z21" s="100"/>
      <c r="AB21" s="214"/>
      <c r="AC21" s="304"/>
      <c r="AD21" s="304"/>
      <c r="AE21" s="1"/>
    </row>
    <row r="22" spans="2:32" ht="15.75">
      <c r="B22" s="2"/>
      <c r="C22" s="239"/>
      <c r="D22" s="239"/>
      <c r="G22" s="590" t="s">
        <v>172</v>
      </c>
      <c r="H22" s="591"/>
      <c r="I22" s="591"/>
      <c r="J22" s="591"/>
      <c r="K22" s="591"/>
      <c r="L22" s="592"/>
      <c r="P22" s="1"/>
      <c r="Q22" s="590" t="s">
        <v>173</v>
      </c>
      <c r="R22" s="591"/>
      <c r="S22" s="591"/>
      <c r="T22" s="591"/>
      <c r="U22" s="591"/>
      <c r="V22" s="591"/>
      <c r="W22" s="592"/>
      <c r="X22" s="106"/>
      <c r="AB22" s="94"/>
      <c r="AC22" s="91"/>
      <c r="AD22" s="91"/>
      <c r="AE22" s="169"/>
    </row>
    <row r="23" spans="2:32" ht="47.25">
      <c r="C23" s="597" t="s">
        <v>450</v>
      </c>
      <c r="D23" s="598"/>
      <c r="E23" s="599"/>
      <c r="F23" s="84"/>
      <c r="G23" s="84" t="str">
        <f>Summary!D2&amp;" SALES DETERMINANTS BUNDLED"</f>
        <v>2029 SALES DETERMINANTS BUNDLED</v>
      </c>
      <c r="H23" s="84" t="str">
        <f>Summary!I2&amp;" Avg Rates"&amp;"(sales adj.)"</f>
        <v>6/1/25 Avg Rates(sales adj.)</v>
      </c>
      <c r="I23" s="84" t="s">
        <v>174</v>
      </c>
      <c r="J23" s="84" t="s">
        <v>175</v>
      </c>
      <c r="K23" s="84" t="s">
        <v>176</v>
      </c>
      <c r="L23" s="84" t="s">
        <v>177</v>
      </c>
      <c r="Q23" s="1"/>
      <c r="R23" s="84" t="str">
        <f>C24</f>
        <v>SYSTEM NET</v>
      </c>
      <c r="S23" s="410" t="str">
        <f>H23</f>
        <v>6/1/25 Avg Rates(sales adj.)</v>
      </c>
      <c r="T23" s="84" t="s">
        <v>174</v>
      </c>
      <c r="U23" s="84" t="s">
        <v>175</v>
      </c>
      <c r="V23" s="84" t="s">
        <v>176</v>
      </c>
      <c r="W23" s="84" t="s">
        <v>177</v>
      </c>
      <c r="X23" s="106"/>
      <c r="AB23" s="53"/>
      <c r="AC23" s="459">
        <f>'SAR and RAR'!AC23</f>
        <v>45689</v>
      </c>
      <c r="AD23" s="459">
        <f>'SAR and RAR'!AD23</f>
        <v>45809</v>
      </c>
      <c r="AE23" s="459">
        <f>'SAR and RAR'!AE23</f>
        <v>45689</v>
      </c>
      <c r="AF23" s="459">
        <f>'SAR and RAR'!AF23</f>
        <v>45809</v>
      </c>
    </row>
    <row r="24" spans="2:32" ht="31.5">
      <c r="B24" s="1"/>
      <c r="C24" s="84" t="s">
        <v>339</v>
      </c>
      <c r="D24" s="84" t="s">
        <v>340</v>
      </c>
      <c r="E24" s="84" t="s">
        <v>341</v>
      </c>
      <c r="F24" s="107" t="s">
        <v>401</v>
      </c>
      <c r="G24" s="241">
        <f>IF(Summary!$D$2=2025,E25,E38)</f>
        <v>518117.44963314955</v>
      </c>
      <c r="H24" s="510">
        <f>IF(Summary!$I$8="N",AF26,AD26)</f>
        <v>37.375</v>
      </c>
      <c r="I24" s="462">
        <f>IF(Summary!$I$8="Y",((SUM($J10:$L10,$Q10:$R10,$T10)-($AD$18*$D$31))/IF(Summary!$D$2=2025,$C25,$C38)*100)+(SUM($M10:$P10,$S10)/IF(Summary!$D$2=2025,$D25,$D38)*100)+($H10/IF(Summary!$D$2=2025,$E25,$E38)*100),((SUM($J10:$K10,$Q10:$R10,$T10)-($AD$18*$D$31))/IF(Summary!$D$2=2025,$C25,$C38)*100)+(SUM($M10:$P10,$S10)/IF(Summary!$D$2=2025,$D25,$D38)*100)+($H10/IF(Summary!$D$2=2025,$E25,$E38)*100))</f>
        <v>41.353532516807078</v>
      </c>
      <c r="J24" s="462">
        <f>IF(Summary!$I$8="Y",((SUM($J13:$L13,$Q13:$R13,$T13)-($AE$18*$D$31))/IF(Summary!$D$2=2025,$C25,$C38)*100)+(SUM($M13:$P13,$S13)/IF(Summary!$D$2=2025,$D25,$D38)*100)+($H13/IF(Summary!$D$2=2025,$E25,$E38)*100),((SUM($J13:$K13,$Q13:$R13,$T13)-($AE$18*$D$31))/IF(Summary!$D$2=2025,$C25,$C38)*100)+(SUM($M13:$P13,$S13)/IF(Summary!$D$2=2025,$D25,$D38)*100)+($H13/IF(Summary!$D$2=2025,$E25,$E38)*100))</f>
        <v>43.656195954373288</v>
      </c>
      <c r="K24" s="108">
        <f>I24/H24-1</f>
        <v>0.10644903055002208</v>
      </c>
      <c r="L24" s="108">
        <f>J24/H24-1</f>
        <v>0.16805875463206132</v>
      </c>
      <c r="O24" s="285"/>
      <c r="Q24" s="107" t="s">
        <v>401</v>
      </c>
      <c r="R24" s="98">
        <f>IF(Summary!$D$2=2025,C25,C38)</f>
        <v>2442100.4570462531</v>
      </c>
      <c r="S24" s="463">
        <v>36.161311285846644</v>
      </c>
      <c r="T24" s="462">
        <f>I24+($U10/(IF(Summary!$D$2=2025,$C25,$C38)-IF(Summary!$D$2=2025,$E25,$E38))*100)+($I10/(IF(Summary!$D$2=2025,$C25,$C38)-IF(Summary!$D$2=2025,$E25,$E38))*100)</f>
        <v>39.993409544501674</v>
      </c>
      <c r="U24" s="462">
        <f>J24+($U13/(IF(Summary!$D$2=2025,$C25,$C38)-IF(Summary!$D$2=2025,$E25,$E38))*100)+($I13/(IF(Summary!$D$2=2025,$C25,$C38)-IF(Summary!$D$2=2025,$E25,$E38))*100)</f>
        <v>43.093175683774767</v>
      </c>
      <c r="V24" s="108">
        <f>T24/S24-1</f>
        <v>0.10597232573684057</v>
      </c>
      <c r="W24" s="108">
        <f>U24/S24-1</f>
        <v>0.1916928383247325</v>
      </c>
      <c r="X24" s="106"/>
      <c r="Y24" s="1"/>
      <c r="Z24" s="1"/>
      <c r="AB24" s="53"/>
      <c r="AC24" s="584" t="s">
        <v>461</v>
      </c>
      <c r="AD24" s="584"/>
      <c r="AE24" s="584" t="s">
        <v>460</v>
      </c>
      <c r="AF24" s="584"/>
    </row>
    <row r="25" spans="2:32" ht="15.75">
      <c r="B25" s="107" t="s">
        <v>401</v>
      </c>
      <c r="C25" s="241">
        <v>2428289.2411020878</v>
      </c>
      <c r="D25" s="241">
        <v>2465317.8217447591</v>
      </c>
      <c r="E25" s="4">
        <v>502540.6164810523</v>
      </c>
      <c r="F25" s="107" t="s">
        <v>165</v>
      </c>
      <c r="G25" s="241">
        <f>IF(Summary!$D$2=2025,E26,E39)</f>
        <v>3218717.0926473769</v>
      </c>
      <c r="H25" s="510">
        <f>IF(Summary!$I$8="N",AF27,AD27)</f>
        <v>35.430999999999997</v>
      </c>
      <c r="I25" s="462">
        <f>IF(Summary!$I$8="Y",((SUM($J11:$L11,$Q11:$R11,$T11)-$AD$18)/IF(Summary!$D$2=2025,$C26,$C39)*100)+(SUM($M11:$P11,$S11)/IF(Summary!$D$2=2025,$D26,$D39)*100)+($H11/IF(Summary!$D$2=2025,$E26,$E39)*100),((SUM($J11:$K11,$Q11:$R11,$T11)-$AD$18)/IF(Summary!$D$2=2025,$C26,$C39)*100)+(SUM($M11:$P11,$S11)/IF(Summary!$D$2=2025,$D26,$D39)*100)+($H11/IF(Summary!$D$2=2025,$E26,$E39)*100))</f>
        <v>39.079654180243196</v>
      </c>
      <c r="J25" s="462">
        <f>IF(Summary!$I$8="Y",((SUM($J14:$L14,$Q14:$R14,$T14)-$AE$18)/IF(Summary!$D$2=2025,$C26,$C39)*100)+(SUM($M14:$P14,$S14)/IF(Summary!$D$2=2025,$D26,$D39)*100)+($H14/IF(Summary!$D$2=2025,$E26,$E39)*100),((SUM($J14:$K14,$Q14:$R14,$T14)-$AE$18)/IF(Summary!$D$2=2025,$C26,$C39)*100)+(SUM($M14:$P14,$S14)/IF(Summary!$D$2=2025,$D26,$D39)*100)+($H14/IF(Summary!$D$2=2025,$E26,$E39)*100))</f>
        <v>41.022652121412222</v>
      </c>
      <c r="K25" s="108">
        <f>I25/H25-1</f>
        <v>0.10297914764593719</v>
      </c>
      <c r="L25" s="108">
        <f>J25/H25-1</f>
        <v>0.1578180723494178</v>
      </c>
      <c r="Q25" s="107" t="s">
        <v>165</v>
      </c>
      <c r="R25" s="98">
        <f>IF(Summary!$D$2=2025,C26,C39)</f>
        <v>17431428.835748378</v>
      </c>
      <c r="S25" s="463">
        <v>34.280275336408138</v>
      </c>
      <c r="T25" s="462">
        <f>I25+($U11/(IF(Summary!$D$2=2025,$C26,$C39)-IF(Summary!$D$2=2025,$E26,$E39))*100)+($I11/(IF(Summary!$D$2=2025,$C26,$C39)-IF(Summary!$D$2=2025,$E26,$E39))*100)</f>
        <v>37.773152360357642</v>
      </c>
      <c r="U25" s="462">
        <f>J25+($U14/(IF(Summary!$D$2=2025,$C26,$C39)-IF(Summary!$D$2=2025,$E26,$E39))*100)+($I14/(IF(Summary!$D$2=2025,$C26,$C39)-IF(Summary!$D$2=2025,$E26,$E39))*100)</f>
        <v>40.481833417534439</v>
      </c>
      <c r="V25" s="108">
        <f>T25/S25-1</f>
        <v>0.10189174356600961</v>
      </c>
      <c r="W25" s="108">
        <f>U25/S25-1</f>
        <v>0.18090747580839284</v>
      </c>
      <c r="X25" s="110"/>
      <c r="Y25" s="103"/>
      <c r="Z25" s="103"/>
      <c r="AB25" s="53" t="s">
        <v>341</v>
      </c>
      <c r="AC25" s="53"/>
      <c r="AD25" s="53"/>
      <c r="AE25" s="53"/>
      <c r="AF25" s="53"/>
    </row>
    <row r="26" spans="2:32" ht="15.75">
      <c r="B26" s="107" t="s">
        <v>165</v>
      </c>
      <c r="C26" s="241">
        <v>18290445.652985182</v>
      </c>
      <c r="D26" s="241">
        <v>20272867.503732543</v>
      </c>
      <c r="E26" s="4">
        <v>3877834.6865865677</v>
      </c>
      <c r="F26" s="20"/>
      <c r="S26" s="1"/>
      <c r="T26" s="1"/>
      <c r="U26" s="104"/>
      <c r="V26" s="105"/>
      <c r="W26" s="104"/>
      <c r="X26" s="106"/>
      <c r="Y26" s="105"/>
      <c r="Z26" s="105"/>
      <c r="AB26" s="53" t="s">
        <v>401</v>
      </c>
      <c r="AC26" s="461">
        <v>36.731000000000002</v>
      </c>
      <c r="AD26" s="424">
        <v>37.375</v>
      </c>
      <c r="AE26" s="424">
        <v>37.459000000000003</v>
      </c>
      <c r="AF26" s="424">
        <v>38.103000000000002</v>
      </c>
    </row>
    <row r="27" spans="2:32" ht="15.75">
      <c r="B27" s="283"/>
      <c r="C27" s="2"/>
      <c r="E27" s="20"/>
      <c r="F27" s="1"/>
      <c r="H27" s="4"/>
      <c r="I27" s="4"/>
      <c r="J27" s="4"/>
      <c r="Q27" s="1"/>
      <c r="R27" s="1"/>
      <c r="S27" s="1"/>
      <c r="T27" s="1"/>
      <c r="U27" s="1"/>
      <c r="V27" s="1"/>
      <c r="W27" s="1"/>
      <c r="X27" s="110"/>
      <c r="Y27" s="106"/>
      <c r="Z27" s="106"/>
      <c r="AB27" s="53" t="s">
        <v>165</v>
      </c>
      <c r="AC27" s="461">
        <f>'SAR and RAR'!AC27</f>
        <v>34.025999999999996</v>
      </c>
      <c r="AD27" s="461">
        <f>'SAR and RAR'!AD27</f>
        <v>35.430999999999997</v>
      </c>
      <c r="AE27" s="461">
        <f>'SAR and RAR'!AE27</f>
        <v>35.373999999999995</v>
      </c>
      <c r="AF27" s="461">
        <f>'SAR and RAR'!AF27</f>
        <v>36.778999999999996</v>
      </c>
    </row>
    <row r="28" spans="2:32" ht="15.75">
      <c r="D28" s="1"/>
      <c r="E28" s="1"/>
      <c r="F28" s="1"/>
      <c r="G28" s="286"/>
      <c r="H28" s="4"/>
      <c r="I28" s="4"/>
      <c r="J28" s="4"/>
      <c r="K28" s="20"/>
      <c r="L28" s="20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10"/>
      <c r="Y28" s="106"/>
      <c r="Z28" s="106"/>
      <c r="AD28" s="1"/>
      <c r="AE28" s="1"/>
    </row>
    <row r="29" spans="2:32" ht="15.75">
      <c r="B29" s="443" t="s">
        <v>498</v>
      </c>
      <c r="C29" s="3"/>
      <c r="D29" s="1"/>
      <c r="E29" s="1"/>
      <c r="G29" s="84"/>
      <c r="H29" s="307"/>
      <c r="I29" s="307"/>
      <c r="J29" s="307"/>
      <c r="K29" s="314"/>
      <c r="L29" s="314"/>
      <c r="M29" s="1"/>
      <c r="N29" s="1"/>
      <c r="O29" s="1"/>
      <c r="P29" s="1"/>
      <c r="Q29" s="107"/>
      <c r="R29" s="1"/>
      <c r="S29" s="1"/>
      <c r="T29" s="1"/>
      <c r="U29" s="1"/>
      <c r="V29" s="1"/>
      <c r="W29" s="1"/>
      <c r="X29" s="106"/>
      <c r="Y29" s="106"/>
      <c r="Z29" s="106"/>
      <c r="AB29" s="109"/>
    </row>
    <row r="30" spans="2:32" ht="15.75">
      <c r="B30" s="20"/>
      <c r="C30" s="447" t="s">
        <v>151</v>
      </c>
      <c r="D30" s="449" t="s">
        <v>502</v>
      </c>
      <c r="G30" s="84"/>
      <c r="H30" s="307"/>
      <c r="I30" s="307"/>
      <c r="J30" s="307"/>
      <c r="K30" s="314"/>
      <c r="L30" s="314"/>
      <c r="M30" s="308"/>
      <c r="N30" s="308"/>
      <c r="O30" s="1"/>
      <c r="P30" s="1"/>
      <c r="Q30" s="107"/>
      <c r="R30" s="1"/>
      <c r="S30" s="1"/>
      <c r="T30" s="1"/>
      <c r="U30" s="1"/>
      <c r="V30" s="1"/>
      <c r="W30" s="1"/>
      <c r="X30" s="103"/>
      <c r="Y30" s="110"/>
      <c r="Z30" s="110"/>
    </row>
    <row r="31" spans="2:32" ht="15.75">
      <c r="B31" s="20" t="s">
        <v>497</v>
      </c>
      <c r="C31" s="445">
        <v>267983.21524182416</v>
      </c>
      <c r="D31" s="446">
        <v>3.9590755637740283E-2</v>
      </c>
      <c r="G31" s="241"/>
      <c r="H31" s="307"/>
      <c r="I31" s="307"/>
      <c r="J31" s="307"/>
      <c r="K31" s="314"/>
      <c r="L31" s="314"/>
      <c r="M31" s="308"/>
      <c r="N31" s="308"/>
      <c r="O31" s="1"/>
      <c r="P31" s="1"/>
      <c r="Q31" s="1"/>
      <c r="R31" s="1"/>
      <c r="S31" s="1"/>
      <c r="T31" s="1"/>
      <c r="U31" s="1"/>
      <c r="V31" s="1"/>
      <c r="W31" s="1"/>
      <c r="X31" s="106"/>
      <c r="Y31" s="106"/>
      <c r="Z31" s="106"/>
    </row>
    <row r="32" spans="2:32" ht="15.75">
      <c r="B32" s="444" t="s">
        <v>178</v>
      </c>
      <c r="C32" s="445">
        <f>C31</f>
        <v>267983.21524182416</v>
      </c>
      <c r="D32" s="446">
        <f>D31</f>
        <v>3.9590755637740283E-2</v>
      </c>
      <c r="G32" s="241"/>
      <c r="H32" s="4"/>
      <c r="I32" s="5"/>
      <c r="J32" s="20"/>
      <c r="K32" s="20"/>
      <c r="L32" s="20"/>
      <c r="M32" s="1"/>
      <c r="N32" s="1"/>
      <c r="O32" s="1"/>
      <c r="P32" s="1"/>
      <c r="Q32" s="1"/>
      <c r="R32" s="2"/>
      <c r="S32" s="2"/>
      <c r="T32" s="2"/>
      <c r="U32" s="2"/>
      <c r="V32" s="2"/>
      <c r="W32" s="2"/>
      <c r="X32" s="2"/>
      <c r="Y32" s="110"/>
      <c r="Z32" s="110"/>
      <c r="AA32" s="110"/>
    </row>
    <row r="33" spans="2:28" ht="15.75">
      <c r="B33" s="1"/>
      <c r="C33" s="91"/>
      <c r="D33" s="48"/>
      <c r="F33" s="1"/>
      <c r="G33" s="3"/>
      <c r="H33" s="4"/>
      <c r="I33" s="5"/>
      <c r="J33" s="20"/>
      <c r="K33" s="20"/>
      <c r="L33" s="20"/>
      <c r="M33" s="1"/>
      <c r="N33" s="1"/>
      <c r="O33" s="1"/>
      <c r="P33" s="1"/>
      <c r="Q33" s="1"/>
      <c r="R33" s="2"/>
      <c r="S33" s="2"/>
      <c r="T33" s="2"/>
      <c r="U33" s="2"/>
      <c r="V33" s="2"/>
      <c r="W33" s="2"/>
      <c r="X33" s="2"/>
      <c r="Y33" s="110"/>
      <c r="Z33" s="110"/>
      <c r="AA33" s="110"/>
      <c r="AB33" s="106"/>
    </row>
    <row r="34" spans="2:28" ht="15.75">
      <c r="D34" s="1"/>
      <c r="E34" s="1"/>
      <c r="F34" s="20"/>
      <c r="G34" s="3"/>
      <c r="H34" s="4"/>
      <c r="I34" s="5"/>
      <c r="J34" s="20"/>
      <c r="K34" s="20"/>
      <c r="L34" s="20"/>
      <c r="M34" s="1"/>
      <c r="N34" s="1"/>
      <c r="O34" s="1"/>
      <c r="P34" s="1"/>
      <c r="Q34" s="1"/>
      <c r="R34" s="2"/>
      <c r="S34" s="2"/>
      <c r="T34" s="2"/>
      <c r="U34" s="2"/>
      <c r="V34" s="2"/>
      <c r="W34" s="2"/>
      <c r="X34" s="2"/>
      <c r="Y34" s="106"/>
      <c r="Z34" s="106"/>
      <c r="AA34" s="110"/>
      <c r="AB34" s="106"/>
    </row>
    <row r="35" spans="2:28" ht="15.75">
      <c r="D35" s="1"/>
      <c r="E35" s="20"/>
      <c r="F35" s="1"/>
      <c r="G35" s="3"/>
      <c r="H35" s="4"/>
      <c r="I35" s="306"/>
      <c r="J35" s="20"/>
      <c r="K35" s="20"/>
      <c r="L35" s="20"/>
      <c r="M35" s="1"/>
      <c r="N35" s="1"/>
      <c r="O35" s="1"/>
      <c r="P35" s="1"/>
      <c r="Q35" s="1"/>
      <c r="R35" s="2"/>
      <c r="S35" s="2"/>
      <c r="T35" s="2"/>
      <c r="U35" s="2"/>
      <c r="V35" s="2"/>
      <c r="W35" s="2"/>
      <c r="X35" s="2"/>
      <c r="Y35" s="103"/>
      <c r="Z35" s="103"/>
      <c r="AA35" s="110"/>
      <c r="AB35" s="106"/>
    </row>
    <row r="36" spans="2:28" ht="15.75">
      <c r="C36" s="597" t="s">
        <v>530</v>
      </c>
      <c r="D36" s="598"/>
      <c r="E36" s="599"/>
      <c r="F36" s="107"/>
      <c r="G36" s="3"/>
      <c r="H36" s="4"/>
      <c r="I36" s="306"/>
      <c r="J36" s="20"/>
      <c r="K36" s="20"/>
      <c r="L36" s="20"/>
      <c r="M36" s="1"/>
      <c r="N36" s="1"/>
      <c r="O36" s="1"/>
      <c r="P36" s="1"/>
      <c r="Q36" s="1"/>
      <c r="R36" s="2"/>
      <c r="S36" s="2"/>
      <c r="T36" s="2"/>
      <c r="U36" s="2"/>
      <c r="V36" s="2"/>
      <c r="W36" s="2"/>
      <c r="X36" s="2"/>
      <c r="Y36" s="106"/>
      <c r="Z36" s="106"/>
      <c r="AA36" s="110"/>
      <c r="AB36" s="110"/>
    </row>
    <row r="37" spans="2:28" ht="31.5">
      <c r="B37" s="1"/>
      <c r="C37" s="84" t="s">
        <v>339</v>
      </c>
      <c r="D37" s="84" t="s">
        <v>340</v>
      </c>
      <c r="E37" s="84" t="s">
        <v>341</v>
      </c>
      <c r="F37" s="107"/>
      <c r="G37" s="20"/>
      <c r="H37" s="20"/>
      <c r="I37" s="20"/>
      <c r="J37" s="20"/>
      <c r="K37" s="20"/>
      <c r="L37" s="20"/>
      <c r="M37" s="1"/>
      <c r="N37" s="1"/>
      <c r="O37" s="1"/>
      <c r="P37" s="1"/>
      <c r="Q37" s="1"/>
      <c r="R37" s="2"/>
      <c r="S37" s="2"/>
      <c r="T37" s="2"/>
      <c r="U37" s="2"/>
      <c r="V37" s="2"/>
      <c r="W37" s="2"/>
      <c r="X37" s="2"/>
      <c r="Y37" s="2"/>
      <c r="Z37" s="105"/>
      <c r="AA37" s="105"/>
      <c r="AB37" s="106"/>
    </row>
    <row r="38" spans="2:28" ht="15.75">
      <c r="B38" s="107" t="s">
        <v>401</v>
      </c>
      <c r="C38" s="241">
        <v>2442100.4570462531</v>
      </c>
      <c r="D38" s="241">
        <v>2479597.9733180017</v>
      </c>
      <c r="E38" s="4">
        <v>518117.44963314955</v>
      </c>
      <c r="F38" s="1"/>
      <c r="G38" s="20"/>
      <c r="H38" s="20"/>
      <c r="I38" s="20"/>
      <c r="J38" s="20"/>
      <c r="K38" s="20"/>
      <c r="L38" s="20"/>
      <c r="M38" s="1"/>
      <c r="N38" s="1"/>
      <c r="O38" s="1"/>
      <c r="P38" s="1"/>
      <c r="Q38" s="1"/>
      <c r="R38" s="2"/>
      <c r="S38" s="2"/>
      <c r="T38" s="2"/>
      <c r="U38" s="2"/>
      <c r="V38" s="2"/>
      <c r="W38" s="2"/>
      <c r="X38" s="2"/>
      <c r="Y38" s="2"/>
      <c r="Z38" s="105"/>
      <c r="AA38" s="110"/>
      <c r="AB38" s="105"/>
    </row>
    <row r="39" spans="2:28" ht="15.75">
      <c r="B39" s="107" t="s">
        <v>165</v>
      </c>
      <c r="C39" s="241">
        <v>17431428.835748378</v>
      </c>
      <c r="D39" s="241">
        <v>19476455.217814039</v>
      </c>
      <c r="E39" s="4">
        <v>3218717.0926473769</v>
      </c>
      <c r="F39" s="1"/>
      <c r="G39" s="20"/>
      <c r="H39" s="20"/>
      <c r="I39" s="20"/>
      <c r="J39" s="20"/>
      <c r="K39" s="20"/>
      <c r="L39" s="20"/>
      <c r="M39" s="1"/>
      <c r="N39" s="1"/>
      <c r="O39" s="1"/>
      <c r="P39" s="1"/>
      <c r="Q39" s="1"/>
      <c r="R39" s="2"/>
      <c r="S39" s="2"/>
      <c r="T39" s="2"/>
      <c r="U39" s="2"/>
      <c r="V39" s="2"/>
      <c r="W39" s="2"/>
      <c r="X39" s="2"/>
      <c r="Y39" s="2"/>
      <c r="Z39" s="110"/>
      <c r="AA39" s="106"/>
      <c r="AB39" s="106"/>
    </row>
    <row r="40" spans="2:28" ht="15.75">
      <c r="B40" s="2"/>
      <c r="C40" s="2"/>
      <c r="E40" s="1"/>
      <c r="F40" s="1"/>
      <c r="G40" s="20"/>
      <c r="H40" s="20"/>
      <c r="I40" s="20"/>
      <c r="J40" s="20"/>
      <c r="K40" s="20"/>
      <c r="L40" s="20"/>
      <c r="M40" s="1"/>
      <c r="N40" s="1"/>
      <c r="O40" s="1"/>
      <c r="P40" s="1"/>
      <c r="Q40" s="1"/>
      <c r="R40" s="2"/>
      <c r="S40" s="2"/>
      <c r="T40" s="2"/>
      <c r="U40" s="2"/>
      <c r="V40" s="2"/>
      <c r="W40" s="2"/>
      <c r="X40" s="2"/>
      <c r="Y40" s="2"/>
      <c r="Z40" s="110"/>
      <c r="AA40" s="110"/>
      <c r="AB40" s="106"/>
    </row>
    <row r="41" spans="2:28" ht="15.75">
      <c r="B41" s="2"/>
      <c r="C41" s="2"/>
      <c r="E41" s="1"/>
      <c r="F41" s="1"/>
      <c r="G41" s="20"/>
      <c r="H41" s="20"/>
      <c r="I41" s="20"/>
      <c r="J41" s="20"/>
      <c r="K41" s="20"/>
      <c r="L41" s="20"/>
      <c r="M41" s="1"/>
      <c r="N41" s="1"/>
      <c r="O41" s="1"/>
      <c r="P41" s="1"/>
      <c r="Q41" s="1"/>
      <c r="R41" s="2"/>
      <c r="S41" s="2"/>
      <c r="T41" s="2"/>
      <c r="U41" s="2"/>
      <c r="V41" s="2"/>
      <c r="W41" s="2"/>
      <c r="X41" s="2"/>
      <c r="Y41" s="2"/>
      <c r="Z41" s="110"/>
      <c r="AA41" s="110"/>
      <c r="AB41" s="110"/>
    </row>
    <row r="42" spans="2:28" ht="15.75">
      <c r="B42" s="2"/>
      <c r="C42" s="2"/>
      <c r="E42" s="1"/>
      <c r="F42" s="1"/>
      <c r="G42" s="20"/>
      <c r="H42" s="20"/>
      <c r="I42" s="20"/>
      <c r="J42" s="20"/>
      <c r="K42" s="20"/>
      <c r="L42" s="20"/>
      <c r="M42" s="1"/>
      <c r="N42" s="1"/>
      <c r="O42" s="1"/>
      <c r="P42" s="1"/>
      <c r="Q42" s="1"/>
      <c r="R42" s="1"/>
      <c r="S42" s="1"/>
      <c r="T42" s="1"/>
      <c r="U42" s="104"/>
      <c r="V42" s="105"/>
      <c r="W42" s="105"/>
      <c r="X42" s="105"/>
      <c r="Y42" s="2"/>
      <c r="Z42" s="110"/>
      <c r="AA42" s="106"/>
      <c r="AB42" s="106"/>
    </row>
    <row r="43" spans="2:28" ht="15.75">
      <c r="B43" s="2"/>
      <c r="C43" s="2"/>
      <c r="D43" s="1"/>
      <c r="E43" s="1"/>
      <c r="F43" s="1"/>
      <c r="G43" s="20"/>
      <c r="H43" s="20"/>
      <c r="I43" s="20"/>
      <c r="J43" s="20"/>
      <c r="K43" s="20"/>
      <c r="L43" s="20"/>
      <c r="M43" s="1"/>
      <c r="N43" s="1"/>
      <c r="O43" s="1"/>
      <c r="P43" s="1"/>
      <c r="Q43" s="1"/>
      <c r="R43" s="1"/>
      <c r="S43" s="1"/>
      <c r="T43" s="1"/>
      <c r="U43" s="104"/>
      <c r="V43" s="585"/>
      <c r="W43" s="585"/>
      <c r="X43" s="105"/>
      <c r="Y43" s="2"/>
      <c r="Z43" s="110"/>
      <c r="AA43" s="103"/>
      <c r="AB43" s="106"/>
    </row>
    <row r="44" spans="2:28" ht="15.75">
      <c r="B44" s="2"/>
      <c r="C44" s="2"/>
      <c r="D44" s="1"/>
      <c r="E44" s="1"/>
      <c r="F44" s="1"/>
      <c r="G44" s="20"/>
      <c r="H44" s="20"/>
      <c r="I44" s="20"/>
      <c r="J44" s="20"/>
      <c r="K44" s="20"/>
      <c r="L44" s="20"/>
      <c r="M44" s="1"/>
      <c r="N44" s="1"/>
      <c r="O44" s="1"/>
      <c r="P44" s="1"/>
      <c r="Q44" s="1"/>
      <c r="R44" s="1"/>
      <c r="S44" s="1"/>
      <c r="T44" s="1"/>
      <c r="U44" s="104"/>
      <c r="V44" s="105"/>
      <c r="W44" s="104"/>
      <c r="X44" s="110"/>
      <c r="Y44" s="2"/>
      <c r="Z44" s="110"/>
      <c r="AA44" s="106"/>
      <c r="AB44" s="103"/>
    </row>
    <row r="45" spans="2:28" ht="15.75">
      <c r="B45" s="2"/>
      <c r="C45" s="2"/>
      <c r="D45" s="1"/>
      <c r="E45" s="1"/>
      <c r="F45" s="1"/>
      <c r="G45" s="20"/>
      <c r="H45" s="20"/>
      <c r="I45" s="20"/>
      <c r="J45" s="20"/>
      <c r="K45" s="20"/>
      <c r="L45" s="20"/>
      <c r="M45" s="1"/>
      <c r="N45" s="1"/>
      <c r="O45" s="1"/>
      <c r="P45" s="1"/>
      <c r="Q45" s="1"/>
      <c r="R45" s="1"/>
      <c r="S45" s="1"/>
      <c r="T45" s="1"/>
      <c r="U45" s="104"/>
      <c r="V45" s="105"/>
      <c r="W45" s="104"/>
      <c r="X45" s="110"/>
      <c r="Y45" s="2"/>
      <c r="Z45" s="103"/>
      <c r="AA45" s="105"/>
      <c r="AB45" s="106"/>
    </row>
    <row r="46" spans="2:28" ht="15.75">
      <c r="B46" s="2"/>
      <c r="C46" s="2"/>
      <c r="D46" s="1"/>
      <c r="E46" s="1"/>
      <c r="F46" s="1"/>
      <c r="G46" s="20"/>
      <c r="H46" s="20"/>
      <c r="I46" s="20"/>
      <c r="J46" s="20"/>
      <c r="K46" s="20"/>
      <c r="L46" s="20"/>
      <c r="M46" s="1"/>
      <c r="N46" s="1"/>
      <c r="O46" s="1"/>
      <c r="P46" s="1"/>
      <c r="Q46" s="1"/>
      <c r="R46" s="1"/>
      <c r="S46" s="1"/>
      <c r="T46" s="1"/>
      <c r="U46" s="104"/>
      <c r="V46" s="105"/>
      <c r="W46" s="105"/>
      <c r="X46" s="103"/>
      <c r="Y46" s="2"/>
      <c r="Z46" s="110"/>
      <c r="AA46" s="105"/>
      <c r="AB46" s="105"/>
    </row>
    <row r="47" spans="2:28" ht="15.75">
      <c r="B47" s="2"/>
      <c r="C47" s="2"/>
      <c r="D47" s="1"/>
      <c r="E47" s="1"/>
      <c r="F47" s="1"/>
      <c r="G47" s="20"/>
      <c r="H47" s="20"/>
      <c r="I47" s="20"/>
      <c r="J47" s="20"/>
      <c r="K47" s="20"/>
      <c r="L47" s="20"/>
      <c r="M47" s="1"/>
      <c r="N47" s="1"/>
      <c r="O47" s="1"/>
      <c r="P47" s="1"/>
      <c r="Q47" s="1"/>
      <c r="R47" s="1"/>
      <c r="S47" s="1"/>
      <c r="T47" s="1"/>
      <c r="U47" s="104"/>
      <c r="V47" s="105"/>
      <c r="W47" s="104"/>
      <c r="X47" s="110"/>
      <c r="Y47" s="105"/>
      <c r="Z47" s="105"/>
      <c r="AA47" s="106"/>
      <c r="AB47" s="105"/>
    </row>
    <row r="48" spans="2:28" ht="15.75">
      <c r="B48" s="2"/>
      <c r="C48" s="2"/>
      <c r="D48" s="1"/>
      <c r="E48" s="1"/>
      <c r="F48" s="1"/>
      <c r="G48" s="20"/>
      <c r="H48" s="20"/>
      <c r="I48" s="20"/>
      <c r="J48" s="20"/>
      <c r="K48" s="20"/>
      <c r="L48" s="20"/>
      <c r="M48" s="1"/>
      <c r="N48" s="1"/>
      <c r="O48" s="1"/>
      <c r="P48" s="1"/>
      <c r="Q48" s="1"/>
      <c r="R48" s="1"/>
      <c r="S48" s="1"/>
      <c r="T48" s="1"/>
      <c r="U48" s="104"/>
      <c r="V48" s="105"/>
      <c r="W48" s="105"/>
      <c r="X48" s="105"/>
      <c r="Y48" s="105"/>
      <c r="Z48" s="105"/>
      <c r="AA48" s="106"/>
      <c r="AB48" s="106"/>
    </row>
    <row r="49" spans="2:28" ht="15.75">
      <c r="B49" s="2"/>
      <c r="C49" s="2"/>
      <c r="D49" s="1"/>
      <c r="E49" s="1"/>
      <c r="F49" s="1"/>
      <c r="G49" s="20"/>
      <c r="H49" s="20"/>
      <c r="I49" s="20"/>
      <c r="J49" s="20"/>
      <c r="K49" s="20"/>
      <c r="L49" s="20"/>
      <c r="M49" s="1"/>
      <c r="N49" s="1"/>
      <c r="O49" s="1"/>
      <c r="P49" s="1"/>
      <c r="Q49" s="1"/>
      <c r="R49" s="1"/>
      <c r="S49" s="1"/>
      <c r="T49" s="1"/>
      <c r="U49" s="104"/>
      <c r="V49" s="585"/>
      <c r="W49" s="585"/>
      <c r="X49" s="105"/>
      <c r="Y49" s="110"/>
      <c r="Z49" s="110"/>
      <c r="AA49" s="106"/>
      <c r="AB49" s="106"/>
    </row>
    <row r="50" spans="2:28" ht="15.75">
      <c r="B50" s="2"/>
      <c r="C50" s="2"/>
      <c r="D50" s="1"/>
      <c r="E50" s="1"/>
      <c r="F50" s="1"/>
      <c r="G50" s="20"/>
      <c r="H50" s="20"/>
      <c r="I50" s="20"/>
      <c r="J50" s="20"/>
      <c r="K50" s="20"/>
      <c r="L50" s="20"/>
      <c r="M50" s="1"/>
      <c r="N50" s="1"/>
      <c r="O50" s="1"/>
      <c r="P50" s="1"/>
      <c r="Q50" s="1"/>
      <c r="R50" s="1"/>
      <c r="S50" s="1"/>
      <c r="T50" s="1"/>
      <c r="U50" s="104"/>
      <c r="V50" s="105"/>
      <c r="W50" s="104"/>
      <c r="X50" s="110"/>
      <c r="Y50" s="110"/>
      <c r="Z50" s="110"/>
      <c r="AA50" s="110"/>
      <c r="AB50" s="106"/>
    </row>
    <row r="51" spans="2:28" ht="15.75">
      <c r="B51" s="2"/>
      <c r="C51" s="2"/>
      <c r="D51" s="1"/>
      <c r="E51" s="1"/>
      <c r="F51" s="1"/>
      <c r="G51" s="20"/>
      <c r="H51" s="20"/>
      <c r="I51" s="20"/>
      <c r="J51" s="20"/>
      <c r="K51" s="20"/>
      <c r="L51" s="20"/>
      <c r="M51" s="1"/>
      <c r="N51" s="1"/>
      <c r="O51" s="1"/>
      <c r="P51" s="1"/>
      <c r="Q51" s="1"/>
      <c r="R51" s="1"/>
      <c r="S51" s="1"/>
      <c r="T51" s="1"/>
      <c r="U51" s="104"/>
      <c r="V51" s="105"/>
      <c r="W51" s="104"/>
      <c r="X51" s="110"/>
      <c r="Y51" s="103"/>
      <c r="Z51" s="103"/>
      <c r="AA51" s="110"/>
      <c r="AB51" s="106"/>
    </row>
    <row r="52" spans="2:28" ht="15.75">
      <c r="B52" s="2"/>
      <c r="C52" s="2"/>
      <c r="D52" s="1"/>
      <c r="E52" s="1"/>
      <c r="F52" s="1"/>
      <c r="G52" s="20"/>
      <c r="H52" s="20"/>
      <c r="I52" s="20"/>
      <c r="J52" s="20"/>
      <c r="K52" s="20"/>
      <c r="L52" s="20"/>
      <c r="M52" s="1"/>
      <c r="N52" s="1"/>
      <c r="O52" s="1"/>
      <c r="P52" s="1"/>
      <c r="Q52" s="1"/>
      <c r="R52" s="1"/>
      <c r="S52" s="1"/>
      <c r="T52" s="1"/>
      <c r="U52" s="104"/>
      <c r="V52" s="105"/>
      <c r="W52" s="104"/>
      <c r="X52" s="106"/>
      <c r="Y52" s="110"/>
      <c r="Z52" s="110"/>
      <c r="AA52" s="106"/>
      <c r="AB52" s="106"/>
    </row>
    <row r="53" spans="2:28" ht="15.75">
      <c r="B53" s="2"/>
      <c r="C53" s="2"/>
      <c r="D53" s="1"/>
      <c r="E53" s="1"/>
      <c r="F53" s="1"/>
      <c r="G53" s="20"/>
      <c r="H53" s="20"/>
      <c r="I53" s="20"/>
      <c r="J53" s="20"/>
      <c r="K53" s="20"/>
      <c r="L53" s="20"/>
      <c r="M53" s="1"/>
      <c r="N53" s="1"/>
      <c r="O53" s="1"/>
      <c r="P53" s="1"/>
      <c r="Q53" s="1"/>
      <c r="R53" s="1"/>
      <c r="S53" s="1"/>
      <c r="T53" s="1"/>
      <c r="U53" s="104"/>
      <c r="V53" s="105"/>
      <c r="W53" s="104"/>
      <c r="X53" s="110"/>
      <c r="Y53" s="105"/>
      <c r="Z53" s="105"/>
      <c r="AA53" s="103"/>
      <c r="AB53" s="106"/>
    </row>
    <row r="54" spans="2:28" ht="15.75">
      <c r="B54" s="2"/>
      <c r="C54" s="2"/>
      <c r="D54" s="1"/>
      <c r="E54" s="1"/>
      <c r="F54" s="1"/>
      <c r="G54" s="20"/>
      <c r="H54" s="20"/>
      <c r="I54" s="20"/>
      <c r="J54" s="20"/>
      <c r="K54" s="20"/>
      <c r="L54" s="20"/>
      <c r="M54" s="1"/>
      <c r="N54" s="1"/>
      <c r="O54" s="1"/>
      <c r="P54" s="1"/>
      <c r="Q54" s="1"/>
      <c r="R54" s="1"/>
      <c r="S54" s="1"/>
      <c r="T54" s="1"/>
      <c r="U54" s="104"/>
      <c r="V54" s="105"/>
      <c r="W54" s="104"/>
      <c r="X54" s="110"/>
      <c r="Y54" s="105"/>
      <c r="Z54" s="105"/>
      <c r="AA54" s="106"/>
      <c r="AB54" s="103"/>
    </row>
    <row r="55" spans="2:28" ht="15.75">
      <c r="B55" s="2"/>
      <c r="C55" s="2"/>
      <c r="D55" s="1"/>
      <c r="E55" s="1"/>
      <c r="F55" s="1"/>
      <c r="G55" s="20"/>
      <c r="H55" s="20"/>
      <c r="I55" s="20"/>
      <c r="J55" s="20"/>
      <c r="K55" s="20"/>
      <c r="L55" s="20"/>
      <c r="M55" s="1"/>
      <c r="N55" s="1"/>
      <c r="O55" s="1"/>
      <c r="P55" s="1"/>
      <c r="Q55" s="1"/>
      <c r="R55" s="1"/>
      <c r="S55" s="1"/>
      <c r="T55" s="1"/>
      <c r="U55" s="104"/>
      <c r="V55" s="105"/>
      <c r="W55" s="105"/>
      <c r="X55" s="103"/>
      <c r="Y55" s="110"/>
      <c r="Z55" s="110"/>
      <c r="AA55" s="105"/>
      <c r="AB55" s="106"/>
    </row>
    <row r="56" spans="2:28" ht="15.75">
      <c r="B56" s="1"/>
      <c r="C56" s="1"/>
      <c r="D56" s="1"/>
      <c r="E56" s="1"/>
      <c r="F56" s="1"/>
      <c r="G56" s="20"/>
      <c r="H56" s="20"/>
      <c r="I56" s="20"/>
      <c r="J56" s="20"/>
      <c r="K56" s="20"/>
      <c r="L56" s="20"/>
      <c r="M56" s="1"/>
      <c r="N56" s="1"/>
      <c r="O56" s="1"/>
      <c r="P56" s="1"/>
      <c r="Q56" s="1"/>
      <c r="R56" s="1"/>
      <c r="S56" s="1"/>
      <c r="T56" s="1"/>
      <c r="U56" s="104"/>
      <c r="V56" s="105"/>
      <c r="W56" s="104"/>
      <c r="X56" s="106"/>
      <c r="Y56" s="110"/>
      <c r="Z56" s="110"/>
      <c r="AA56" s="105"/>
      <c r="AB56" s="105"/>
    </row>
    <row r="57" spans="2:28" ht="15.75">
      <c r="B57" s="1"/>
      <c r="C57" s="1"/>
      <c r="D57" s="1"/>
      <c r="E57" s="1"/>
      <c r="F57" s="1"/>
      <c r="G57" s="20"/>
      <c r="H57" s="20"/>
      <c r="I57" s="20"/>
      <c r="J57" s="20"/>
      <c r="K57" s="20"/>
      <c r="L57" s="20"/>
      <c r="M57" s="1"/>
      <c r="N57" s="1"/>
      <c r="O57" s="1"/>
      <c r="P57" s="1"/>
      <c r="Q57" s="1"/>
      <c r="R57" s="1"/>
      <c r="S57" s="1"/>
      <c r="T57" s="1"/>
      <c r="U57" s="104"/>
      <c r="V57" s="105"/>
      <c r="W57" s="105"/>
      <c r="X57" s="105"/>
      <c r="Y57" s="106"/>
      <c r="Z57" s="106"/>
      <c r="AA57" s="110"/>
      <c r="AB57" s="105"/>
    </row>
    <row r="58" spans="2:28" ht="15.75">
      <c r="B58" s="1"/>
      <c r="C58" s="1"/>
      <c r="D58" s="1"/>
      <c r="E58" s="1"/>
      <c r="F58" s="1"/>
      <c r="G58" s="20"/>
      <c r="H58" s="20"/>
      <c r="I58" s="20"/>
      <c r="J58" s="20"/>
      <c r="K58" s="20"/>
      <c r="L58" s="20"/>
      <c r="M58" s="1"/>
      <c r="N58" s="1"/>
      <c r="O58" s="1"/>
      <c r="P58" s="1"/>
      <c r="Q58" s="1"/>
      <c r="R58" s="1"/>
      <c r="S58" s="1"/>
      <c r="T58" s="1"/>
      <c r="U58" s="104"/>
      <c r="V58" s="105"/>
      <c r="W58" s="105"/>
      <c r="X58" s="105"/>
      <c r="Y58" s="110"/>
      <c r="Z58" s="110"/>
      <c r="AA58" s="110"/>
      <c r="AB58" s="106"/>
    </row>
    <row r="59" spans="2:28" ht="15.75">
      <c r="B59" s="1"/>
      <c r="C59" s="1"/>
      <c r="D59" s="1"/>
      <c r="E59" s="1"/>
      <c r="F59" s="1"/>
      <c r="G59" s="20"/>
      <c r="H59" s="20"/>
      <c r="I59" s="20"/>
      <c r="J59" s="20"/>
      <c r="K59" s="20"/>
      <c r="L59" s="20"/>
      <c r="M59" s="1"/>
      <c r="N59" s="1"/>
      <c r="O59" s="1"/>
      <c r="P59" s="1"/>
      <c r="Q59" s="1"/>
      <c r="R59" s="1"/>
      <c r="S59" s="1"/>
      <c r="T59" s="1"/>
      <c r="U59" s="104"/>
      <c r="V59" s="105"/>
      <c r="W59" s="104"/>
      <c r="X59" s="106"/>
      <c r="Y59" s="110"/>
      <c r="Z59" s="110"/>
      <c r="AA59" s="103"/>
      <c r="AB59" s="106"/>
    </row>
    <row r="60" spans="2:28" ht="15.75">
      <c r="B60" s="1"/>
      <c r="C60" s="1"/>
      <c r="D60" s="1"/>
      <c r="E60" s="1"/>
      <c r="F60" s="1"/>
      <c r="G60" s="20"/>
      <c r="H60" s="20"/>
      <c r="I60" s="20"/>
      <c r="J60" s="20"/>
      <c r="K60" s="20"/>
      <c r="L60" s="20"/>
      <c r="M60" s="1"/>
      <c r="N60" s="1"/>
      <c r="O60" s="1"/>
      <c r="P60" s="1"/>
      <c r="Q60" s="1"/>
      <c r="R60" s="1"/>
      <c r="S60" s="1"/>
      <c r="T60" s="1"/>
      <c r="U60" s="104"/>
      <c r="V60" s="105"/>
      <c r="W60" s="105"/>
      <c r="X60" s="103"/>
      <c r="Y60" s="103"/>
      <c r="Z60" s="103"/>
      <c r="AA60" s="110"/>
      <c r="AB60" s="103"/>
    </row>
    <row r="61" spans="2:28" ht="15.75">
      <c r="B61" s="1"/>
      <c r="C61" s="1"/>
      <c r="D61" s="1"/>
      <c r="E61" s="1"/>
      <c r="F61" s="1"/>
      <c r="G61" s="20"/>
      <c r="H61" s="20"/>
      <c r="I61" s="20"/>
      <c r="J61" s="20"/>
      <c r="K61" s="20"/>
      <c r="L61" s="20"/>
      <c r="M61" s="1"/>
      <c r="N61" s="1"/>
      <c r="O61" s="1"/>
      <c r="P61" s="1"/>
      <c r="Q61" s="1"/>
      <c r="R61" s="1"/>
      <c r="S61" s="1"/>
      <c r="T61" s="1"/>
      <c r="U61" s="104"/>
      <c r="V61" s="585"/>
      <c r="W61" s="585"/>
      <c r="X61" s="105"/>
      <c r="Y61" s="106"/>
      <c r="Z61" s="106"/>
      <c r="AA61" s="105"/>
      <c r="AB61" s="106"/>
    </row>
    <row r="62" spans="2:28" ht="15.75">
      <c r="B62" s="1"/>
      <c r="C62" s="1"/>
      <c r="D62" s="1"/>
      <c r="E62" s="1"/>
      <c r="F62" s="1"/>
      <c r="G62" s="20"/>
      <c r="H62" s="20"/>
      <c r="I62" s="20"/>
      <c r="J62" s="20"/>
      <c r="K62" s="20"/>
      <c r="L62" s="20"/>
      <c r="M62" s="1"/>
      <c r="N62" s="1"/>
      <c r="O62" s="1"/>
      <c r="P62" s="1"/>
      <c r="Q62" s="1"/>
      <c r="R62" s="1"/>
      <c r="S62" s="1"/>
      <c r="T62" s="1"/>
      <c r="U62" s="104"/>
      <c r="V62" s="105"/>
      <c r="W62" s="105"/>
      <c r="X62" s="105"/>
      <c r="Y62" s="105"/>
      <c r="Z62" s="105"/>
      <c r="AA62" s="105"/>
      <c r="AB62" s="105"/>
    </row>
    <row r="63" spans="2:28" ht="15.75">
      <c r="B63" s="1"/>
      <c r="C63" s="1"/>
      <c r="D63" s="1"/>
      <c r="E63" s="1"/>
      <c r="F63" s="1"/>
      <c r="G63" s="20"/>
      <c r="H63" s="20"/>
      <c r="I63" s="20"/>
      <c r="J63" s="20"/>
      <c r="K63" s="20"/>
      <c r="L63" s="20"/>
      <c r="M63" s="1"/>
      <c r="N63" s="1"/>
      <c r="O63" s="1"/>
      <c r="P63" s="1"/>
      <c r="Q63" s="1"/>
      <c r="R63" s="1"/>
      <c r="S63" s="1"/>
      <c r="T63" s="1"/>
      <c r="U63" s="104"/>
      <c r="V63" s="105"/>
      <c r="W63" s="104"/>
      <c r="X63" s="105"/>
      <c r="Y63" s="105"/>
      <c r="Z63" s="105"/>
      <c r="AA63" s="110"/>
      <c r="AB63" s="105"/>
    </row>
    <row r="64" spans="2:28" ht="15.75">
      <c r="B64" s="1"/>
      <c r="C64" s="1"/>
      <c r="D64" s="1"/>
      <c r="E64" s="1"/>
      <c r="F64" s="1"/>
      <c r="G64" s="20"/>
      <c r="H64" s="20"/>
      <c r="I64" s="20"/>
      <c r="J64" s="20"/>
      <c r="K64" s="20"/>
      <c r="L64" s="20"/>
      <c r="M64" s="1"/>
      <c r="N64" s="1"/>
      <c r="O64" s="1"/>
      <c r="P64" s="1"/>
      <c r="Q64" s="1"/>
      <c r="R64" s="1"/>
      <c r="S64" s="1"/>
      <c r="T64" s="1"/>
      <c r="U64" s="104"/>
      <c r="V64" s="105"/>
      <c r="W64" s="105"/>
      <c r="X64" s="103"/>
      <c r="Y64" s="106"/>
      <c r="Z64" s="106"/>
      <c r="AA64" s="110"/>
      <c r="AB64" s="106"/>
    </row>
    <row r="65" spans="2:28" ht="15.75">
      <c r="B65" s="1"/>
      <c r="C65" s="1"/>
      <c r="D65" s="1"/>
      <c r="E65" s="1"/>
      <c r="F65" s="1"/>
      <c r="G65" s="20"/>
      <c r="H65" s="20"/>
      <c r="I65" s="20"/>
      <c r="J65" s="20"/>
      <c r="K65" s="20"/>
      <c r="L65" s="20"/>
      <c r="M65" s="1"/>
      <c r="N65" s="1"/>
      <c r="O65" s="1"/>
      <c r="P65" s="1"/>
      <c r="Q65" s="1"/>
      <c r="R65" s="1"/>
      <c r="S65" s="1"/>
      <c r="T65" s="1"/>
      <c r="U65" s="104"/>
      <c r="V65" s="105"/>
      <c r="W65" s="104"/>
      <c r="X65" s="105"/>
      <c r="Y65" s="103"/>
      <c r="Z65" s="103"/>
      <c r="AA65" s="110"/>
      <c r="AB65" s="106"/>
    </row>
    <row r="66" spans="2:28" ht="15.75">
      <c r="B66" s="1"/>
      <c r="C66" s="1"/>
      <c r="D66" s="1"/>
      <c r="E66" s="1"/>
      <c r="F66" s="1"/>
      <c r="G66" s="20"/>
      <c r="H66" s="20"/>
      <c r="I66" s="20"/>
      <c r="J66" s="20"/>
      <c r="K66" s="20"/>
      <c r="L66" s="20"/>
      <c r="M66" s="1"/>
      <c r="N66" s="1"/>
      <c r="O66" s="1"/>
      <c r="P66" s="1"/>
      <c r="Q66" s="1"/>
      <c r="R66" s="1"/>
      <c r="S66" s="1"/>
      <c r="T66" s="1"/>
      <c r="U66" s="104"/>
      <c r="V66" s="105"/>
      <c r="W66" s="105"/>
      <c r="X66" s="105"/>
      <c r="Y66" s="105"/>
      <c r="Z66" s="105"/>
      <c r="AA66" s="110"/>
      <c r="AB66" s="106"/>
    </row>
    <row r="67" spans="2:28" ht="15.75">
      <c r="B67" s="1"/>
      <c r="C67" s="1"/>
      <c r="D67" s="1"/>
      <c r="E67" s="1"/>
      <c r="F67" s="1"/>
      <c r="G67" s="20"/>
      <c r="H67" s="20"/>
      <c r="I67" s="20"/>
      <c r="J67" s="20"/>
      <c r="K67" s="20"/>
      <c r="L67" s="20"/>
      <c r="M67" s="1"/>
      <c r="N67" s="1"/>
      <c r="O67" s="1"/>
      <c r="P67" s="1"/>
      <c r="Q67" s="1"/>
      <c r="R67" s="1"/>
      <c r="S67" s="1"/>
      <c r="T67" s="1"/>
      <c r="U67" s="104"/>
      <c r="V67" s="105"/>
      <c r="W67" s="105"/>
      <c r="X67" s="103"/>
      <c r="Y67" s="105"/>
      <c r="Z67" s="105"/>
      <c r="AA67" s="110"/>
      <c r="AB67" s="110"/>
    </row>
    <row r="68" spans="2:28" ht="15.75">
      <c r="B68" s="1"/>
      <c r="C68" s="1"/>
      <c r="D68" s="1"/>
      <c r="E68" s="1"/>
      <c r="F68" s="1"/>
      <c r="G68" s="20"/>
      <c r="H68" s="20"/>
      <c r="I68" s="20"/>
      <c r="J68" s="20"/>
      <c r="K68" s="20"/>
      <c r="L68" s="20"/>
      <c r="M68" s="1"/>
      <c r="N68" s="1"/>
      <c r="O68" s="1"/>
      <c r="P68" s="1"/>
      <c r="Q68" s="1"/>
      <c r="R68" s="1"/>
      <c r="S68" s="1"/>
      <c r="T68" s="1"/>
      <c r="U68" s="104"/>
      <c r="V68" s="585"/>
      <c r="W68" s="585"/>
      <c r="X68" s="106"/>
      <c r="Y68" s="105"/>
      <c r="Z68" s="105"/>
      <c r="AA68" s="103"/>
      <c r="AB68" s="110"/>
    </row>
    <row r="69" spans="2:28" ht="15.75">
      <c r="B69" s="1"/>
      <c r="C69" s="1"/>
      <c r="D69" s="1"/>
      <c r="E69" s="1"/>
      <c r="F69" s="1"/>
      <c r="G69" s="20"/>
      <c r="H69" s="20"/>
      <c r="I69" s="20"/>
      <c r="J69" s="20"/>
      <c r="K69" s="20"/>
      <c r="L69" s="20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03"/>
      <c r="Z69" s="103"/>
      <c r="AA69" s="110"/>
      <c r="AB69" s="103"/>
    </row>
    <row r="70" spans="2:28" ht="15.75">
      <c r="B70" s="1"/>
      <c r="C70" s="1"/>
      <c r="D70" s="1"/>
      <c r="E70" s="1"/>
      <c r="F70" s="1"/>
      <c r="Y70" s="105"/>
      <c r="Z70" s="105"/>
      <c r="AA70" s="105"/>
      <c r="AB70" s="106"/>
    </row>
    <row r="71" spans="2:28" ht="15.75">
      <c r="B71" s="1"/>
      <c r="C71" s="1"/>
      <c r="D71" s="1"/>
      <c r="E71" s="1"/>
      <c r="F71" s="1"/>
      <c r="Y71" s="105"/>
      <c r="Z71" s="105"/>
      <c r="AA71" s="105"/>
      <c r="AB71" s="105"/>
    </row>
    <row r="72" spans="2:28" ht="15.75">
      <c r="B72" s="1"/>
      <c r="C72" s="1"/>
      <c r="D72" s="1"/>
      <c r="E72" s="1"/>
      <c r="F72" s="1"/>
      <c r="Y72" s="103"/>
      <c r="Z72" s="103"/>
      <c r="AA72" s="106"/>
      <c r="AB72" s="105"/>
    </row>
    <row r="73" spans="2:28" ht="15.75">
      <c r="B73" s="1"/>
      <c r="C73" s="1"/>
      <c r="D73" s="1"/>
      <c r="E73" s="1"/>
      <c r="F73" s="1"/>
      <c r="Y73" s="106"/>
      <c r="Z73" s="106"/>
      <c r="AA73" s="103"/>
      <c r="AB73" s="106"/>
    </row>
    <row r="74" spans="2:28" ht="15.75">
      <c r="B74" s="1"/>
      <c r="C74" s="1"/>
      <c r="D74" s="1"/>
      <c r="E74" s="1"/>
      <c r="F74" s="1"/>
      <c r="Y74" s="1"/>
      <c r="Z74" s="1"/>
      <c r="AA74" s="105"/>
      <c r="AB74" s="103"/>
    </row>
    <row r="75" spans="2:28" ht="15.75">
      <c r="B75" s="1"/>
      <c r="C75" s="1"/>
      <c r="D75" s="1"/>
      <c r="E75" s="1"/>
      <c r="AA75" s="105"/>
      <c r="AB75" s="105"/>
    </row>
    <row r="76" spans="2:28" ht="15.75">
      <c r="B76" s="1"/>
      <c r="C76" s="1"/>
      <c r="D76" s="1"/>
      <c r="AA76" s="105"/>
      <c r="AB76" s="105"/>
    </row>
    <row r="77" spans="2:28" ht="15.75">
      <c r="B77" s="1"/>
      <c r="C77" s="1"/>
      <c r="D77" s="1"/>
      <c r="AA77" s="103"/>
      <c r="AB77" s="105"/>
    </row>
    <row r="78" spans="2:28" ht="15.75">
      <c r="B78" s="1"/>
      <c r="C78" s="1"/>
      <c r="D78" s="1"/>
      <c r="AA78" s="105"/>
      <c r="AB78" s="103"/>
    </row>
    <row r="79" spans="2:28" ht="15.75">
      <c r="B79" s="1"/>
      <c r="C79" s="1"/>
      <c r="D79" s="1"/>
      <c r="AA79" s="105"/>
      <c r="AB79" s="105"/>
    </row>
    <row r="80" spans="2:28" ht="15.75">
      <c r="B80" s="1"/>
      <c r="C80" s="1"/>
      <c r="D80" s="1"/>
      <c r="AA80" s="103"/>
      <c r="AB80" s="105"/>
    </row>
    <row r="81" spans="2:28" ht="15.75">
      <c r="B81" s="1"/>
      <c r="C81" s="1"/>
      <c r="D81" s="1"/>
      <c r="AA81" s="106"/>
      <c r="AB81" s="103"/>
    </row>
    <row r="82" spans="2:28" ht="15.75">
      <c r="B82" s="1"/>
      <c r="C82" s="1"/>
      <c r="D82" s="1"/>
      <c r="AA82" s="1"/>
      <c r="AB82" s="106"/>
    </row>
    <row r="83" spans="2:28" ht="15.75">
      <c r="B83" s="1"/>
      <c r="C83" s="1"/>
      <c r="D83" s="1"/>
      <c r="AB83" s="1"/>
    </row>
    <row r="84" spans="2:28" ht="15.75">
      <c r="B84" s="1"/>
      <c r="C84" s="1"/>
      <c r="D84" s="1"/>
    </row>
  </sheetData>
  <autoFilter ref="A1:AE83" xr:uid="{D2A1145E-5B3D-42A6-AF79-8205DD936E88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hiddenButton="1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  <filterColumn colId="25" showButton="0"/>
    <filterColumn colId="26" showButton="0"/>
    <filterColumn colId="27" showButton="0"/>
    <filterColumn colId="28" showButton="0"/>
  </autoFilter>
  <mergeCells count="20">
    <mergeCell ref="C36:E36"/>
    <mergeCell ref="H17:U17"/>
    <mergeCell ref="C2:D2"/>
    <mergeCell ref="V16:W16"/>
    <mergeCell ref="H4:U4"/>
    <mergeCell ref="H8:U8"/>
    <mergeCell ref="C23:E23"/>
    <mergeCell ref="AC24:AD24"/>
    <mergeCell ref="AE24:AF24"/>
    <mergeCell ref="V43:W43"/>
    <mergeCell ref="V49:W49"/>
    <mergeCell ref="G22:L22"/>
    <mergeCell ref="Q22:W22"/>
    <mergeCell ref="V61:W61"/>
    <mergeCell ref="V68:W68"/>
    <mergeCell ref="X17:Y17"/>
    <mergeCell ref="AA16:AA17"/>
    <mergeCell ref="X16:Y16"/>
    <mergeCell ref="Z16:Z17"/>
    <mergeCell ref="V17:W17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4290B4-6E4B-4488-BF2A-C7F7FCF27B6C}">
  <sheetPr codeName="Sheet4"/>
  <dimension ref="A1:AE97"/>
  <sheetViews>
    <sheetView workbookViewId="0"/>
  </sheetViews>
  <sheetFormatPr defaultColWidth="8.85546875" defaultRowHeight="15"/>
  <cols>
    <col min="1" max="1" width="7.42578125" style="6" customWidth="1"/>
    <col min="2" max="2" width="18.7109375" style="6" customWidth="1"/>
    <col min="3" max="3" width="13" style="6" customWidth="1"/>
    <col min="4" max="4" width="13.42578125" style="6" bestFit="1" customWidth="1"/>
    <col min="5" max="5" width="18" style="6" bestFit="1" customWidth="1"/>
    <col min="6" max="6" width="13.5703125" style="6" customWidth="1"/>
    <col min="7" max="7" width="15" style="6" bestFit="1" customWidth="1"/>
    <col min="8" max="8" width="14.140625" style="6" customWidth="1"/>
    <col min="9" max="9" width="15" style="6" customWidth="1"/>
    <col min="10" max="10" width="14" style="6" customWidth="1"/>
    <col min="11" max="11" width="15" style="6" bestFit="1" customWidth="1"/>
    <col min="12" max="12" width="13" style="6" customWidth="1"/>
    <col min="13" max="14" width="14.140625" style="6" customWidth="1"/>
    <col min="15" max="15" width="14.5703125" style="6" customWidth="1"/>
    <col min="16" max="16" width="20.140625" style="6" customWidth="1"/>
    <col min="17" max="17" width="13" style="6" customWidth="1"/>
    <col min="18" max="18" width="13.5703125" style="6" customWidth="1"/>
    <col min="19" max="19" width="14" style="6" customWidth="1"/>
    <col min="20" max="20" width="15.5703125" style="6" customWidth="1"/>
    <col min="21" max="21" width="16.5703125" style="6" customWidth="1"/>
    <col min="22" max="23" width="14" style="6" customWidth="1"/>
    <col min="24" max="24" width="29.140625" style="6" bestFit="1" customWidth="1"/>
    <col min="25" max="25" width="14.85546875" style="6" bestFit="1" customWidth="1"/>
    <col min="26" max="26" width="13.5703125" style="6" bestFit="1" customWidth="1"/>
    <col min="27" max="27" width="13.5703125" style="6" customWidth="1"/>
    <col min="28" max="28" width="8.85546875" style="6"/>
    <col min="29" max="31" width="20.5703125" style="6" customWidth="1"/>
    <col min="32" max="16384" width="8.85546875" style="6"/>
  </cols>
  <sheetData>
    <row r="1" spans="1:31" s="172" customFormat="1" ht="25.5" customHeight="1">
      <c r="A1" s="398"/>
      <c r="B1" s="399"/>
      <c r="C1" s="399"/>
      <c r="D1" s="399"/>
      <c r="E1" s="399"/>
      <c r="F1" s="399"/>
      <c r="G1" s="399"/>
      <c r="H1" s="399"/>
      <c r="I1" s="399"/>
      <c r="J1" s="399"/>
      <c r="K1" s="399"/>
      <c r="L1" s="399"/>
      <c r="M1" s="399"/>
      <c r="N1" s="399"/>
      <c r="O1" s="399"/>
      <c r="P1" s="399"/>
      <c r="Q1" s="399"/>
      <c r="R1" s="399"/>
      <c r="S1" s="399"/>
      <c r="T1" s="399"/>
      <c r="U1" s="399"/>
      <c r="V1" s="399"/>
      <c r="W1" s="399"/>
      <c r="X1" s="399"/>
      <c r="Y1" s="399"/>
      <c r="Z1" s="399"/>
      <c r="AA1" s="399"/>
      <c r="AB1" s="399"/>
      <c r="AC1" s="399"/>
    </row>
    <row r="2" spans="1:31">
      <c r="A2" s="88"/>
      <c r="B2" s="609"/>
      <c r="C2" s="609"/>
      <c r="D2" s="609"/>
      <c r="F2" s="88"/>
    </row>
    <row r="3" spans="1:31">
      <c r="E3" s="610" t="s">
        <v>212</v>
      </c>
      <c r="F3" s="610"/>
      <c r="G3" s="610"/>
      <c r="H3" s="610"/>
      <c r="I3" s="610"/>
      <c r="J3" s="610"/>
      <c r="K3" s="610"/>
      <c r="M3" s="111"/>
      <c r="N3" s="111"/>
      <c r="O3" s="111"/>
      <c r="P3" s="610" t="s">
        <v>213</v>
      </c>
      <c r="Q3" s="610"/>
      <c r="R3" s="610"/>
      <c r="S3" s="610"/>
      <c r="T3" s="610"/>
      <c r="U3" s="610"/>
      <c r="V3" s="610"/>
    </row>
    <row r="4" spans="1:31" ht="15.75" customHeight="1">
      <c r="D4" s="149"/>
      <c r="E4" s="149">
        <v>2025</v>
      </c>
      <c r="F4" s="179">
        <v>45809</v>
      </c>
      <c r="G4" s="179">
        <f>F4</f>
        <v>45809</v>
      </c>
      <c r="H4" s="112" t="s">
        <v>178</v>
      </c>
      <c r="I4" s="112" t="s">
        <v>178</v>
      </c>
      <c r="J4" s="112" t="s">
        <v>178</v>
      </c>
      <c r="K4" s="112" t="s">
        <v>178</v>
      </c>
      <c r="L4" s="20"/>
      <c r="O4" s="1"/>
      <c r="P4" s="149">
        <v>2025</v>
      </c>
      <c r="Q4" s="179">
        <f>F4</f>
        <v>45809</v>
      </c>
      <c r="R4" s="179">
        <f>F4</f>
        <v>45809</v>
      </c>
      <c r="S4" s="112" t="s">
        <v>178</v>
      </c>
      <c r="T4" s="112" t="s">
        <v>178</v>
      </c>
      <c r="U4" s="112" t="s">
        <v>178</v>
      </c>
      <c r="V4" s="112" t="s">
        <v>178</v>
      </c>
    </row>
    <row r="5" spans="1:31" ht="30.75" customHeight="1">
      <c r="E5" s="112" t="s">
        <v>266</v>
      </c>
      <c r="F5" s="112" t="s">
        <v>179</v>
      </c>
      <c r="G5" s="112" t="s">
        <v>180</v>
      </c>
      <c r="H5" s="112" t="s">
        <v>181</v>
      </c>
      <c r="I5" s="112" t="s">
        <v>182</v>
      </c>
      <c r="J5" s="112" t="s">
        <v>183</v>
      </c>
      <c r="K5" s="112" t="s">
        <v>184</v>
      </c>
      <c r="L5" s="84"/>
      <c r="M5" s="113"/>
      <c r="N5" s="113"/>
      <c r="O5" s="84"/>
      <c r="P5" s="112" t="s">
        <v>130</v>
      </c>
      <c r="Q5" s="112" t="s">
        <v>179</v>
      </c>
      <c r="R5" s="112" t="s">
        <v>180</v>
      </c>
      <c r="S5" s="112" t="s">
        <v>181</v>
      </c>
      <c r="T5" s="112" t="s">
        <v>182</v>
      </c>
      <c r="U5" s="112" t="s">
        <v>183</v>
      </c>
      <c r="V5" s="112" t="s">
        <v>184</v>
      </c>
    </row>
    <row r="6" spans="1:31" ht="42" customHeight="1">
      <c r="B6" s="114"/>
      <c r="D6" s="114"/>
      <c r="E6" s="1"/>
      <c r="F6" s="1"/>
      <c r="G6" s="1"/>
      <c r="J6" s="20"/>
      <c r="K6" s="20"/>
      <c r="L6" s="20"/>
      <c r="O6" s="114"/>
      <c r="P6" s="1"/>
      <c r="Q6" s="1"/>
      <c r="R6" s="1"/>
      <c r="U6" s="20"/>
      <c r="V6" s="20"/>
      <c r="AD6" s="48"/>
      <c r="AE6" s="48"/>
    </row>
    <row r="7" spans="1:31" ht="15.4" customHeight="1">
      <c r="D7" s="115" t="s">
        <v>185</v>
      </c>
      <c r="E7" s="253">
        <v>91334373.98568216</v>
      </c>
      <c r="F7" s="116">
        <v>0.42515831115732605</v>
      </c>
      <c r="G7" s="117">
        <f t="shared" ref="G7:G12" si="0">F7*E7</f>
        <v>38831568.194364242</v>
      </c>
      <c r="H7" s="174">
        <f>F7+(F7*$AD$16)</f>
        <v>0.46760156155899824</v>
      </c>
      <c r="I7" s="117">
        <f t="shared" ref="I7:I12" si="1">E7*H7</f>
        <v>42708095.899718523</v>
      </c>
      <c r="J7" s="174">
        <f t="shared" ref="J7:J12" si="2">F7+(F7*$AE$16)</f>
        <v>0.48863771463360905</v>
      </c>
      <c r="K7" s="117">
        <f t="shared" ref="K7:K12" si="3">E7*J7</f>
        <v>44629419.771855086</v>
      </c>
      <c r="L7" s="118"/>
      <c r="O7" s="115" t="s">
        <v>185</v>
      </c>
      <c r="P7" s="253">
        <v>67894669.90258716</v>
      </c>
      <c r="Q7" s="116">
        <v>0.26449</v>
      </c>
      <c r="R7" s="117">
        <f t="shared" ref="R7:R12" si="4">Q7*P7</f>
        <v>17957461.242535278</v>
      </c>
      <c r="S7" s="174">
        <f t="shared" ref="S7:S12" si="5">H7*(1+(Q7/F7-1))</f>
        <v>0.29089384770600019</v>
      </c>
      <c r="T7" s="117">
        <f t="shared" ref="T7:T12" si="6">P7*S7</f>
        <v>19750141.766692344</v>
      </c>
      <c r="U7" s="174">
        <f t="shared" ref="U7:U12" si="7">J7*(1+(Q7/F7-1))</f>
        <v>0.30398038977913622</v>
      </c>
      <c r="V7" s="117">
        <f t="shared" ref="V7:V12" si="8">P7*U7</f>
        <v>20638648.220914233</v>
      </c>
      <c r="W7" s="118"/>
      <c r="X7" s="6" t="s">
        <v>186</v>
      </c>
      <c r="Y7" s="274" t="s">
        <v>113</v>
      </c>
      <c r="Z7" s="274" t="s">
        <v>329</v>
      </c>
      <c r="AA7" s="274" t="s">
        <v>3</v>
      </c>
      <c r="AC7" s="48"/>
      <c r="AD7" s="48"/>
      <c r="AE7" s="48"/>
    </row>
    <row r="8" spans="1:31" ht="15.75">
      <c r="D8" s="119" t="s">
        <v>187</v>
      </c>
      <c r="E8" s="253">
        <v>141884586.52569643</v>
      </c>
      <c r="F8" s="116">
        <v>0.42515831115732605</v>
      </c>
      <c r="G8" s="117">
        <f t="shared" si="0"/>
        <v>60323411.186520591</v>
      </c>
      <c r="H8" s="174">
        <f t="shared" ref="H8:H12" si="9">F8+(F8*$AD$16)</f>
        <v>0.46760156155899824</v>
      </c>
      <c r="I8" s="117">
        <f t="shared" si="1"/>
        <v>66345454.220568448</v>
      </c>
      <c r="J8" s="174">
        <f t="shared" si="2"/>
        <v>0.48863771463360905</v>
      </c>
      <c r="K8" s="117">
        <f t="shared" si="3"/>
        <v>69330160.101650864</v>
      </c>
      <c r="L8" s="118"/>
      <c r="O8" s="119" t="s">
        <v>187</v>
      </c>
      <c r="P8" s="253">
        <v>103335801.68831357</v>
      </c>
      <c r="Q8" s="116">
        <v>0.26449</v>
      </c>
      <c r="R8" s="117">
        <f t="shared" si="4"/>
        <v>27331286.188542057</v>
      </c>
      <c r="S8" s="174">
        <f t="shared" si="5"/>
        <v>0.29089384770600019</v>
      </c>
      <c r="T8" s="117">
        <f t="shared" si="6"/>
        <v>30059748.958897725</v>
      </c>
      <c r="U8" s="174">
        <f t="shared" si="7"/>
        <v>0.30398038977913622</v>
      </c>
      <c r="V8" s="117">
        <f t="shared" si="8"/>
        <v>31412057.275353082</v>
      </c>
      <c r="W8" s="118"/>
      <c r="X8" s="6" t="s">
        <v>188</v>
      </c>
      <c r="Y8" s="120">
        <v>1844593982</v>
      </c>
      <c r="Z8" s="120">
        <v>1605526970</v>
      </c>
      <c r="AA8" s="120">
        <v>239067012</v>
      </c>
      <c r="AC8" s="99"/>
      <c r="AD8" s="99"/>
      <c r="AE8" s="99"/>
    </row>
    <row r="9" spans="1:31" ht="15.75">
      <c r="D9" s="115" t="s">
        <v>214</v>
      </c>
      <c r="E9" s="253">
        <v>97621050.269968837</v>
      </c>
      <c r="F9" s="116">
        <v>0.53532716454975682</v>
      </c>
      <c r="G9" s="117">
        <f t="shared" si="0"/>
        <v>52259200.041391693</v>
      </c>
      <c r="H9" s="174">
        <f t="shared" si="9"/>
        <v>0.58876849286332889</v>
      </c>
      <c r="I9" s="117">
        <f t="shared" si="1"/>
        <v>57476198.639184818</v>
      </c>
      <c r="J9" s="174">
        <f t="shared" si="2"/>
        <v>0.61525562455743077</v>
      </c>
      <c r="K9" s="117">
        <f t="shared" si="3"/>
        <v>60061900.253802024</v>
      </c>
      <c r="L9" s="118"/>
      <c r="O9" s="115" t="s">
        <v>214</v>
      </c>
      <c r="P9" s="253">
        <v>45483203.515582025</v>
      </c>
      <c r="Q9" s="116">
        <v>0.33610000000000001</v>
      </c>
      <c r="R9" s="117">
        <f t="shared" si="4"/>
        <v>15286904.701587118</v>
      </c>
      <c r="S9" s="174">
        <f t="shared" si="5"/>
        <v>0.3696526228363517</v>
      </c>
      <c r="T9" s="117">
        <f t="shared" si="6"/>
        <v>16812985.474534467</v>
      </c>
      <c r="U9" s="174">
        <f t="shared" si="7"/>
        <v>0.38628231314895717</v>
      </c>
      <c r="V9" s="117">
        <f t="shared" si="8"/>
        <v>17569357.063423805</v>
      </c>
      <c r="W9" s="118"/>
      <c r="X9" s="6" t="s">
        <v>190</v>
      </c>
      <c r="Y9" s="173">
        <f>SUM('SAR and RAR'!W19+'SAR and RAR'!Z19-'SAR and RAR'!L10)*1000-Y8</f>
        <v>-125013187.95961261</v>
      </c>
      <c r="Z9" s="173">
        <f>(('SAR and RAR'!W19-'SAR and RAR'!L10)*1000)-Z8</f>
        <v>-150008499.83569455</v>
      </c>
      <c r="AA9" s="173">
        <f>('SAR and RAR'!Z19*1000)-AA8</f>
        <v>24995311.876082033</v>
      </c>
      <c r="AD9" s="48"/>
      <c r="AE9" s="48"/>
    </row>
    <row r="10" spans="1:31" ht="15.75">
      <c r="D10" s="119" t="s">
        <v>187</v>
      </c>
      <c r="E10" s="253">
        <v>87253759.623688459</v>
      </c>
      <c r="F10" s="116">
        <v>0.53532716454975682</v>
      </c>
      <c r="G10" s="117">
        <f t="shared" si="0"/>
        <v>46709307.735655196</v>
      </c>
      <c r="H10" s="174">
        <f t="shared" si="9"/>
        <v>0.58876849286332889</v>
      </c>
      <c r="I10" s="117">
        <f t="shared" si="1"/>
        <v>51372264.550298236</v>
      </c>
      <c r="J10" s="174">
        <f t="shared" si="2"/>
        <v>0.61525562455743077</v>
      </c>
      <c r="K10" s="117">
        <f t="shared" si="3"/>
        <v>53683366.372256376</v>
      </c>
      <c r="L10" s="118"/>
      <c r="O10" s="119" t="s">
        <v>187</v>
      </c>
      <c r="P10" s="253">
        <v>40015542.791026749</v>
      </c>
      <c r="Q10" s="116">
        <v>0.33610000000000001</v>
      </c>
      <c r="R10" s="117">
        <f t="shared" si="4"/>
        <v>13449223.93206409</v>
      </c>
      <c r="S10" s="174">
        <f t="shared" si="5"/>
        <v>0.3696526228363517</v>
      </c>
      <c r="T10" s="117">
        <f t="shared" si="6"/>
        <v>14791850.346923303</v>
      </c>
      <c r="U10" s="174">
        <f t="shared" si="7"/>
        <v>0.38628231314895717</v>
      </c>
      <c r="V10" s="117">
        <f t="shared" si="8"/>
        <v>15457296.431228889</v>
      </c>
      <c r="W10" s="118"/>
      <c r="X10" s="6" t="s">
        <v>191</v>
      </c>
      <c r="Y10" s="120">
        <f>Y8+Y9</f>
        <v>1719580794.0403874</v>
      </c>
      <c r="Z10" s="120">
        <f>Z8+Z9</f>
        <v>1455518470.1643054</v>
      </c>
      <c r="AA10" s="120">
        <f>AA8+AA9</f>
        <v>264062323.87608203</v>
      </c>
      <c r="AC10" s="48"/>
      <c r="AD10" s="48"/>
      <c r="AE10" s="48"/>
    </row>
    <row r="11" spans="1:31" ht="15.75">
      <c r="D11" s="115" t="s">
        <v>192</v>
      </c>
      <c r="E11" s="253">
        <v>0</v>
      </c>
      <c r="F11" s="116">
        <v>0.53532716454975682</v>
      </c>
      <c r="G11" s="117">
        <f t="shared" si="0"/>
        <v>0</v>
      </c>
      <c r="H11" s="174">
        <f t="shared" si="9"/>
        <v>0.58876849286332889</v>
      </c>
      <c r="I11" s="117">
        <f t="shared" si="1"/>
        <v>0</v>
      </c>
      <c r="J11" s="174">
        <f t="shared" si="2"/>
        <v>0.61525562455743077</v>
      </c>
      <c r="K11" s="117">
        <f t="shared" si="3"/>
        <v>0</v>
      </c>
      <c r="L11" s="118"/>
      <c r="O11" s="115" t="s">
        <v>192</v>
      </c>
      <c r="P11" s="253">
        <v>0</v>
      </c>
      <c r="Q11" s="116">
        <v>0.33610000000000001</v>
      </c>
      <c r="R11" s="117">
        <f t="shared" si="4"/>
        <v>0</v>
      </c>
      <c r="S11" s="174">
        <f t="shared" si="5"/>
        <v>0.3696526228363517</v>
      </c>
      <c r="T11" s="117">
        <f t="shared" si="6"/>
        <v>0</v>
      </c>
      <c r="U11" s="174">
        <f t="shared" si="7"/>
        <v>0.38628231314895717</v>
      </c>
      <c r="V11" s="117">
        <f t="shared" si="8"/>
        <v>0</v>
      </c>
      <c r="W11" s="118"/>
      <c r="X11" s="6" t="s">
        <v>193</v>
      </c>
      <c r="Y11" s="222">
        <f>SUM('SAR and RAR'!Y19+'SAR and RAR'!AA19-'SAR and RAR'!L13)*1000-Y8</f>
        <v>-13768715.6240592</v>
      </c>
      <c r="Z11" s="222">
        <f>(('SAR and RAR'!Y19-'SAR and RAR'!L13)*1000)-Z8</f>
        <v>-37630611.086304426</v>
      </c>
      <c r="AA11" s="222">
        <f>('SAR and RAR'!AA19*1000)-AA8</f>
        <v>23861895.462244958</v>
      </c>
      <c r="AC11" s="99"/>
      <c r="AD11" s="276"/>
      <c r="AE11" s="277"/>
    </row>
    <row r="12" spans="1:31" ht="15.75">
      <c r="D12" s="119" t="s">
        <v>187</v>
      </c>
      <c r="E12" s="253">
        <v>0</v>
      </c>
      <c r="F12" s="116">
        <v>0.53532716454975682</v>
      </c>
      <c r="G12" s="117">
        <f t="shared" si="0"/>
        <v>0</v>
      </c>
      <c r="H12" s="174">
        <f t="shared" si="9"/>
        <v>0.58876849286332889</v>
      </c>
      <c r="I12" s="117">
        <f t="shared" si="1"/>
        <v>0</v>
      </c>
      <c r="J12" s="174">
        <f t="shared" si="2"/>
        <v>0.61525562455743077</v>
      </c>
      <c r="K12" s="117">
        <f t="shared" si="3"/>
        <v>0</v>
      </c>
      <c r="L12" s="118"/>
      <c r="O12" s="119" t="s">
        <v>187</v>
      </c>
      <c r="P12" s="253">
        <v>0</v>
      </c>
      <c r="Q12" s="116">
        <v>0.33610000000000001</v>
      </c>
      <c r="R12" s="117">
        <f t="shared" si="4"/>
        <v>0</v>
      </c>
      <c r="S12" s="174">
        <f t="shared" si="5"/>
        <v>0.3696526228363517</v>
      </c>
      <c r="T12" s="117">
        <f t="shared" si="6"/>
        <v>0</v>
      </c>
      <c r="U12" s="174">
        <f t="shared" si="7"/>
        <v>0.38628231314895717</v>
      </c>
      <c r="V12" s="117">
        <f t="shared" si="8"/>
        <v>0</v>
      </c>
      <c r="W12" s="118"/>
      <c r="X12" s="6" t="s">
        <v>194</v>
      </c>
      <c r="Y12" s="120">
        <f>Y8+Y11</f>
        <v>1830825266.3759408</v>
      </c>
      <c r="Z12" s="120">
        <f>Z8+Z11</f>
        <v>1567896358.9136956</v>
      </c>
      <c r="AA12" s="120">
        <f>AA8+AA11</f>
        <v>262928907.46224496</v>
      </c>
    </row>
    <row r="13" spans="1:31" ht="15.75">
      <c r="D13" s="119"/>
      <c r="E13" s="121"/>
      <c r="F13" s="122"/>
      <c r="G13" s="123"/>
      <c r="H13" s="1"/>
      <c r="I13" s="124"/>
      <c r="J13" s="1"/>
      <c r="K13" s="124"/>
      <c r="L13" s="118"/>
      <c r="O13" s="119"/>
      <c r="P13" s="123"/>
      <c r="Q13" s="122"/>
      <c r="R13" s="123"/>
      <c r="S13" s="1"/>
      <c r="T13" s="124"/>
      <c r="U13" s="1"/>
      <c r="V13" s="124"/>
      <c r="Z13" s="309"/>
    </row>
    <row r="14" spans="1:31" ht="15.75">
      <c r="D14" s="119"/>
      <c r="E14" s="221"/>
      <c r="F14" s="122"/>
      <c r="G14" s="123"/>
      <c r="H14" s="123"/>
      <c r="I14" s="123"/>
      <c r="J14" s="123"/>
      <c r="K14" s="123"/>
      <c r="L14" s="118"/>
      <c r="O14" s="119"/>
      <c r="P14" s="123"/>
      <c r="Q14" s="122"/>
      <c r="R14" s="123"/>
      <c r="S14" s="278"/>
      <c r="T14" s="123"/>
      <c r="U14" s="123"/>
      <c r="V14" s="123"/>
      <c r="X14" s="6" t="s">
        <v>375</v>
      </c>
      <c r="Y14" s="274" t="s">
        <v>113</v>
      </c>
      <c r="Z14" s="274" t="s">
        <v>329</v>
      </c>
      <c r="AA14" s="274" t="s">
        <v>3</v>
      </c>
      <c r="AD14" s="48" t="s">
        <v>331</v>
      </c>
      <c r="AE14" s="48" t="s">
        <v>333</v>
      </c>
    </row>
    <row r="15" spans="1:31" ht="15.75">
      <c r="D15" s="119"/>
      <c r="E15" s="121"/>
      <c r="F15" s="122"/>
      <c r="G15" s="123"/>
      <c r="H15" s="252"/>
      <c r="I15" s="123"/>
      <c r="J15" s="251"/>
      <c r="K15" s="123"/>
      <c r="L15" s="118"/>
      <c r="O15" s="125"/>
      <c r="P15" s="123"/>
      <c r="Q15" s="122"/>
      <c r="R15" s="123"/>
      <c r="S15" s="123"/>
      <c r="T15" s="123"/>
      <c r="U15" s="123"/>
      <c r="V15" s="123"/>
      <c r="X15" s="6" t="s">
        <v>376</v>
      </c>
      <c r="Y15" s="309">
        <f>+Z15+AA15</f>
        <v>41.541999999999994</v>
      </c>
      <c r="Z15" s="309">
        <v>25.764999999999997</v>
      </c>
      <c r="AA15" s="309">
        <v>15.776999999999999</v>
      </c>
      <c r="AC15" s="134" t="s">
        <v>330</v>
      </c>
      <c r="AD15" s="274" t="s">
        <v>332</v>
      </c>
      <c r="AE15" s="274" t="s">
        <v>332</v>
      </c>
    </row>
    <row r="16" spans="1:31" ht="15.75">
      <c r="E16" s="254"/>
      <c r="P16" s="123"/>
      <c r="Q16" s="122"/>
      <c r="X16" s="6" t="s">
        <v>191</v>
      </c>
      <c r="Y16" s="309">
        <f>+Z16+AA16</f>
        <v>45.689108175744479</v>
      </c>
      <c r="Z16" s="309">
        <f>((SUM('SAR and RAR'!$J$10:$K$10,'SAR and RAR'!$Q$10:$R$10,'SAR and RAR'!$T$10)-('SAR and RAR'!$AD$18*'SAR and RAR'!D31))/IF(Summary!$D$2=2025,'SAR and RAR'!$C$25,'SAR and RAR'!$C$38)*100)+(SUM('SAR and RAR'!$M$10:$P$10,'SAR and RAR'!$S$10)/IF(Summary!$D$2=2025,'SAR and RAR'!$D$25,'SAR and RAR'!$D$38)*100)</f>
        <v>25.583838246565573</v>
      </c>
      <c r="AA16" s="309">
        <f>+('SAR and RAR'!$H$10/IF(Summary!$D$2=2025,'SAR and RAR'!$E$25,'SAR and RAR'!$E$38)*100)</f>
        <v>20.105269929178903</v>
      </c>
      <c r="AC16" s="6">
        <f>'SAR and RAR'!$AF$26/100</f>
        <v>0.41541999999999996</v>
      </c>
      <c r="AD16" s="312">
        <f>$Y17/100/$AC$16</f>
        <v>9.9829285439903839E-2</v>
      </c>
      <c r="AE16" s="312">
        <f>$Y19/100/$AC$16</f>
        <v>0.14930768565592731</v>
      </c>
    </row>
    <row r="17" spans="1:31">
      <c r="O17" s="126"/>
      <c r="X17" s="6" t="s">
        <v>190</v>
      </c>
      <c r="Y17" s="451">
        <f>+Y16-Y15</f>
        <v>4.147108175744485</v>
      </c>
      <c r="Z17" s="309">
        <f>+Z16-Z15</f>
        <v>-0.18116175343442364</v>
      </c>
      <c r="AA17" s="309">
        <f>+AA16-AA15</f>
        <v>4.3282699291789033</v>
      </c>
      <c r="AD17" s="450"/>
      <c r="AE17" s="450"/>
    </row>
    <row r="18" spans="1:31">
      <c r="X18" s="6" t="s">
        <v>194</v>
      </c>
      <c r="Y18" s="309">
        <f>+Z18+AA18</f>
        <v>47.744539877518527</v>
      </c>
      <c r="Z18" s="309">
        <f>((SUM('SAR and RAR'!$J$13:$K$13,'SAR and RAR'!$Q$13:$R$13,'SAR and RAR'!$T$10)-('SAR and RAR'!$AE$18*'SAR and RAR'!D31))/IF(Summary!$D$2=2025,'SAR and RAR'!$C$25,'SAR and RAR'!$C$38)*100)+(SUM('SAR and RAR'!$M$13:$P$13,'SAR and RAR'!$S$13)/IF(Summary!$D$2=2025,'SAR and RAR'!$D$25,'SAR and RAR'!$D$38)*100)</f>
        <v>27.725566405205811</v>
      </c>
      <c r="AA18" s="309">
        <f>+('SAR and RAR'!$H$13/IF(Summary!$D$2=2025,'SAR and RAR'!$E$25,'SAR and RAR'!$E$38)*100)</f>
        <v>20.018973472312716</v>
      </c>
      <c r="AD18" s="168"/>
      <c r="AE18" s="168"/>
    </row>
    <row r="19" spans="1:31">
      <c r="B19" s="7"/>
      <c r="P19" s="6" t="s">
        <v>473</v>
      </c>
      <c r="X19" s="6" t="s">
        <v>193</v>
      </c>
      <c r="Y19" s="451">
        <f>+Y18-Y15</f>
        <v>6.2025398775185323</v>
      </c>
      <c r="Z19" s="309">
        <f>+Z18-Z15</f>
        <v>1.9605664052058138</v>
      </c>
      <c r="AA19" s="309">
        <f>+AA18-AA15</f>
        <v>4.2419734723127167</v>
      </c>
      <c r="AD19" s="168"/>
      <c r="AE19" s="168"/>
    </row>
    <row r="20" spans="1:31">
      <c r="B20" s="127" t="s">
        <v>215</v>
      </c>
      <c r="C20" s="127"/>
      <c r="E20" s="128" t="s">
        <v>178</v>
      </c>
      <c r="F20" s="128" t="s">
        <v>178</v>
      </c>
      <c r="H20" s="127" t="s">
        <v>276</v>
      </c>
      <c r="I20" s="127"/>
      <c r="J20" s="127"/>
      <c r="K20" s="127" t="s">
        <v>277</v>
      </c>
      <c r="L20" s="127"/>
      <c r="M20" s="127"/>
      <c r="N20" s="127"/>
      <c r="P20" s="129" t="s">
        <v>195</v>
      </c>
      <c r="Q20" s="130" t="s">
        <v>196</v>
      </c>
      <c r="R20" s="130" t="s">
        <v>197</v>
      </c>
      <c r="S20" s="130" t="s">
        <v>196</v>
      </c>
      <c r="T20" s="130" t="s">
        <v>197</v>
      </c>
      <c r="U20" s="606" t="s">
        <v>200</v>
      </c>
      <c r="V20" s="607"/>
      <c r="Y20" s="178"/>
      <c r="AD20" s="168"/>
      <c r="AE20" s="168"/>
    </row>
    <row r="21" spans="1:31" ht="15.75">
      <c r="B21" s="131" t="s">
        <v>179</v>
      </c>
      <c r="C21" s="132" t="str">
        <f>Summary!D30</f>
        <v>2/1/2025</v>
      </c>
      <c r="D21" s="332" t="str">
        <f>Summary!E30</f>
        <v>6/1/25</v>
      </c>
      <c r="E21" s="133" t="s">
        <v>158</v>
      </c>
      <c r="F21" s="133" t="s">
        <v>166</v>
      </c>
      <c r="H21" s="134" t="s">
        <v>195</v>
      </c>
      <c r="I21" s="134" t="s">
        <v>196</v>
      </c>
      <c r="J21" s="134" t="s">
        <v>197</v>
      </c>
      <c r="K21" s="134" t="s">
        <v>195</v>
      </c>
      <c r="L21" s="134" t="s">
        <v>196</v>
      </c>
      <c r="M21" s="134" t="s">
        <v>197</v>
      </c>
      <c r="P21" s="53"/>
      <c r="Q21" s="597" t="s">
        <v>153</v>
      </c>
      <c r="R21" s="599"/>
      <c r="S21" s="597" t="s">
        <v>154</v>
      </c>
      <c r="T21" s="599"/>
      <c r="U21" s="48" t="s">
        <v>153</v>
      </c>
      <c r="V21" s="48" t="s">
        <v>154</v>
      </c>
      <c r="Y21" s="452"/>
      <c r="Z21" s="307"/>
      <c r="AA21" s="307"/>
      <c r="AB21" s="48"/>
      <c r="AC21" s="48"/>
      <c r="AD21" s="48"/>
    </row>
    <row r="22" spans="1:31" ht="15.75">
      <c r="A22" s="6" t="s">
        <v>196</v>
      </c>
      <c r="B22" s="135" t="s">
        <v>198</v>
      </c>
      <c r="C22" s="231">
        <v>0.40691504507329246</v>
      </c>
      <c r="D22" s="137">
        <f>F7</f>
        <v>0.42515831115732605</v>
      </c>
      <c r="E22" s="138">
        <f>H7</f>
        <v>0.46760156155899824</v>
      </c>
      <c r="F22" s="138">
        <f>J7</f>
        <v>0.48863771463360905</v>
      </c>
      <c r="H22" s="6" t="s">
        <v>129</v>
      </c>
      <c r="I22" s="156">
        <v>351</v>
      </c>
      <c r="J22" s="156">
        <v>359</v>
      </c>
      <c r="K22" s="6" t="s">
        <v>129</v>
      </c>
      <c r="L22" s="156">
        <v>235</v>
      </c>
      <c r="M22" s="156">
        <v>343</v>
      </c>
      <c r="N22" s="120"/>
      <c r="P22" s="218" t="s">
        <v>227</v>
      </c>
      <c r="Q22" s="140">
        <v>342.91891800000002</v>
      </c>
      <c r="R22" s="140">
        <v>303.58623299999999</v>
      </c>
      <c r="S22" s="140">
        <v>335.11797200000001</v>
      </c>
      <c r="T22" s="140">
        <v>296.54197699999997</v>
      </c>
      <c r="U22" s="516">
        <v>0.59459555720182788</v>
      </c>
      <c r="V22" s="516">
        <v>0.50313208363509809</v>
      </c>
      <c r="Y22" s="453"/>
      <c r="Z22" s="307"/>
      <c r="AA22" s="307"/>
      <c r="AB22" s="108"/>
      <c r="AC22" s="308"/>
      <c r="AD22" s="308"/>
    </row>
    <row r="23" spans="1:31" ht="15.75">
      <c r="B23" s="135" t="s">
        <v>199</v>
      </c>
      <c r="C23" s="136">
        <v>0.51235662475645471</v>
      </c>
      <c r="D23" s="137">
        <f>F9</f>
        <v>0.53532716454975682</v>
      </c>
      <c r="E23" s="138">
        <f>H9</f>
        <v>0.58876849286332889</v>
      </c>
      <c r="F23" s="138">
        <f>J9</f>
        <v>0.61525562455743077</v>
      </c>
      <c r="H23" s="6" t="s">
        <v>201</v>
      </c>
      <c r="I23" s="156">
        <v>530</v>
      </c>
      <c r="J23" s="156">
        <v>503</v>
      </c>
      <c r="K23" s="6" t="s">
        <v>201</v>
      </c>
      <c r="L23" s="156">
        <v>593</v>
      </c>
      <c r="M23" s="156">
        <v>863</v>
      </c>
      <c r="N23" s="120"/>
      <c r="P23" s="219" t="s">
        <v>229</v>
      </c>
      <c r="Q23" s="140">
        <v>456.57375300000001</v>
      </c>
      <c r="R23" s="140">
        <v>159.07604699999999</v>
      </c>
      <c r="S23" s="140">
        <v>723.10526300000004</v>
      </c>
      <c r="T23" s="140">
        <v>319.79216300000002</v>
      </c>
      <c r="U23" s="516">
        <v>8.4517877685926866E-3</v>
      </c>
      <c r="V23" s="516">
        <v>8.1500014108484842E-3</v>
      </c>
      <c r="Z23" s="310"/>
      <c r="AB23" s="108"/>
      <c r="AC23" s="308"/>
      <c r="AD23" s="308"/>
    </row>
    <row r="24" spans="1:31" ht="15.75">
      <c r="B24" s="135"/>
      <c r="C24" s="136"/>
      <c r="D24" s="137"/>
      <c r="E24" s="138"/>
      <c r="F24" s="138"/>
      <c r="H24" s="6" t="s">
        <v>202</v>
      </c>
      <c r="I24" s="157">
        <v>620</v>
      </c>
      <c r="J24" s="156">
        <v>425</v>
      </c>
      <c r="K24" s="6" t="s">
        <v>202</v>
      </c>
      <c r="L24" s="157">
        <v>662</v>
      </c>
      <c r="M24" s="156">
        <v>667</v>
      </c>
      <c r="N24" s="120"/>
      <c r="P24" s="219" t="s">
        <v>226</v>
      </c>
      <c r="Q24" s="140">
        <v>349.89450699999998</v>
      </c>
      <c r="R24" s="140">
        <v>266.04762099999999</v>
      </c>
      <c r="S24" s="140">
        <v>443.258692</v>
      </c>
      <c r="T24" s="140">
        <v>336.52605199999999</v>
      </c>
      <c r="U24" s="516">
        <v>1.1409141797468145E-3</v>
      </c>
      <c r="V24" s="516">
        <v>1.5566361609872176E-3</v>
      </c>
      <c r="Z24" s="310"/>
      <c r="AB24" s="108"/>
      <c r="AC24" s="108"/>
      <c r="AD24" s="308"/>
      <c r="AE24" s="308"/>
    </row>
    <row r="25" spans="1:31">
      <c r="A25" s="170" t="s">
        <v>197</v>
      </c>
      <c r="B25" s="175" t="s">
        <v>198</v>
      </c>
      <c r="C25" s="176">
        <v>0.4069150450732924</v>
      </c>
      <c r="D25" s="176">
        <f>F8</f>
        <v>0.42515831115732605</v>
      </c>
      <c r="E25" s="176">
        <f>H8</f>
        <v>0.46760156155899824</v>
      </c>
      <c r="F25" s="176">
        <f>J8</f>
        <v>0.48863771463360905</v>
      </c>
      <c r="H25" s="6" t="s">
        <v>203</v>
      </c>
      <c r="I25" s="156">
        <v>406</v>
      </c>
      <c r="J25" s="156">
        <v>374</v>
      </c>
      <c r="K25" s="6" t="s">
        <v>203</v>
      </c>
      <c r="L25" s="156">
        <v>341</v>
      </c>
      <c r="M25" s="156">
        <v>475</v>
      </c>
      <c r="N25" s="120"/>
      <c r="P25" s="220" t="s">
        <v>228</v>
      </c>
      <c r="Q25" s="146">
        <v>428.26417600000002</v>
      </c>
      <c r="R25" s="146">
        <v>326.89865500000002</v>
      </c>
      <c r="S25" s="146">
        <v>653.23481800000002</v>
      </c>
      <c r="T25" s="146">
        <v>575.31525799999997</v>
      </c>
      <c r="U25" s="516">
        <v>0.39581174084983267</v>
      </c>
      <c r="V25" s="516">
        <v>0.48716127879306614</v>
      </c>
    </row>
    <row r="26" spans="1:31">
      <c r="A26" s="170"/>
      <c r="B26" s="175" t="s">
        <v>199</v>
      </c>
      <c r="C26" s="176">
        <v>0.51235662475645471</v>
      </c>
      <c r="D26" s="176">
        <f>F10</f>
        <v>0.53532716454975682</v>
      </c>
      <c r="E26" s="176">
        <f>H10</f>
        <v>0.58876849286332889</v>
      </c>
      <c r="F26" s="176">
        <f>J10</f>
        <v>0.61525562455743077</v>
      </c>
      <c r="I26" s="120"/>
      <c r="J26" s="120"/>
      <c r="M26" s="120"/>
      <c r="N26" s="120"/>
      <c r="Q26" s="150"/>
      <c r="R26" s="150"/>
      <c r="S26" s="150"/>
      <c r="T26" s="150"/>
      <c r="U26" s="141"/>
      <c r="V26" s="141"/>
    </row>
    <row r="27" spans="1:31">
      <c r="A27" s="170"/>
      <c r="B27" s="175"/>
      <c r="C27" s="176"/>
      <c r="D27" s="176"/>
      <c r="E27" s="176"/>
      <c r="F27" s="176"/>
      <c r="I27" s="120"/>
      <c r="J27" s="120"/>
      <c r="M27" s="120"/>
      <c r="N27" s="120"/>
      <c r="Q27" s="150"/>
      <c r="R27" s="150"/>
      <c r="S27" s="150"/>
      <c r="T27" s="150"/>
      <c r="U27" s="141"/>
      <c r="V27" s="141"/>
    </row>
    <row r="28" spans="1:31">
      <c r="I28" s="120"/>
      <c r="J28" s="120"/>
      <c r="M28" s="120"/>
      <c r="N28" s="120"/>
      <c r="P28" s="6" t="s">
        <v>476</v>
      </c>
    </row>
    <row r="29" spans="1:31">
      <c r="B29" s="127" t="s">
        <v>252</v>
      </c>
      <c r="C29" s="127"/>
      <c r="D29" s="127"/>
      <c r="E29" s="128" t="s">
        <v>178</v>
      </c>
      <c r="F29" s="128" t="s">
        <v>178</v>
      </c>
      <c r="H29" s="127" t="s">
        <v>272</v>
      </c>
      <c r="I29" s="127"/>
      <c r="J29" s="127"/>
      <c r="K29" s="127" t="s">
        <v>271</v>
      </c>
      <c r="L29" s="127"/>
      <c r="M29" s="127"/>
      <c r="N29" s="127"/>
      <c r="P29" s="129" t="s">
        <v>195</v>
      </c>
      <c r="Q29" s="130" t="s">
        <v>196</v>
      </c>
      <c r="R29" s="130" t="s">
        <v>197</v>
      </c>
      <c r="S29" s="130" t="s">
        <v>196</v>
      </c>
      <c r="T29" s="130" t="s">
        <v>197</v>
      </c>
      <c r="U29" s="606" t="s">
        <v>200</v>
      </c>
      <c r="V29" s="607"/>
    </row>
    <row r="30" spans="1:31">
      <c r="B30" s="131" t="s">
        <v>179</v>
      </c>
      <c r="C30" s="132" t="str">
        <f>C21</f>
        <v>2/1/2025</v>
      </c>
      <c r="D30" s="132" t="str">
        <f>D21</f>
        <v>6/1/25</v>
      </c>
      <c r="E30" s="133" t="s">
        <v>158</v>
      </c>
      <c r="F30" s="133" t="s">
        <v>166</v>
      </c>
      <c r="H30" s="134" t="s">
        <v>195</v>
      </c>
      <c r="I30" s="134" t="s">
        <v>196</v>
      </c>
      <c r="J30" s="134" t="s">
        <v>197</v>
      </c>
      <c r="K30" s="134" t="s">
        <v>195</v>
      </c>
      <c r="L30" s="134" t="s">
        <v>196</v>
      </c>
      <c r="M30" s="134" t="s">
        <v>197</v>
      </c>
      <c r="P30" s="53"/>
      <c r="Q30" s="597" t="s">
        <v>153</v>
      </c>
      <c r="R30" s="599"/>
      <c r="S30" s="597" t="s">
        <v>154</v>
      </c>
      <c r="T30" s="599"/>
      <c r="U30" s="48" t="s">
        <v>153</v>
      </c>
      <c r="V30" s="48" t="s">
        <v>154</v>
      </c>
    </row>
    <row r="31" spans="1:31">
      <c r="A31" s="6" t="s">
        <v>196</v>
      </c>
      <c r="B31" s="135" t="s">
        <v>198</v>
      </c>
      <c r="C31" s="136">
        <v>0.25263999999999998</v>
      </c>
      <c r="D31" s="137">
        <f>Q7</f>
        <v>0.26449</v>
      </c>
      <c r="E31" s="138">
        <f>S7</f>
        <v>0.29089384770600019</v>
      </c>
      <c r="F31" s="138">
        <f>U7</f>
        <v>0.30398038977913622</v>
      </c>
      <c r="G31" s="154">
        <f>+E31/E22-1</f>
        <v>-0.37790231765661564</v>
      </c>
      <c r="H31" s="6" t="s">
        <v>129</v>
      </c>
      <c r="I31" s="156">
        <v>270</v>
      </c>
      <c r="J31" s="156">
        <v>276</v>
      </c>
      <c r="K31" s="6" t="s">
        <v>129</v>
      </c>
      <c r="L31" s="156">
        <v>181</v>
      </c>
      <c r="M31" s="156">
        <v>264</v>
      </c>
      <c r="N31" s="120"/>
      <c r="P31" s="218" t="s">
        <v>227</v>
      </c>
      <c r="Q31" s="140">
        <v>293.18844799999999</v>
      </c>
      <c r="R31" s="140">
        <v>272.42403400000001</v>
      </c>
      <c r="S31" s="140">
        <v>300.67371600000001</v>
      </c>
      <c r="T31" s="140">
        <v>283.19878299999999</v>
      </c>
      <c r="U31" s="516">
        <v>0.58715024846943753</v>
      </c>
      <c r="V31" s="516">
        <v>0.4449864204236828</v>
      </c>
    </row>
    <row r="32" spans="1:31">
      <c r="B32" s="135" t="s">
        <v>199</v>
      </c>
      <c r="C32" s="136">
        <v>0.32117000000000001</v>
      </c>
      <c r="D32" s="137">
        <f>Q9</f>
        <v>0.33610000000000001</v>
      </c>
      <c r="E32" s="138">
        <f>S9</f>
        <v>0.3696526228363517</v>
      </c>
      <c r="F32" s="138">
        <f>U9</f>
        <v>0.38628231314895717</v>
      </c>
      <c r="G32" s="154">
        <f>+E32/E23-1</f>
        <v>-0.37215963945584407</v>
      </c>
      <c r="H32" s="6" t="s">
        <v>201</v>
      </c>
      <c r="I32" s="156">
        <v>408</v>
      </c>
      <c r="J32" s="156">
        <v>387</v>
      </c>
      <c r="K32" s="6" t="s">
        <v>201</v>
      </c>
      <c r="L32" s="156">
        <v>456</v>
      </c>
      <c r="M32" s="156">
        <v>664</v>
      </c>
      <c r="N32" s="120"/>
      <c r="P32" s="219" t="s">
        <v>229</v>
      </c>
      <c r="Q32" s="140">
        <v>409.32504399999999</v>
      </c>
      <c r="R32" s="140">
        <v>204.766988</v>
      </c>
      <c r="S32" s="140">
        <v>794.02488100000005</v>
      </c>
      <c r="T32" s="140">
        <v>451.99078700000001</v>
      </c>
      <c r="U32" s="516">
        <v>2.1304685357270696E-2</v>
      </c>
      <c r="V32" s="516">
        <v>1.416621401412276E-2</v>
      </c>
    </row>
    <row r="33" spans="1:31">
      <c r="B33" s="135"/>
      <c r="C33" s="136"/>
      <c r="D33" s="137"/>
      <c r="E33" s="138"/>
      <c r="F33" s="138"/>
      <c r="H33" s="6" t="s">
        <v>202</v>
      </c>
      <c r="I33" s="157">
        <v>477</v>
      </c>
      <c r="J33" s="156">
        <v>327</v>
      </c>
      <c r="K33" s="6" t="s">
        <v>202</v>
      </c>
      <c r="L33" s="157">
        <v>509</v>
      </c>
      <c r="M33" s="156">
        <v>513</v>
      </c>
      <c r="N33" s="120"/>
      <c r="P33" s="219" t="s">
        <v>226</v>
      </c>
      <c r="Q33" s="140">
        <v>355.03963099999999</v>
      </c>
      <c r="R33" s="140">
        <v>334.63756999999998</v>
      </c>
      <c r="S33" s="140">
        <v>413.14660300000003</v>
      </c>
      <c r="T33" s="140">
        <v>348.72256900000002</v>
      </c>
      <c r="U33" s="516">
        <v>5.8665749336407631E-3</v>
      </c>
      <c r="V33" s="516">
        <v>3.6827810972297663E-3</v>
      </c>
    </row>
    <row r="34" spans="1:31">
      <c r="A34" s="170" t="s">
        <v>197</v>
      </c>
      <c r="B34" s="175" t="s">
        <v>198</v>
      </c>
      <c r="C34" s="176">
        <v>0.25263999999999998</v>
      </c>
      <c r="D34" s="176">
        <f>Q8</f>
        <v>0.26449</v>
      </c>
      <c r="E34" s="176">
        <f>S8</f>
        <v>0.29089384770600019</v>
      </c>
      <c r="F34" s="176">
        <f>U8</f>
        <v>0.30398038977913622</v>
      </c>
      <c r="G34" s="154">
        <f>+E34/E25-1</f>
        <v>-0.37790231765661564</v>
      </c>
      <c r="H34" s="6" t="s">
        <v>203</v>
      </c>
      <c r="I34" s="156">
        <v>312</v>
      </c>
      <c r="J34" s="156">
        <v>288</v>
      </c>
      <c r="K34" s="6" t="s">
        <v>203</v>
      </c>
      <c r="L34" s="156">
        <v>262</v>
      </c>
      <c r="M34" s="156">
        <v>365</v>
      </c>
      <c r="N34" s="120"/>
      <c r="P34" s="220" t="s">
        <v>228</v>
      </c>
      <c r="Q34" s="146">
        <v>429.33569299999999</v>
      </c>
      <c r="R34" s="146">
        <v>484.06809399999997</v>
      </c>
      <c r="S34" s="146">
        <v>665.59984699999995</v>
      </c>
      <c r="T34" s="146">
        <v>739.13461700000005</v>
      </c>
      <c r="U34" s="516">
        <v>0.38567849123965098</v>
      </c>
      <c r="V34" s="516">
        <v>0.53716458446496473</v>
      </c>
    </row>
    <row r="35" spans="1:31">
      <c r="A35" s="170"/>
      <c r="B35" s="175" t="s">
        <v>199</v>
      </c>
      <c r="C35" s="176">
        <v>0.32117000000000001</v>
      </c>
      <c r="D35" s="176">
        <f>Q10</f>
        <v>0.33610000000000001</v>
      </c>
      <c r="E35" s="176">
        <f>S10</f>
        <v>0.3696526228363517</v>
      </c>
      <c r="F35" s="176">
        <f>U10</f>
        <v>0.38628231314895717</v>
      </c>
      <c r="G35" s="154">
        <f>+E35/E26-1</f>
        <v>-0.37215963945584407</v>
      </c>
      <c r="I35" s="120"/>
      <c r="J35" s="120"/>
      <c r="M35" s="120"/>
      <c r="N35" s="120"/>
      <c r="Q35" s="150"/>
      <c r="R35" s="150"/>
      <c r="S35" s="150"/>
      <c r="T35" s="150"/>
      <c r="U35" s="141"/>
      <c r="V35" s="143"/>
    </row>
    <row r="36" spans="1:31">
      <c r="A36" s="170"/>
      <c r="B36" s="175"/>
      <c r="C36" s="176"/>
      <c r="D36" s="176"/>
      <c r="E36" s="176"/>
      <c r="F36" s="176"/>
      <c r="I36" s="120"/>
      <c r="J36" s="120"/>
      <c r="M36" s="120"/>
      <c r="N36" s="120"/>
      <c r="Q36" s="150"/>
      <c r="R36" s="150"/>
      <c r="S36" s="150"/>
      <c r="T36" s="150"/>
      <c r="U36" s="141"/>
      <c r="V36" s="143"/>
    </row>
    <row r="37" spans="1:31">
      <c r="B37" s="7"/>
      <c r="C37" s="8"/>
      <c r="D37" s="144"/>
      <c r="E37" s="9"/>
      <c r="F37" s="9"/>
      <c r="I37" s="120"/>
      <c r="J37" s="120"/>
      <c r="M37" s="120"/>
      <c r="N37" s="120"/>
      <c r="Q37" s="150"/>
      <c r="R37" s="150"/>
      <c r="S37" s="150"/>
      <c r="T37" s="150"/>
      <c r="U37" s="141"/>
      <c r="V37" s="143"/>
    </row>
    <row r="38" spans="1:31">
      <c r="B38" s="7"/>
      <c r="C38" s="8"/>
      <c r="D38" s="8"/>
      <c r="E38" s="9"/>
      <c r="F38" s="9"/>
    </row>
    <row r="39" spans="1:31" ht="18.75">
      <c r="B39" s="250"/>
      <c r="C39" s="608" t="s">
        <v>265</v>
      </c>
      <c r="D39" s="608"/>
      <c r="E39" s="608"/>
      <c r="F39" s="608"/>
      <c r="G39" s="608"/>
      <c r="H39" s="608"/>
      <c r="I39" s="608"/>
      <c r="J39" s="608"/>
      <c r="M39" s="250"/>
      <c r="N39" s="608" t="s">
        <v>265</v>
      </c>
      <c r="O39" s="608"/>
      <c r="P39" s="608"/>
      <c r="Q39" s="608"/>
      <c r="R39" s="608"/>
      <c r="S39" s="608"/>
      <c r="T39" s="608"/>
      <c r="U39" s="608"/>
    </row>
    <row r="40" spans="1:31">
      <c r="B40" s="7"/>
      <c r="C40" s="601" t="s">
        <v>482</v>
      </c>
      <c r="D40" s="601"/>
      <c r="E40" s="601"/>
      <c r="F40" s="601"/>
      <c r="G40" s="601"/>
      <c r="H40" s="601"/>
      <c r="I40" s="601"/>
      <c r="J40" s="601"/>
      <c r="M40" s="7"/>
      <c r="N40" s="601" t="s">
        <v>483</v>
      </c>
      <c r="O40" s="601"/>
      <c r="P40" s="601"/>
      <c r="Q40" s="601"/>
      <c r="R40" s="601"/>
      <c r="S40" s="601"/>
      <c r="T40" s="601"/>
      <c r="U40" s="601"/>
    </row>
    <row r="41" spans="1:31">
      <c r="B41" s="7"/>
      <c r="C41" s="602" t="str">
        <f>C30</f>
        <v>2/1/2025</v>
      </c>
      <c r="D41" s="602"/>
      <c r="E41" s="603" t="str">
        <f>D30</f>
        <v>6/1/25</v>
      </c>
      <c r="F41" s="602"/>
      <c r="G41" s="602" t="str">
        <f>E21</f>
        <v>Authorized</v>
      </c>
      <c r="H41" s="602"/>
      <c r="I41" s="603" t="str">
        <f>F21</f>
        <v>w/Pending</v>
      </c>
      <c r="J41" s="602"/>
      <c r="M41" s="7"/>
      <c r="N41" s="602" t="str">
        <f>C41</f>
        <v>2/1/2025</v>
      </c>
      <c r="O41" s="602"/>
      <c r="P41" s="603" t="str">
        <f>E41</f>
        <v>6/1/25</v>
      </c>
      <c r="Q41" s="602"/>
      <c r="R41" s="602" t="str">
        <f>G41</f>
        <v>Authorized</v>
      </c>
      <c r="S41" s="602"/>
      <c r="T41" s="603" t="str">
        <f>I41</f>
        <v>w/Pending</v>
      </c>
      <c r="U41" s="602"/>
    </row>
    <row r="42" spans="1:31">
      <c r="B42" s="7"/>
      <c r="C42" s="8" t="s">
        <v>196</v>
      </c>
      <c r="D42" s="8" t="s">
        <v>197</v>
      </c>
      <c r="E42" s="8" t="s">
        <v>196</v>
      </c>
      <c r="F42" s="8" t="s">
        <v>197</v>
      </c>
      <c r="G42" s="8" t="s">
        <v>196</v>
      </c>
      <c r="H42" s="8" t="s">
        <v>197</v>
      </c>
      <c r="I42" s="8" t="s">
        <v>196</v>
      </c>
      <c r="J42" s="8" t="s">
        <v>197</v>
      </c>
      <c r="M42" s="7"/>
      <c r="N42" s="8" t="s">
        <v>196</v>
      </c>
      <c r="O42" s="8" t="s">
        <v>197</v>
      </c>
      <c r="P42" s="8" t="s">
        <v>196</v>
      </c>
      <c r="Q42" s="8" t="s">
        <v>197</v>
      </c>
      <c r="R42" s="8" t="s">
        <v>196</v>
      </c>
      <c r="S42" s="8" t="s">
        <v>197</v>
      </c>
      <c r="T42" s="8" t="s">
        <v>196</v>
      </c>
      <c r="U42" s="8" t="s">
        <v>197</v>
      </c>
    </row>
    <row r="43" spans="1:31">
      <c r="B43" s="139" t="s">
        <v>227</v>
      </c>
      <c r="C43" s="160">
        <f>IF($Q22&gt;$I22,C$22*$I22+C$23*($Q22-$I22),$Q22*C$22)+('Incremental Rev Req'!$F$85*$Q22)</f>
        <v>139.81320210885468</v>
      </c>
      <c r="D43" s="160">
        <f>IF($R22&gt;$J22,C$25*$J22+C$26*($R22-$J22),$R22*C$25)+('Incremental Rev Req'!$F$85*$R22)</f>
        <v>123.77667467122605</v>
      </c>
      <c r="E43" s="160">
        <f>IF($Q22&gt;$I22,D$22*$I22+D$23*($Q22-$I22),$Q22*D$22)+('Incremental Rev Req'!$F$85*$Q22)</f>
        <v>146.06916317517758</v>
      </c>
      <c r="F43" s="160">
        <f>IF($R22&gt;$J22,D$25*$J22+D$26*($R22-$J22),$R22*D$25)+('Incremental Rev Req'!$F$85*$R22)</f>
        <v>129.31507909929448</v>
      </c>
      <c r="G43" s="160">
        <f>IF($Q22&gt;$I22,E$22*$I22+E$23*($Q22-$I22),$Q22*E$22)+('Incremental Rev Req'!$F$85*$Q22)</f>
        <v>160.62375667932207</v>
      </c>
      <c r="H43" s="160">
        <f>IF($R22&gt;$J22,E$25*$J22+E$26*($R22-$J22),$R22*E$25)+('Incremental Rev Req'!$F$85*$R22)</f>
        <v>142.20026560501387</v>
      </c>
      <c r="I43" s="160">
        <f>IF($Q22&gt;$I22,F$22*$I22+F$23*($Q22-$I22),$Q22*F$22)+('Incremental Rev Req'!$F$85*$Q22)</f>
        <v>167.83745153054997</v>
      </c>
      <c r="J43" s="160">
        <f>IF($R22&gt;$J22,F$25*$J22+F$26*($R22-$J22),$R22*F$25)+('Incremental Rev Req'!$F$85*$R22)</f>
        <v>148.58655207374633</v>
      </c>
      <c r="M43" s="139" t="s">
        <v>227</v>
      </c>
      <c r="N43" s="160">
        <f>IF($Q31&gt;$L22,C$22*$L22+C$23*($Q31-$L22),$Q31*C$22)+('Incremental Rev Req'!$F$85*$Q31)</f>
        <v>125.67282316772021</v>
      </c>
      <c r="O43" s="160">
        <f>IF($R31&gt;$M22,C$25*$M22+C$26*($R31-$M22),$R31*C$25)+('Incremental Rev Req'!$F$85*$R31)</f>
        <v>111.07137730135815</v>
      </c>
      <c r="P43" s="160">
        <f>IF($Q31&gt;$L22,D$22*$L22+D$23*($Q31-$L22),$Q31*D$22)+('Incremental Rev Req'!$F$85*$Q31)</f>
        <v>131.29661075776258</v>
      </c>
      <c r="Q43" s="160">
        <f>IF($R31&gt;$M22,D$25*$M22+D$26*($R31-$M22),$R31*D$25)+('Incremental Rev Req'!$F$85*$R31)</f>
        <v>116.04128144130598</v>
      </c>
      <c r="R43" s="160">
        <f>IF($Q31&gt;$L22,E$22*$L22+E$23*($Q31-$L22),$Q31*E$22)+('Incremental Rev Req'!$F$85*$Q31)</f>
        <v>144.38044255578077</v>
      </c>
      <c r="S43" s="160">
        <f>IF($R31&gt;$M22,E$25*$M22+E$26*($R31-$M22),$R31*E$25)+('Incremental Rev Req'!$F$85*$R31)</f>
        <v>127.60384293180164</v>
      </c>
      <c r="T43" s="160">
        <f>IF($Q31&gt;$L22,F$22*$L22+F$23*($Q31-$L22),$Q31*F$22)+('Incremental Rev Req'!$F$85*$Q31)</f>
        <v>150.8651836135657</v>
      </c>
      <c r="U43" s="160">
        <f>IF($R31&gt;$M22,F$25*$M22+F$26*($R31-$M22),$R31*F$25)+('Incremental Rev Req'!$F$85*$R31)</f>
        <v>133.33459661222861</v>
      </c>
    </row>
    <row r="44" spans="1:31">
      <c r="B44" s="142" t="s">
        <v>229</v>
      </c>
      <c r="C44" s="160">
        <f>IF($Q23&gt;$I23,C$22*$I23+C$23*($Q23-$I23),$Q23*C$22)+('Incremental Rev Req'!$F$85*$Q23)</f>
        <v>186.1519882836773</v>
      </c>
      <c r="D44" s="160">
        <f>IF($R23&gt;$J23,C$25*$J23+C$26*($R23-$J23),$R23*C$25)+('Incremental Rev Req'!$F$85*$R23)</f>
        <v>64.857697672686186</v>
      </c>
      <c r="E44" s="160">
        <f>IF($Q23&gt;$I23,D$22*$I23+D$23*($Q23-$I23),$Q23*D$22)+('Incremental Rev Req'!$F$85*$Q23)</f>
        <v>194.48138474664214</v>
      </c>
      <c r="F44" s="160">
        <f>IF($R23&gt;$J23,D$25*$J23+D$26*($R23-$J23),$R23*D$25)+('Incremental Rev Req'!$F$85*$R23)</f>
        <v>67.759764325703429</v>
      </c>
      <c r="G44" s="160">
        <f>IF($Q23&gt;$I23,E$22*$I23+E$23*($Q23-$I23),$Q23*E$22)+('Incremental Rev Req'!$F$85*$Q23)</f>
        <v>213.85985887205234</v>
      </c>
      <c r="H44" s="160">
        <f>IF($R23&gt;$J23,E$25*$J23+E$26*($R23-$J23),$R23*E$25)+('Incremental Rev Req'!$F$85*$R23)</f>
        <v>74.511468821432601</v>
      </c>
      <c r="I44" s="160">
        <f>IF($Q23&gt;$I23,F$22*$I23+F$23*($Q23-$I23),$Q23*F$22)+('Incremental Rev Req'!$F$85*$Q23)</f>
        <v>223.46441423000991</v>
      </c>
      <c r="J44" s="160">
        <f>IF($R23&gt;$J23,F$25*$J23+F$26*($R23-$J23),$R23*F$25)+('Incremental Rev Req'!$F$85*$R23)</f>
        <v>77.857816896628577</v>
      </c>
      <c r="M44" s="142" t="s">
        <v>229</v>
      </c>
      <c r="N44" s="160">
        <f>IF($Q32&gt;$L23,C$22*$L23+C$23*($Q32-$L23),$Q32*C$22)+('Incremental Rev Req'!$F$85*$Q32)</f>
        <v>166.88797876408742</v>
      </c>
      <c r="O44" s="160">
        <f>IF($R32&gt;$M23,C$25*$M23+C$26*($R32-$M23),$R32*C$25)+('Incremental Rev Req'!$F$85*$R32)</f>
        <v>83.486581741942317</v>
      </c>
      <c r="P44" s="160">
        <f>IF($Q32&gt;$L23,D$22*$L23+D$23*($Q32-$L23),$Q32*D$22)+('Incremental Rev Req'!$F$85*$Q32)</f>
        <v>174.35540445663818</v>
      </c>
      <c r="Q44" s="160">
        <f>IF($R32&gt;$M23,D$25*$M23+D$26*($R32-$M23),$R32*D$25)+('Incremental Rev Req'!$F$85*$R32)</f>
        <v>87.22220038925245</v>
      </c>
      <c r="R44" s="160">
        <f>IF($Q32&gt;$L23,E$22*$L23+E$23*($Q32-$L23),$Q32*E$22)+('Incremental Rev Req'!$F$85*$Q32)</f>
        <v>191.72848979480565</v>
      </c>
      <c r="S44" s="160">
        <f>IF($R32&gt;$M23,E$25*$M23+E$26*($R32-$M23),$R32*E$25)+('Incremental Rev Req'!$F$85*$R32)</f>
        <v>95.91317693493265</v>
      </c>
      <c r="T44" s="160">
        <f>IF($Q32&gt;$L23,F$22*$L23+F$23*($Q32-$L23),$Q32*F$22)+('Incremental Rev Req'!$F$85*$Q32)</f>
        <v>200.33911407766146</v>
      </c>
      <c r="U44" s="160">
        <f>IF($R32&gt;$M23,F$25*$M23+F$26*($R32-$M23),$R32*F$25)+('Incremental Rev Req'!$F$85*$R32)</f>
        <v>100.22068663912765</v>
      </c>
    </row>
    <row r="45" spans="1:31">
      <c r="B45" s="142" t="s">
        <v>226</v>
      </c>
      <c r="C45" s="160">
        <f>IF($Q24&gt;$I24,C$22*$I24+C$23*($Q24-$I24),$Q24*C$22)+('Incremental Rev Req'!$F$85*$Q24)</f>
        <v>142.65725469240243</v>
      </c>
      <c r="D45" s="160">
        <f>IF($R24&gt;$J24,C$25*$J24+C$26*($R24-$J24),$R24*C$25)+('Incremental Rev Req'!$F$85*$R24)</f>
        <v>108.47161778765721</v>
      </c>
      <c r="E45" s="160">
        <f>IF($Q24&gt;$I24,D$22*$I24+D$23*($Q24-$I24),$Q24*D$22)+('Incremental Rev Req'!$F$85*$Q24)</f>
        <v>149.04047328494519</v>
      </c>
      <c r="F45" s="160">
        <f>IF($R24&gt;$J24,D$25*$J24+D$26*($R24-$J24),$R24*D$25)+('Incremental Rev Req'!$F$85*$R24)</f>
        <v>113.32519532858434</v>
      </c>
      <c r="G45" s="160">
        <f>IF($Q24&gt;$I24,E$22*$I24+E$23*($Q24-$I24),$Q24*E$22)+('Incremental Rev Req'!$F$85*$Q24)</f>
        <v>163.89113345971583</v>
      </c>
      <c r="H45" s="160">
        <f>IF($R24&gt;$J24,E$25*$J24+E$26*($R24-$J24),$R24*E$25)+('Incremental Rev Req'!$F$85*$R24)</f>
        <v>124.61712112545652</v>
      </c>
      <c r="I45" s="160">
        <f>IF($Q24&gt;$I24,F$22*$I24+F$23*($Q24-$I24),$Q24*F$22)+('Incremental Rev Req'!$F$85*$Q24)</f>
        <v>171.25156786893331</v>
      </c>
      <c r="J45" s="160">
        <f>IF($R24&gt;$J24,F$25*$J24+F$26*($R24-$J24),$R24*F$25)+('Incremental Rev Req'!$F$85*$R24)</f>
        <v>130.21373960594858</v>
      </c>
      <c r="M45" s="142" t="s">
        <v>226</v>
      </c>
      <c r="N45" s="160">
        <f>IF($Q33&gt;$L24,C$22*$L24+C$23*($Q33-$L24),$Q33*C$22)+('Incremental Rev Req'!$F$85*$Q33)</f>
        <v>144.7549991559701</v>
      </c>
      <c r="O45" s="160">
        <f>IF($R33&gt;$M24,C$25*$M24+C$26*($R33-$M24),$R33*C$25)+('Incremental Rev Req'!$F$85*$R33)</f>
        <v>136.43677193576704</v>
      </c>
      <c r="P45" s="160">
        <f>IF($Q33&gt;$L24,D$22*$L24+D$23*($Q33-$L24),$Q33*D$22)+('Incremental Rev Req'!$F$85*$Q33)</f>
        <v>151.2320816146802</v>
      </c>
      <c r="Q45" s="160">
        <f>IF($R33&gt;$M24,D$25*$M24+D$26*($R33-$M24),$R33*D$25)+('Incremental Rev Req'!$F$85*$R33)</f>
        <v>142.54165416699146</v>
      </c>
      <c r="R45" s="160">
        <f>IF($Q33&gt;$L24,E$22*$L24+E$23*($Q33-$L24),$Q33*E$22)+('Incremental Rev Req'!$F$85*$Q33)</f>
        <v>166.3011175757305</v>
      </c>
      <c r="S45" s="160">
        <f>IF($R33&gt;$M24,E$25*$M24+E$26*($R33-$M24),$R33*E$25)+('Incremental Rev Req'!$F$85*$R33)</f>
        <v>156.74476034430856</v>
      </c>
      <c r="T45" s="160">
        <f>IF($Q33&gt;$L24,F$22*$L24+F$23*($Q33-$L24),$Q33*F$22)+('Incremental Rev Req'!$F$85*$Q33)</f>
        <v>173.76978560099982</v>
      </c>
      <c r="U45" s="160">
        <f>IF($R33&gt;$M24,F$25*$M24+F$26*($R33-$M24),$R33*F$25)+('Incremental Rev Req'!$F$85*$R33)</f>
        <v>163.78424749134436</v>
      </c>
    </row>
    <row r="46" spans="1:31">
      <c r="B46" s="145" t="s">
        <v>228</v>
      </c>
      <c r="C46" s="160">
        <f>IF($Q25&gt;$I25,C$22*$I25+C$23*($Q25-$I25),$Q25*C$22)+('Incremental Rev Req'!$F$85*$Q25)</f>
        <v>176.95731770890043</v>
      </c>
      <c r="D46" s="160">
        <f>IF($R25&gt;$J25,C$25*$J25+C$26*($R25-$J25),$R25*C$25)+('Incremental Rev Req'!$F$85*$R25)</f>
        <v>133.28149985772367</v>
      </c>
      <c r="E46" s="160">
        <f>IF($Q25&gt;$I25,D$22*$I25+D$23*($Q25-$I25),$Q25*D$22)+('Incremental Rev Req'!$F$85*$Q25)</f>
        <v>184.87550387979113</v>
      </c>
      <c r="F46" s="160">
        <f>IF($R25&gt;$J25,D$25*$J25+D$26*($R25-$J25),$R25*D$25)+('Incremental Rev Req'!$F$85*$R25)</f>
        <v>139.24519900340138</v>
      </c>
      <c r="G46" s="160">
        <f>IF($Q25&gt;$I25,E$22*$I25+E$23*($Q25-$I25),$Q25*E$22)+('Incremental Rev Req'!$F$85*$Q25)</f>
        <v>203.29729068211719</v>
      </c>
      <c r="H46" s="160">
        <f>IF($R25&gt;$J25,E$25*$J25+E$26*($R25-$J25),$R25*E$25)+('Incremental Rev Req'!$F$85*$R25)</f>
        <v>153.11984047353624</v>
      </c>
      <c r="I46" s="160">
        <f>IF($Q25&gt;$I25,F$22*$I25+F$23*($Q25-$I25),$Q25*F$22)+('Incremental Rev Req'!$F$85*$Q25)</f>
        <v>212.42768299218187</v>
      </c>
      <c r="J46" s="160">
        <f>IF($R25&gt;$J25,F$25*$J25+F$26*($R25-$J25),$R25*F$25)+('Incremental Rev Req'!$F$85*$R25)</f>
        <v>159.99653062000064</v>
      </c>
      <c r="M46" s="145" t="s">
        <v>228</v>
      </c>
      <c r="N46" s="160">
        <f>IF($Q34&gt;$L25,C$22*$L25+C$23*($Q34-$L25),$Q34*C$22)+('Incremental Rev Req'!$F$85*$Q34)</f>
        <v>184.36087643539511</v>
      </c>
      <c r="O46" s="160">
        <f>IF($R34&gt;$M25,C$25*$M25+C$26*($R34-$M25),$R34*C$25)+('Incremental Rev Req'!$F$85*$R34)</f>
        <v>198.31799891982814</v>
      </c>
      <c r="P46" s="160">
        <f>IF($Q34&gt;$L25,D$22*$L25+D$23*($Q34-$L25),$Q34*D$22)+('Incremental Rev Req'!$F$85*$Q34)</f>
        <v>192.610948721276</v>
      </c>
      <c r="Q46" s="160">
        <f>IF($R34&gt;$M25,D$25*$M25+D$26*($R34-$M25),$R34*D$25)+('Incremental Rev Req'!$F$85*$R34)</f>
        <v>207.19184932382052</v>
      </c>
      <c r="R46" s="160">
        <f>IF($Q34&gt;$L25,E$22*$L25+E$23*($Q34-$L25),$Q34*E$22)+('Incremental Rev Req'!$F$85*$Q34)</f>
        <v>211.8048738796661</v>
      </c>
      <c r="S46" s="160">
        <f>IF($R34&gt;$M25,E$25*$M25+E$26*($R34-$M25),$R34*E$25)+('Incremental Rev Req'!$F$85*$R34)</f>
        <v>227.83700425324713</v>
      </c>
      <c r="T46" s="160">
        <f>IF($Q34&gt;$L25,F$22*$L25+F$23*($Q34-$L25),$Q34*F$22)+('Incremental Rev Req'!$F$85*$Q34)</f>
        <v>221.31796121188916</v>
      </c>
      <c r="U46" s="160">
        <f>IF($R34&gt;$M25,F$25*$M25+F$26*($R34-$M25),$R34*F$25)+('Incremental Rev Req'!$F$85*$R34)</f>
        <v>238.06936476367977</v>
      </c>
    </row>
    <row r="47" spans="1:31" s="10" customFormat="1">
      <c r="B47" s="6" t="s">
        <v>113</v>
      </c>
      <c r="C47" s="158">
        <f>SUMPRODUCT(C43:C46,$U$22:$U$25)</f>
        <v>154.91016957296051</v>
      </c>
      <c r="D47" s="158">
        <f t="shared" ref="D47:J47" si="10">SUMPRODUCT(D43:D46,$U$22:$U$25)</f>
        <v>127.02336362921245</v>
      </c>
      <c r="E47" s="158">
        <f t="shared" si="10"/>
        <v>161.84172827744715</v>
      </c>
      <c r="F47" s="158">
        <f t="shared" si="10"/>
        <v>132.70704160376479</v>
      </c>
      <c r="G47" s="158">
        <f t="shared" si="10"/>
        <v>177.96811049504234</v>
      </c>
      <c r="H47" s="158">
        <f t="shared" si="10"/>
        <v>145.93020933947631</v>
      </c>
      <c r="I47" s="158">
        <f t="shared" si="10"/>
        <v>185.96083116696451</v>
      </c>
      <c r="J47" s="158">
        <f t="shared" si="10"/>
        <v>152.48400948407416</v>
      </c>
      <c r="M47" s="6" t="s">
        <v>113</v>
      </c>
      <c r="N47" s="158">
        <f t="shared" ref="N47:U47" si="11">SUMPRODUCT(N43:N46,$U$31:$U$34)</f>
        <v>149.29756594305289</v>
      </c>
      <c r="O47" s="158">
        <f t="shared" si="11"/>
        <v>144.28164529123251</v>
      </c>
      <c r="P47" s="158">
        <f t="shared" si="11"/>
        <v>155.97853910012617</v>
      </c>
      <c r="Q47" s="158">
        <f t="shared" si="11"/>
        <v>150.73757990613655</v>
      </c>
      <c r="R47" s="158">
        <f t="shared" si="11"/>
        <v>171.52193003277748</v>
      </c>
      <c r="S47" s="158">
        <f t="shared" si="11"/>
        <v>165.75741507024713</v>
      </c>
      <c r="T47" s="158">
        <f t="shared" si="11"/>
        <v>179.22570266713933</v>
      </c>
      <c r="U47" s="158">
        <f t="shared" si="11"/>
        <v>173.20169769887457</v>
      </c>
      <c r="X47" s="6"/>
      <c r="Y47" s="6"/>
      <c r="Z47" s="6"/>
      <c r="AA47" s="6"/>
      <c r="AB47" s="6"/>
      <c r="AC47" s="6"/>
      <c r="AD47" s="6"/>
      <c r="AE47" s="6"/>
    </row>
    <row r="48" spans="1:31">
      <c r="B48" s="7"/>
      <c r="C48" s="144"/>
      <c r="D48" s="144"/>
      <c r="E48" s="159"/>
      <c r="F48" s="147"/>
      <c r="G48" s="148"/>
      <c r="H48" s="148"/>
      <c r="I48" s="148"/>
      <c r="J48" s="148"/>
      <c r="M48" s="7"/>
      <c r="N48" s="144"/>
      <c r="O48" s="144"/>
      <c r="P48" s="159"/>
      <c r="Q48" s="147"/>
      <c r="R48" s="148"/>
      <c r="S48" s="148"/>
      <c r="T48" s="148"/>
      <c r="U48" s="148"/>
      <c r="X48" s="10"/>
      <c r="Y48" s="10"/>
      <c r="Z48" s="10"/>
      <c r="AA48" s="10"/>
    </row>
    <row r="49" spans="2:31">
      <c r="B49" s="7"/>
      <c r="C49" s="144"/>
      <c r="D49" s="144"/>
      <c r="E49" s="159"/>
      <c r="F49" s="144"/>
      <c r="G49" s="148"/>
      <c r="H49" s="148"/>
      <c r="I49" s="148"/>
      <c r="J49" s="148"/>
      <c r="M49" s="7"/>
      <c r="N49" s="144"/>
      <c r="O49" s="144"/>
      <c r="P49" s="159"/>
      <c r="Q49" s="144"/>
      <c r="R49" s="148"/>
      <c r="S49" s="148"/>
      <c r="T49" s="148"/>
      <c r="U49" s="148"/>
    </row>
    <row r="50" spans="2:31">
      <c r="B50" s="7"/>
      <c r="C50" s="601" t="s">
        <v>484</v>
      </c>
      <c r="D50" s="601"/>
      <c r="E50" s="601"/>
      <c r="F50" s="601"/>
      <c r="G50" s="601"/>
      <c r="H50" s="601"/>
      <c r="I50" s="601"/>
      <c r="J50" s="601"/>
      <c r="M50" s="7"/>
      <c r="N50" s="601" t="s">
        <v>485</v>
      </c>
      <c r="O50" s="601"/>
      <c r="P50" s="601"/>
      <c r="Q50" s="601"/>
      <c r="R50" s="601"/>
      <c r="S50" s="601"/>
      <c r="T50" s="601"/>
      <c r="U50" s="601"/>
    </row>
    <row r="51" spans="2:31">
      <c r="B51" s="7"/>
      <c r="C51" s="604" t="str">
        <f>C30</f>
        <v>2/1/2025</v>
      </c>
      <c r="D51" s="604"/>
      <c r="E51" s="605" t="str">
        <f>D30</f>
        <v>6/1/25</v>
      </c>
      <c r="F51" s="604"/>
      <c r="G51" s="604" t="str">
        <f>E30</f>
        <v>Authorized</v>
      </c>
      <c r="H51" s="604"/>
      <c r="I51" s="605" t="str">
        <f>F30</f>
        <v>w/Pending</v>
      </c>
      <c r="J51" s="604"/>
      <c r="M51" s="7"/>
      <c r="N51" s="604" t="str">
        <f>N41</f>
        <v>2/1/2025</v>
      </c>
      <c r="O51" s="604"/>
      <c r="P51" s="605" t="str">
        <f>P41</f>
        <v>6/1/25</v>
      </c>
      <c r="Q51" s="604"/>
      <c r="R51" s="604" t="str">
        <f>R41</f>
        <v>Authorized</v>
      </c>
      <c r="S51" s="604"/>
      <c r="T51" s="605" t="str">
        <f>T41</f>
        <v>w/Pending</v>
      </c>
      <c r="U51" s="604"/>
      <c r="AD51" s="10"/>
      <c r="AE51" s="10"/>
    </row>
    <row r="52" spans="2:31">
      <c r="B52" s="7"/>
      <c r="C52" s="144" t="s">
        <v>196</v>
      </c>
      <c r="D52" s="144" t="s">
        <v>197</v>
      </c>
      <c r="E52" s="144" t="s">
        <v>196</v>
      </c>
      <c r="F52" s="144" t="s">
        <v>197</v>
      </c>
      <c r="G52" s="144" t="s">
        <v>196</v>
      </c>
      <c r="H52" s="144" t="s">
        <v>197</v>
      </c>
      <c r="I52" s="144" t="s">
        <v>196</v>
      </c>
      <c r="J52" s="144" t="s">
        <v>197</v>
      </c>
      <c r="M52" s="7"/>
      <c r="N52" s="144" t="s">
        <v>196</v>
      </c>
      <c r="O52" s="144" t="s">
        <v>197</v>
      </c>
      <c r="P52" s="144" t="s">
        <v>196</v>
      </c>
      <c r="Q52" s="144" t="s">
        <v>197</v>
      </c>
      <c r="R52" s="144" t="s">
        <v>196</v>
      </c>
      <c r="S52" s="144" t="s">
        <v>197</v>
      </c>
      <c r="T52" s="144" t="s">
        <v>196</v>
      </c>
      <c r="U52" s="144" t="s">
        <v>197</v>
      </c>
      <c r="AB52" s="10"/>
      <c r="AC52" s="10"/>
    </row>
    <row r="53" spans="2:31">
      <c r="B53" s="139" t="s">
        <v>227</v>
      </c>
      <c r="C53" s="160">
        <f>IF($S22&gt;$I22,C$31*$I22+C$32*($S22-$I22),$S22*C$31)+('Incremental Rev Req'!$F$85*$S22)</f>
        <v>84.932298823679986</v>
      </c>
      <c r="D53" s="160">
        <f>IF($T22&gt;$J22,C$34*$J22+C$35*($T22-$J22),$T22*C$34)+('Incremental Rev Req'!$F$85*$T22)</f>
        <v>75.15559865087998</v>
      </c>
      <c r="E53" s="160">
        <f>IF($S22&gt;$I22,D$31*$I22+D$32*($S22-$I22),$S22*D$31)+('Incremental Rev Req'!$F$85*$S22)</f>
        <v>88.90344679188</v>
      </c>
      <c r="F53" s="160">
        <f>IF($T22&gt;$J22,D$34*$J22+D$35*($T22-$J22),$T22*D$34)+('Incremental Rev Req'!$F$85*$T22)</f>
        <v>78.669621078329982</v>
      </c>
      <c r="G53" s="160">
        <f>IF($S22&gt;$I22,E$31*$I22+E$32*($S22-$I22),$S22*E$31)+('Incremental Rev Req'!$F$85*$S22)</f>
        <v>97.751850688111631</v>
      </c>
      <c r="H53" s="160">
        <f>IF($T22&gt;$J22,E$34*$J22+E$35*($T22-$J22),$T22*E$34)+('Incremental Rev Req'!$F$85*$T22)</f>
        <v>86.499470277474202</v>
      </c>
      <c r="I53" s="160">
        <f>IF($S22&gt;$I22,F$31*$I22+F$32*($S22-$I22),$S22*F$31)+('Incremental Rev Req'!$F$85*$S22)</f>
        <v>102.13738612815365</v>
      </c>
      <c r="J53" s="160">
        <f>IF($T22&gt;$J22,F$34*$J22+F$35*($T22-$J22),$T22*F$34)+('Incremental Rev Req'!$F$85*$T22)</f>
        <v>90.380179335935637</v>
      </c>
      <c r="M53" s="139" t="s">
        <v>227</v>
      </c>
      <c r="N53" s="160">
        <f>IF($S31&gt;$L22,C$31*$L22+C$32*($S31-$L22),$S31*C$31)+('Incremental Rev Req'!$F$85*$S31)</f>
        <v>80.703366340519992</v>
      </c>
      <c r="O53" s="160">
        <f>IF($T31&gt;$M22,C$34*$M22+C$35*($T31-$M22),$T31*C$34)+('Incremental Rev Req'!$F$85*$T31)</f>
        <v>71.77389956351999</v>
      </c>
      <c r="P53" s="160">
        <f>IF($S31&gt;$L22,D$31*$L22+D$32*($S31-$L22),$S31*D$31)+('Incremental Rev Req'!$F$85*$S31)</f>
        <v>84.468624920400003</v>
      </c>
      <c r="Q53" s="160">
        <f>IF($T31&gt;$M22,D$34*$M22+D$35*($T31-$M22),$T31*D$34)+('Incremental Rev Req'!$F$85*$T31)</f>
        <v>75.129805142069998</v>
      </c>
      <c r="R53" s="160">
        <f>IF($S31&gt;$L22,E$31*$L22+E$32*($S31-$L22),$S31*E$31)+('Incremental Rev Req'!$F$85*$S31)</f>
        <v>92.877054554519731</v>
      </c>
      <c r="S53" s="160">
        <f>IF($T31&gt;$M22,E$34*$M22+E$35*($T31-$M22),$T31*E$34)+('Incremental Rev Req'!$F$85*$T31)</f>
        <v>82.607342678926585</v>
      </c>
      <c r="T53" s="160">
        <f>IF($S31&gt;$L22,F$31*$L22+F$32*($S31-$L22),$S31*F$31)+('Incremental Rev Req'!$F$85*$S31)</f>
        <v>97.044525500464701</v>
      </c>
      <c r="U53" s="160">
        <f>IF($T31&gt;$M22,F$34*$M22+F$35*($T31-$M22),$T31*F$34)+('Incremental Rev Req'!$F$85*$T31)</f>
        <v>86.313435467717014</v>
      </c>
    </row>
    <row r="54" spans="2:31">
      <c r="B54" s="142" t="s">
        <v>229</v>
      </c>
      <c r="C54" s="160">
        <f>IF($S23&gt;$I23,C$31*$I23+C$32*($S23-$I23),$S23*C$31)+('Incremental Rev Req'!$F$85*$S23)</f>
        <v>196.49730152811</v>
      </c>
      <c r="D54" s="160">
        <f>IF($T23&gt;$J23,C$34*$J23+C$35*($T23-$J23),$T23*C$34)+('Incremental Rev Req'!$F$85*$T23)</f>
        <v>81.048125790719993</v>
      </c>
      <c r="E54" s="160">
        <f>IF($S23&gt;$I23,D$31*$I23+D$32*($S23-$I23),$S23*D$31)+('Incremental Rev Req'!$F$85*$S23)</f>
        <v>205.66086310470001</v>
      </c>
      <c r="F54" s="160">
        <f>IF($T23&gt;$J23,D$34*$J23+D$35*($T23-$J23),$T23*D$34)+('Incremental Rev Req'!$F$85*$T23)</f>
        <v>84.837662922269999</v>
      </c>
      <c r="G54" s="160">
        <f>IF($S23&gt;$I23,E$31*$I23+E$32*($S23-$I23),$S23*E$31)+('Incremental Rev Req'!$F$85*$S23)</f>
        <v>226.13409044603361</v>
      </c>
      <c r="H54" s="160">
        <f>IF($T23&gt;$J23,E$34*$J23+E$35*($T23-$J23),$T23*E$34)+('Incremental Rev Req'!$F$85*$T23)</f>
        <v>93.281406491694398</v>
      </c>
      <c r="I54" s="160">
        <f>IF($S23&gt;$I23,F$31*$I23+F$32*($S23-$I23),$S23*F$31)+('Incremental Rev Req'!$F$85*$S23)</f>
        <v>236.28123846621997</v>
      </c>
      <c r="J54" s="160">
        <f>IF($T23&gt;$J23,F$34*$J23+F$35*($T23-$J23),$T23*F$34)+('Incremental Rev Req'!$F$85*$T23)</f>
        <v>97.466380087453061</v>
      </c>
      <c r="M54" s="142" t="s">
        <v>229</v>
      </c>
      <c r="N54" s="160">
        <f>IF($S32&gt;$L23,C$31*$L23+C$32*($S32-$L23),$S32*C$31)+('Incremental Rev Req'!$F$85*$S32)</f>
        <v>215.01390093557001</v>
      </c>
      <c r="O54" s="160">
        <f>IF($T32&gt;$M23,C$34*$M23+C$35*($T32-$M23),$T32*C$34)+('Incremental Rev Req'!$F$85*$T32)</f>
        <v>114.55254505727999</v>
      </c>
      <c r="P54" s="160">
        <f>IF($S32&gt;$L23,D$31*$L23+D$32*($S32-$L23),$S32*D$31)+('Incremental Rev Req'!$F$85*$S32)</f>
        <v>225.04225240890003</v>
      </c>
      <c r="Q54" s="160">
        <f>IF($T32&gt;$M23,D$34*$M23+D$35*($T32-$M23),$T32*D$34)+('Incremental Rev Req'!$F$85*$T32)</f>
        <v>119.90863588323</v>
      </c>
      <c r="R54" s="160">
        <f>IF($S32&gt;$L23,E$31*$L23+E$32*($S32-$L23),$S32*E$31)+('Incremental Rev Req'!$F$85*$S32)</f>
        <v>247.44464611147362</v>
      </c>
      <c r="S54" s="160">
        <f>IF($T32&gt;$M23,E$34*$M23+E$35*($T32-$M23),$T32*E$34)+('Incremental Rev Req'!$F$85*$T32)</f>
        <v>131.84293178769317</v>
      </c>
      <c r="T54" s="160">
        <f>IF($S32&gt;$L23,F$31*$L23+F$32*($S32-$L23),$S32*F$31)+('Incremental Rev Req'!$F$85*$S32)</f>
        <v>258.54794707700165</v>
      </c>
      <c r="U54" s="160">
        <f>IF($T32&gt;$M23,F$34*$M23+F$35*($T32-$M23),$T32*F$34)+('Incremental Rev Req'!$F$85*$T32)</f>
        <v>137.75792823843855</v>
      </c>
    </row>
    <row r="55" spans="2:31">
      <c r="B55" s="142" t="s">
        <v>226</v>
      </c>
      <c r="C55" s="160">
        <f>IF($S24&gt;$I24,C$31*$I24+C$32*($S24-$I24),$S24*C$31)+('Incremental Rev Req'!$F$85*$S24)</f>
        <v>112.33948290047998</v>
      </c>
      <c r="D55" s="160">
        <f>IF($T24&gt;$J24,C$34*$J24+C$35*($T24-$J24),$T24*C$34)+('Incremental Rev Req'!$F$85*$T24)</f>
        <v>85.289162618879999</v>
      </c>
      <c r="E55" s="160">
        <f>IF($S24&gt;$I24,D$31*$I24+D$32*($S24-$I24),$S24*D$31)+('Incremental Rev Req'!$F$85*$S24)</f>
        <v>117.59209840068</v>
      </c>
      <c r="F55" s="160">
        <f>IF($T24&gt;$J24,D$34*$J24+D$35*($T24-$J24),$T24*D$34)+('Incremental Rev Req'!$F$85*$T24)</f>
        <v>89.27699633508</v>
      </c>
      <c r="G55" s="160">
        <f>IF($S24&gt;$I24,E$31*$I24+E$32*($S24-$I24),$S24*E$31)+('Incremental Rev Req'!$F$85*$S24)</f>
        <v>129.29583339860886</v>
      </c>
      <c r="H55" s="160">
        <f>IF($T24&gt;$J24,E$34*$J24+E$35*($T24-$J24),$T24*E$34)+('Incremental Rev Req'!$F$85*$T24)</f>
        <v>98.162578961189496</v>
      </c>
      <c r="I55" s="160">
        <f>IF($S24&gt;$I24,F$31*$I24+F$32*($S24-$I24),$S24*F$31)+('Incremental Rev Req'!$F$85*$S24)</f>
        <v>135.09655692075009</v>
      </c>
      <c r="J55" s="160">
        <f>IF($T24&gt;$J24,F$34*$J24+F$35*($T24-$J24),$T24*F$34)+('Incremental Rev Req'!$F$85*$T24)</f>
        <v>102.56654129939386</v>
      </c>
      <c r="M55" s="142" t="s">
        <v>226</v>
      </c>
      <c r="N55" s="160">
        <f>IF($S33&gt;$L24,C$31*$L24+C$32*($S33-$L24),$S33*C$31)+('Incremental Rev Req'!$F$85*$S33)</f>
        <v>104.70787506431999</v>
      </c>
      <c r="O55" s="160">
        <f>IF($T33&gt;$M24,C$34*$M24+C$35*($T33-$M24),$T33*C$34)+('Incremental Rev Req'!$F$85*$T33)</f>
        <v>88.380247887359999</v>
      </c>
      <c r="P55" s="160">
        <f>IF($S33&gt;$L24,D$31*$L24+D$32*($S33-$L24),$S33*D$31)+('Incremental Rev Req'!$F$85*$S33)</f>
        <v>109.60366230987</v>
      </c>
      <c r="Q55" s="160">
        <f>IF($T33&gt;$M24,D$34*$M24+D$35*($T33-$M24),$T33*D$34)+('Incremental Rev Req'!$F$85*$T33)</f>
        <v>92.512610330010006</v>
      </c>
      <c r="R55" s="160">
        <f>IF($S33&gt;$L24,E$31*$L24+E$32*($S33-$L24),$S33*E$31)+('Incremental Rev Req'!$F$85*$S33)</f>
        <v>120.51232229573333</v>
      </c>
      <c r="S55" s="160">
        <f>IF($T33&gt;$M24,E$34*$M24+E$35*($T33-$M24),$T33*E$34)+('Incremental Rev Req'!$F$85*$T33)</f>
        <v>101.72022793353115</v>
      </c>
      <c r="T55" s="160">
        <f>IF($S33&gt;$L24,F$31*$L24+F$32*($S33-$L24),$S33*F$31)+('Incremental Rev Req'!$F$85*$S33)</f>
        <v>125.91898269826605</v>
      </c>
      <c r="U55" s="160">
        <f>IF($T33&gt;$M24,F$34*$M24+F$35*($T33-$M24),$T33*F$34)+('Incremental Rev Req'!$F$85*$T33)</f>
        <v>106.28380050460173</v>
      </c>
    </row>
    <row r="56" spans="2:31">
      <c r="B56" s="145" t="s">
        <v>228</v>
      </c>
      <c r="C56" s="160">
        <f>IF($S25&gt;$I25,C$31*$I25+C$32*($S25-$I25),$S25*C$31)+('Incremental Rev Req'!$F$85*$S25)</f>
        <v>182.49883435146</v>
      </c>
      <c r="D56" s="160">
        <f>IF($T25&gt;$J25,C$34*$J25+C$35*($T25-$J25),$T25*C$34)+('Incremental Rev Req'!$F$85*$T25)</f>
        <v>159.60403361826002</v>
      </c>
      <c r="E56" s="160">
        <f>IF($S25&gt;$I25,D$31*$I25+D$32*($S25-$I25),$S25*D$31)+('Incremental Rev Req'!$F$85*$S25)</f>
        <v>191.00115018420001</v>
      </c>
      <c r="F56" s="160">
        <f>IF($T25&gt;$J25,D$34*$J25+D$35*($T25-$J25),$T25*D$34)+('Incremental Rev Req'!$F$85*$T25)</f>
        <v>167.0415704202</v>
      </c>
      <c r="G56" s="160">
        <f>IF($S25&gt;$I25,E$31*$I25+E$32*($S25-$I25),$S25*E$31)+('Incremental Rev Req'!$F$85*$S25)</f>
        <v>210.01648895320415</v>
      </c>
      <c r="H56" s="160">
        <f>IF($T25&gt;$J25,E$34*$J25+E$35*($T25-$J25),$T25*E$34)+('Incremental Rev Req'!$F$85*$T25)</f>
        <v>183.67126438512091</v>
      </c>
      <c r="I56" s="160">
        <f>IF($S25&gt;$I25,F$31*$I25+F$32*($S25-$I25),$S25*F$31)+('Incremental Rev Req'!$F$85*$S25)</f>
        <v>219.44106349273073</v>
      </c>
      <c r="J56" s="160">
        <f>IF($T25&gt;$J25,F$34*$J25+F$35*($T25-$J25),$T25*F$34)+('Incremental Rev Req'!$F$85*$T25)</f>
        <v>191.91344151621604</v>
      </c>
      <c r="M56" s="145" t="s">
        <v>228</v>
      </c>
      <c r="N56" s="160">
        <f>IF($S34&gt;$L25,C$31*$L25+C$32*($S34-$L25),$S34*C$31)+('Incremental Rev Req'!$F$85*$S34)</f>
        <v>190.93445273858998</v>
      </c>
      <c r="O56" s="160">
        <f>IF($T34&gt;$M25,C$34*$M25+C$35*($T34-$M25),$T34*C$34)+('Incremental Rev Req'!$F$85*$T34)</f>
        <v>205.42742263548999</v>
      </c>
      <c r="P56" s="160">
        <f>IF($S34&gt;$L25,D$31*$L25+D$32*($S34-$L25),$S34*D$31)+('Incremental Rev Req'!$F$85*$S34)</f>
        <v>199.82157845429998</v>
      </c>
      <c r="Q56" s="160">
        <f>IF($T34&gt;$M25,D$34*$M25+D$35*($T34-$M25),$T34*D$34)+('Incremental Rev Req'!$F$85*$T34)</f>
        <v>214.99970246730001</v>
      </c>
      <c r="R56" s="160">
        <f>IF($S34&gt;$L25,E$31*$L25+E$32*($S34-$L25),$S34*E$31)+('Incremental Rev Req'!$F$85*$S34)</f>
        <v>219.7164667611745</v>
      </c>
      <c r="S56" s="160">
        <f>IF($T34&gt;$M25,E$34*$M25+E$35*($T34-$M25),$T34*E$34)+('Incremental Rev Req'!$F$85*$T34)</f>
        <v>236.40393930987531</v>
      </c>
      <c r="T56" s="160">
        <f>IF($S34&gt;$L25,F$31*$L25+F$32*($S34-$L25),$S34*F$31)+('Incremental Rev Req'!$F$85*$S34)</f>
        <v>229.576972539243</v>
      </c>
      <c r="U56" s="160">
        <f>IF($T34&gt;$M25,F$34*$M25+F$35*($T34-$M25),$T34*F$34)+('Incremental Rev Req'!$F$85*$T34)</f>
        <v>247.01252367616357</v>
      </c>
    </row>
    <row r="57" spans="2:31">
      <c r="B57" s="6" t="s">
        <v>113</v>
      </c>
      <c r="C57" s="158">
        <f>SUMPRODUCT(C53:C56,$V$22:$V$25)</f>
        <v>133.4148549820496</v>
      </c>
      <c r="D57" s="158">
        <f t="shared" ref="D57:J57" si="12">SUMPRODUCT(D53:D56,$V$22:$V$25)</f>
        <v>116.35940459827734</v>
      </c>
      <c r="E57" s="158">
        <f t="shared" si="12"/>
        <v>139.63772543849851</v>
      </c>
      <c r="F57" s="158">
        <f t="shared" si="12"/>
        <v>121.78779430277953</v>
      </c>
      <c r="G57" s="158">
        <f t="shared" si="12"/>
        <v>153.53825336787875</v>
      </c>
      <c r="H57" s="158">
        <f t="shared" si="12"/>
        <v>133.91123376401265</v>
      </c>
      <c r="I57" s="158">
        <f t="shared" si="12"/>
        <v>160.42777362311406</v>
      </c>
      <c r="J57" s="158">
        <f t="shared" si="12"/>
        <v>139.9199754575383</v>
      </c>
      <c r="M57" s="6" t="s">
        <v>113</v>
      </c>
      <c r="N57" s="158">
        <f t="shared" ref="N57:U57" si="13">SUMPRODUCT(N53:N56,$V$31:$V$34)</f>
        <v>141.9066771890619</v>
      </c>
      <c r="O57" s="158">
        <f t="shared" si="13"/>
        <v>144.23500773975329</v>
      </c>
      <c r="P57" s="158">
        <f t="shared" si="13"/>
        <v>148.51610920456355</v>
      </c>
      <c r="Q57" s="158">
        <f t="shared" si="13"/>
        <v>150.96132398387888</v>
      </c>
      <c r="R57" s="158">
        <f t="shared" si="13"/>
        <v>163.30210692958536</v>
      </c>
      <c r="S57" s="158">
        <f t="shared" si="13"/>
        <v>165.98929806527133</v>
      </c>
      <c r="T57" s="158">
        <f t="shared" si="13"/>
        <v>170.63049268140213</v>
      </c>
      <c r="U57" s="158">
        <f t="shared" si="13"/>
        <v>173.4376145864066</v>
      </c>
    </row>
    <row r="58" spans="2:31">
      <c r="B58" s="7"/>
      <c r="C58" s="144"/>
      <c r="D58" s="144"/>
      <c r="E58" s="159"/>
      <c r="F58" s="144"/>
      <c r="G58" s="148"/>
      <c r="H58" s="148"/>
      <c r="I58" s="148"/>
      <c r="J58" s="148"/>
      <c r="M58" s="7"/>
      <c r="N58" s="144"/>
      <c r="O58" s="144"/>
      <c r="P58" s="159"/>
      <c r="Q58" s="144"/>
      <c r="R58" s="148"/>
      <c r="S58" s="148"/>
      <c r="T58" s="148"/>
      <c r="U58" s="148"/>
    </row>
    <row r="59" spans="2:31">
      <c r="B59" s="7"/>
      <c r="C59" s="8"/>
      <c r="D59" s="8"/>
      <c r="E59" s="9"/>
      <c r="G59" s="148"/>
      <c r="H59" s="148"/>
      <c r="I59" s="148"/>
      <c r="M59" s="7"/>
      <c r="N59" s="8"/>
      <c r="O59" s="8"/>
      <c r="P59" s="9"/>
      <c r="R59" s="148"/>
      <c r="S59" s="148"/>
      <c r="T59" s="148"/>
    </row>
    <row r="60" spans="2:31">
      <c r="B60" s="7"/>
      <c r="C60" s="601" t="s">
        <v>289</v>
      </c>
      <c r="D60" s="601"/>
      <c r="E60" s="601"/>
      <c r="F60" s="601"/>
      <c r="G60" s="601"/>
      <c r="H60" s="601"/>
      <c r="I60" s="601"/>
      <c r="J60" s="601"/>
      <c r="M60" s="7"/>
      <c r="N60" s="601" t="s">
        <v>278</v>
      </c>
      <c r="O60" s="601"/>
      <c r="P60" s="601"/>
      <c r="Q60" s="601"/>
      <c r="R60" s="601"/>
      <c r="S60" s="601"/>
      <c r="T60" s="601"/>
      <c r="U60" s="601"/>
    </row>
    <row r="61" spans="2:31">
      <c r="B61" s="7"/>
      <c r="C61" s="602" t="str">
        <f>C51</f>
        <v>2/1/2025</v>
      </c>
      <c r="D61" s="602"/>
      <c r="E61" s="603" t="str">
        <f>E51</f>
        <v>6/1/25</v>
      </c>
      <c r="F61" s="602"/>
      <c r="G61" s="602" t="str">
        <f>G51</f>
        <v>Authorized</v>
      </c>
      <c r="H61" s="602"/>
      <c r="I61" s="603" t="str">
        <f>I51</f>
        <v>w/Pending</v>
      </c>
      <c r="J61" s="602"/>
      <c r="M61" s="7"/>
      <c r="N61" s="602" t="str">
        <f>N51</f>
        <v>2/1/2025</v>
      </c>
      <c r="O61" s="602"/>
      <c r="P61" s="603" t="str">
        <f>P51</f>
        <v>6/1/25</v>
      </c>
      <c r="Q61" s="602"/>
      <c r="R61" s="602" t="str">
        <f>R51</f>
        <v>Authorized</v>
      </c>
      <c r="S61" s="602"/>
      <c r="T61" s="603" t="str">
        <f>T51</f>
        <v>w/Pending</v>
      </c>
      <c r="U61" s="602"/>
    </row>
    <row r="62" spans="2:31">
      <c r="B62" s="7"/>
      <c r="C62" s="8" t="s">
        <v>196</v>
      </c>
      <c r="D62" s="8" t="s">
        <v>197</v>
      </c>
      <c r="E62" s="8" t="s">
        <v>196</v>
      </c>
      <c r="F62" s="8" t="s">
        <v>197</v>
      </c>
      <c r="G62" s="8" t="s">
        <v>196</v>
      </c>
      <c r="H62" s="8" t="s">
        <v>197</v>
      </c>
      <c r="I62" s="8" t="s">
        <v>196</v>
      </c>
      <c r="J62" s="8" t="s">
        <v>197</v>
      </c>
      <c r="M62" s="7"/>
      <c r="N62" s="8" t="s">
        <v>196</v>
      </c>
      <c r="O62" s="8" t="s">
        <v>197</v>
      </c>
      <c r="P62" s="8" t="s">
        <v>196</v>
      </c>
      <c r="Q62" s="8" t="s">
        <v>197</v>
      </c>
      <c r="R62" s="8" t="s">
        <v>196</v>
      </c>
      <c r="S62" s="8" t="s">
        <v>197</v>
      </c>
      <c r="T62" s="8" t="s">
        <v>196</v>
      </c>
      <c r="U62" s="8" t="s">
        <v>197</v>
      </c>
    </row>
    <row r="63" spans="2:31" ht="15" customHeight="1">
      <c r="B63" s="139" t="s">
        <v>227</v>
      </c>
      <c r="C63" s="160">
        <f>($C$22*$I31)+('Incremental Rev Req'!$F$85*$I31)</f>
        <v>110.08306216978896</v>
      </c>
      <c r="D63" s="160">
        <f>($C$25*$J31)+('Incremental Rev Req'!$F$85*$J31)</f>
        <v>112.52935244022871</v>
      </c>
      <c r="E63" s="160">
        <f>($D$22*$I31)+('Incremental Rev Req'!$F$85*$I31)</f>
        <v>115.00874401247803</v>
      </c>
      <c r="F63" s="160">
        <f>($D$25*$J31)+('Incremental Rev Req'!$F$85*$J31)</f>
        <v>117.56449387942199</v>
      </c>
      <c r="G63" s="160">
        <f>($E$22*$I31)+('Incremental Rev Req'!$F$85*$I31)</f>
        <v>126.46842162092952</v>
      </c>
      <c r="H63" s="160">
        <f>($E$25*$J31)+('Incremental Rev Req'!$F$85*$J31)</f>
        <v>129.27883099028352</v>
      </c>
      <c r="I63" s="160">
        <f>($F$22*$I31)+('Incremental Rev Req'!$F$85*$I31)</f>
        <v>132.14818295107446</v>
      </c>
      <c r="J63" s="160">
        <f>($F$25*$J31)+('Incremental Rev Req'!$F$85*$J31)</f>
        <v>135.08480923887609</v>
      </c>
      <c r="M63" s="139" t="s">
        <v>227</v>
      </c>
      <c r="N63" s="160">
        <f>($C$22*$L31)+('Incremental Rev Req'!$F$85*$L31)</f>
        <v>73.796423158265938</v>
      </c>
      <c r="O63" s="160">
        <f>($C$25*$M31)+('Incremental Rev Req'!$F$85*$M31)</f>
        <v>107.6367718993492</v>
      </c>
      <c r="P63" s="160">
        <f>($D$22*$L31)+('Incremental Rev Req'!$F$85*$L31)</f>
        <v>77.098454319476019</v>
      </c>
      <c r="Q63" s="160">
        <f>($D$25*$M31)+('Incremental Rev Req'!$F$85*$M31)</f>
        <v>112.45299414553408</v>
      </c>
      <c r="R63" s="160">
        <f>($E$22*$L31)+('Incremental Rev Req'!$F$85*$L31)</f>
        <v>84.780682642178689</v>
      </c>
      <c r="S63" s="160">
        <f>($E$25*$M31)+('Incremental Rev Req'!$F$85*$M31)</f>
        <v>123.65801225157554</v>
      </c>
      <c r="T63" s="160">
        <f>($F$22*$L31)+('Incremental Rev Req'!$F$85*$L31)</f>
        <v>88.588226348683236</v>
      </c>
      <c r="U63" s="160">
        <f>($F$25*$M31)+('Incremental Rev Req'!$F$85*$M31)</f>
        <v>129.21155666327277</v>
      </c>
    </row>
    <row r="64" spans="2:31" ht="15" customHeight="1">
      <c r="B64" s="142" t="s">
        <v>229</v>
      </c>
      <c r="C64" s="160">
        <f>($C$22*$I32)+('Incremental Rev Req'!$F$85*$I32)</f>
        <v>166.34773838990333</v>
      </c>
      <c r="D64" s="160">
        <f>($C$25*$J32)+('Incremental Rev Req'!$F$85*$J32)</f>
        <v>157.78572244336414</v>
      </c>
      <c r="E64" s="160">
        <f>($D$22*$I32)+('Incremental Rev Req'!$F$85*$I32)</f>
        <v>173.79099095218905</v>
      </c>
      <c r="F64" s="160">
        <f>($D$25*$J32)+('Incremental Rev Req'!$F$85*$J32)</f>
        <v>164.84586641788516</v>
      </c>
      <c r="G64" s="160">
        <f>($E$22*$I32)+('Incremental Rev Req'!$F$85*$I32)</f>
        <v>191.10783711607129</v>
      </c>
      <c r="H64" s="160">
        <f>($E$25*$J32)+('Incremental Rev Req'!$F$85*$J32)</f>
        <v>181.27140432333232</v>
      </c>
      <c r="I64" s="160">
        <f>($F$22*$I32)+('Incremental Rev Req'!$F$85*$I32)</f>
        <v>199.69058757051249</v>
      </c>
      <c r="J64" s="160">
        <f>($F$25*$J32)+('Incremental Rev Req'!$F$85*$J32)</f>
        <v>189.4123955632067</v>
      </c>
      <c r="M64" s="142" t="s">
        <v>229</v>
      </c>
      <c r="N64" s="160">
        <f>($C$22*$L32)+('Incremental Rev Req'!$F$85*$L32)</f>
        <v>185.91806055342136</v>
      </c>
      <c r="O64" s="160">
        <f>($C$25*$M32)+('Incremental Rev Req'!$F$85*$M32)</f>
        <v>270.72278992866615</v>
      </c>
      <c r="P64" s="160">
        <f>($D$22*$L32)+('Incremental Rev Req'!$F$85*$L32)</f>
        <v>194.23698988774069</v>
      </c>
      <c r="Q64" s="160">
        <f>($D$25*$M32)+('Incremental Rev Req'!$F$85*$M32)</f>
        <v>282.83631860846452</v>
      </c>
      <c r="R64" s="160">
        <f>($E$22*$L32)+('Incremental Rev Req'!$F$85*$L32)</f>
        <v>213.59111207090319</v>
      </c>
      <c r="S64" s="160">
        <f>($E$25*$M32)+('Incremental Rev Req'!$F$85*$M32)</f>
        <v>311.01863687517482</v>
      </c>
      <c r="T64" s="160">
        <f>($F$22*$L32)+('Incremental Rev Req'!$F$85*$L32)</f>
        <v>223.18359787292573</v>
      </c>
      <c r="U64" s="160">
        <f>($F$25*$M32)+('Incremental Rev Req'!$F$85*$M32)</f>
        <v>324.98664251671642</v>
      </c>
    </row>
    <row r="65" spans="2:31">
      <c r="B65" s="142" t="s">
        <v>226</v>
      </c>
      <c r="C65" s="160">
        <f>($C$22*$I33)+('Incremental Rev Req'!$F$85*$I33)</f>
        <v>194.48007649996049</v>
      </c>
      <c r="D65" s="160">
        <f>($C$25*$J33)+('Incremental Rev Req'!$F$85*$J33)</f>
        <v>133.32281973896661</v>
      </c>
      <c r="E65" s="160">
        <f>($D$22*$I33)+('Incremental Rev Req'!$F$85*$I33)</f>
        <v>203.18211442204452</v>
      </c>
      <c r="F65" s="160">
        <f>($D$25*$J33)+('Incremental Rev Req'!$F$85*$J33)</f>
        <v>139.28836774844561</v>
      </c>
      <c r="G65" s="160">
        <f>($E$22*$I33)+('Incremental Rev Req'!$F$85*$I33)</f>
        <v>223.42754486364214</v>
      </c>
      <c r="H65" s="160">
        <f>($E$25*$J33)+('Incremental Rev Req'!$F$85*$J33)</f>
        <v>153.16731062979241</v>
      </c>
      <c r="I65" s="160">
        <f>($F$22*$I33)+('Incremental Rev Req'!$F$85*$I33)</f>
        <v>233.46178988023152</v>
      </c>
      <c r="J65" s="160">
        <f>($F$25*$J33)+('Incremental Rev Req'!$F$85*$J33)</f>
        <v>160.04613268519014</v>
      </c>
      <c r="M65" s="142" t="s">
        <v>226</v>
      </c>
      <c r="N65" s="160">
        <f>($C$22*$L33)+('Incremental Rev Req'!$F$85*$L33)</f>
        <v>207.52695794230584</v>
      </c>
      <c r="O65" s="160">
        <f>($C$25*$M33)+('Incremental Rev Req'!$F$85*$M33)</f>
        <v>209.15781812259902</v>
      </c>
      <c r="P65" s="160">
        <f>($D$22*$L33)+('Incremental Rev Req'!$F$85*$L33)</f>
        <v>216.81278037907896</v>
      </c>
      <c r="Q65" s="160">
        <f>($D$25*$M33)+('Incremental Rev Req'!$F$85*$M33)</f>
        <v>218.51661362370828</v>
      </c>
      <c r="R65" s="160">
        <f>($E$22*$L33)+('Incremental Rev Req'!$F$85*$L33)</f>
        <v>238.41639483353009</v>
      </c>
      <c r="S65" s="160">
        <f>($E$25*$M33)+('Incremental Rev Req'!$F$85*$M33)</f>
        <v>240.29000107976611</v>
      </c>
      <c r="T65" s="160">
        <f>($F$22*$L33)+('Incremental Rev Req'!$F$85*$L33)</f>
        <v>249.123796748507</v>
      </c>
      <c r="U65" s="160">
        <f>($F$25*$M33)+('Incremental Rev Req'!$F$85*$M33)</f>
        <v>251.08154760704144</v>
      </c>
    </row>
    <row r="66" spans="2:31" s="10" customFormat="1" ht="18" customHeight="1">
      <c r="B66" s="145" t="s">
        <v>228</v>
      </c>
      <c r="C66" s="160">
        <f>($C$22*$I34)+('Incremental Rev Req'!$F$85*$I34)</f>
        <v>127.20709406286724</v>
      </c>
      <c r="D66" s="160">
        <f>($C$25*$J34)+('Incremental Rev Req'!$F$85*$J34)</f>
        <v>117.42193298110821</v>
      </c>
      <c r="E66" s="160">
        <f>($D$22*$I34)+('Incremental Rev Req'!$F$85*$I34)</f>
        <v>132.89899308108571</v>
      </c>
      <c r="F66" s="160">
        <f>($D$25*$J34)+('Incremental Rev Req'!$F$85*$J34)</f>
        <v>122.67599361330991</v>
      </c>
      <c r="G66" s="160">
        <f>($E$22*$I34)+('Incremental Rev Req'!$F$85*$I34)</f>
        <v>146.14128720640744</v>
      </c>
      <c r="H66" s="160">
        <f>($E$25*$J34)+('Incremental Rev Req'!$F$85*$J34)</f>
        <v>134.89964972899151</v>
      </c>
      <c r="I66" s="160">
        <f>($F$22*$I34)+('Incremental Rev Req'!$F$85*$I34)</f>
        <v>152.70456696568601</v>
      </c>
      <c r="J66" s="160">
        <f>($F$25*$J34)+('Incremental Rev Req'!$F$85*$J34)</f>
        <v>140.95806181447941</v>
      </c>
      <c r="M66" s="145" t="s">
        <v>228</v>
      </c>
      <c r="N66" s="160">
        <f>($C$22*$L34)+('Incremental Rev Req'!$F$85*$L34)</f>
        <v>106.82134180920262</v>
      </c>
      <c r="O66" s="160">
        <f>($C$25*$M34)+('Incremental Rev Req'!$F$85*$M34)</f>
        <v>148.81599145175173</v>
      </c>
      <c r="P66" s="160">
        <f>($D$22*$L34)+('Incremental Rev Req'!$F$85*$L34)</f>
        <v>111.60107752321942</v>
      </c>
      <c r="Q66" s="160">
        <f>($D$25*$M34)+('Incremental Rev Req'!$F$85*$M34)</f>
        <v>155.474783572424</v>
      </c>
      <c r="R66" s="160">
        <f>($E$22*$L34)+('Incremental Rev Req'!$F$85*$L34)</f>
        <v>122.72120912845753</v>
      </c>
      <c r="S66" s="160">
        <f>($E$25*$M34)+('Incremental Rev Req'!$F$85*$M34)</f>
        <v>170.96656996903437</v>
      </c>
      <c r="T66" s="160">
        <f>($F$22*$L34)+('Incremental Rev Req'!$F$85*$L34)</f>
        <v>128.23268123400555</v>
      </c>
      <c r="U66" s="160">
        <f>($F$25*$M34)+('Incremental Rev Req'!$F$85*$M34)</f>
        <v>178.64476584126731</v>
      </c>
      <c r="X66" s="6"/>
      <c r="Y66" s="6"/>
      <c r="Z66" s="6"/>
      <c r="AA66" s="6"/>
      <c r="AB66" s="6"/>
      <c r="AC66" s="6"/>
      <c r="AD66" s="6"/>
      <c r="AE66" s="6"/>
    </row>
    <row r="67" spans="2:31">
      <c r="B67" s="6" t="s">
        <v>113</v>
      </c>
      <c r="C67" s="158">
        <f t="shared" ref="C67:J67" si="14">SUMPRODUCT(C63:C66,$U$22:$U$25)</f>
        <v>117.43278189641492</v>
      </c>
      <c r="D67" s="158">
        <f t="shared" si="14"/>
        <v>114.87211405749289</v>
      </c>
      <c r="E67" s="158">
        <f t="shared" si="14"/>
        <v>122.68732796483253</v>
      </c>
      <c r="F67" s="158">
        <f t="shared" si="14"/>
        <v>120.01208268928468</v>
      </c>
      <c r="G67" s="158">
        <f t="shared" si="14"/>
        <v>134.91211345563653</v>
      </c>
      <c r="H67" s="158">
        <f t="shared" si="14"/>
        <v>131.97030194076012</v>
      </c>
      <c r="I67" s="158">
        <f t="shared" si="14"/>
        <v>140.97108529344621</v>
      </c>
      <c r="J67" s="158">
        <f t="shared" si="14"/>
        <v>137.89715552273469</v>
      </c>
      <c r="M67" s="6" t="s">
        <v>113</v>
      </c>
      <c r="N67" s="158">
        <f>SUMPRODUCT(N63:N66,$U$31:$U$34)</f>
        <v>89.706680366543608</v>
      </c>
      <c r="O67" s="158">
        <f t="shared" ref="O67:U67" si="15">SUMPRODUCT(O63:O66,$U$31:$U$34)</f>
        <v>127.58878829204122</v>
      </c>
      <c r="P67" s="158">
        <f t="shared" si="15"/>
        <v>93.720618187131066</v>
      </c>
      <c r="Q67" s="158">
        <f t="shared" si="15"/>
        <v>133.29776627133731</v>
      </c>
      <c r="R67" s="158">
        <f t="shared" si="15"/>
        <v>103.05910874201246</v>
      </c>
      <c r="S67" s="158">
        <f t="shared" si="15"/>
        <v>146.5797948728366</v>
      </c>
      <c r="T67" s="158">
        <f t="shared" si="15"/>
        <v>107.68754588900703</v>
      </c>
      <c r="U67" s="158">
        <f t="shared" si="15"/>
        <v>153.16276823510978</v>
      </c>
      <c r="X67" s="10"/>
      <c r="Y67" s="10"/>
      <c r="Z67" s="10"/>
      <c r="AA67" s="10"/>
    </row>
    <row r="68" spans="2:31">
      <c r="B68" s="7"/>
      <c r="C68" s="144"/>
      <c r="D68" s="144"/>
      <c r="E68" s="159"/>
      <c r="F68" s="147"/>
      <c r="G68" s="148"/>
      <c r="H68" s="148"/>
      <c r="I68" s="148"/>
      <c r="J68" s="148"/>
      <c r="M68" s="7"/>
      <c r="N68" s="144"/>
      <c r="O68" s="144"/>
      <c r="P68" s="159"/>
      <c r="Q68" s="147"/>
      <c r="R68" s="148"/>
      <c r="S68" s="148"/>
      <c r="T68" s="148"/>
      <c r="U68" s="148"/>
    </row>
    <row r="69" spans="2:31">
      <c r="B69" s="7"/>
      <c r="C69" s="144"/>
      <c r="D69" s="144"/>
      <c r="E69" s="159"/>
      <c r="F69" s="144"/>
      <c r="G69" s="148"/>
      <c r="H69" s="148"/>
      <c r="I69" s="148"/>
      <c r="J69" s="148"/>
      <c r="M69" s="7"/>
      <c r="N69" s="144"/>
      <c r="O69" s="144"/>
      <c r="P69" s="159"/>
      <c r="Q69" s="144"/>
      <c r="R69" s="148"/>
      <c r="S69" s="148"/>
      <c r="T69" s="148"/>
      <c r="U69" s="148"/>
    </row>
    <row r="70" spans="2:31">
      <c r="B70" s="7"/>
      <c r="C70" s="601" t="s">
        <v>290</v>
      </c>
      <c r="D70" s="601"/>
      <c r="E70" s="601"/>
      <c r="F70" s="601"/>
      <c r="G70" s="601"/>
      <c r="H70" s="601"/>
      <c r="I70" s="601"/>
      <c r="J70" s="601"/>
      <c r="M70" s="7"/>
      <c r="N70" s="601" t="s">
        <v>279</v>
      </c>
      <c r="O70" s="601"/>
      <c r="P70" s="601"/>
      <c r="Q70" s="601"/>
      <c r="R70" s="601"/>
      <c r="S70" s="601"/>
      <c r="T70" s="601"/>
      <c r="U70" s="601"/>
      <c r="AD70" s="10"/>
      <c r="AE70" s="10"/>
    </row>
    <row r="71" spans="2:31">
      <c r="B71" s="7"/>
      <c r="C71" s="604" t="str">
        <f>C61</f>
        <v>2/1/2025</v>
      </c>
      <c r="D71" s="604"/>
      <c r="E71" s="605" t="str">
        <f>E61</f>
        <v>6/1/25</v>
      </c>
      <c r="F71" s="604"/>
      <c r="G71" s="604" t="str">
        <f>G61</f>
        <v>Authorized</v>
      </c>
      <c r="H71" s="604"/>
      <c r="I71" s="605" t="str">
        <f>I61</f>
        <v>w/Pending</v>
      </c>
      <c r="J71" s="604"/>
      <c r="M71" s="7"/>
      <c r="N71" s="604" t="str">
        <f>N61</f>
        <v>2/1/2025</v>
      </c>
      <c r="O71" s="604"/>
      <c r="P71" s="605" t="str">
        <f>P61</f>
        <v>6/1/25</v>
      </c>
      <c r="Q71" s="604"/>
      <c r="R71" s="604" t="str">
        <f>R61</f>
        <v>Authorized</v>
      </c>
      <c r="S71" s="604"/>
      <c r="T71" s="605" t="str">
        <f>T61</f>
        <v>w/Pending</v>
      </c>
      <c r="U71" s="604"/>
      <c r="AB71" s="10"/>
      <c r="AC71" s="10"/>
    </row>
    <row r="72" spans="2:31">
      <c r="B72" s="7"/>
      <c r="C72" s="144" t="s">
        <v>196</v>
      </c>
      <c r="D72" s="144" t="s">
        <v>197</v>
      </c>
      <c r="E72" s="144" t="s">
        <v>196</v>
      </c>
      <c r="F72" s="144" t="s">
        <v>197</v>
      </c>
      <c r="G72" s="144" t="s">
        <v>196</v>
      </c>
      <c r="H72" s="144" t="s">
        <v>197</v>
      </c>
      <c r="I72" s="144" t="s">
        <v>196</v>
      </c>
      <c r="J72" s="144" t="s">
        <v>197</v>
      </c>
      <c r="M72" s="7"/>
      <c r="N72" s="144" t="s">
        <v>196</v>
      </c>
      <c r="O72" s="144" t="s">
        <v>197</v>
      </c>
      <c r="P72" s="144" t="s">
        <v>196</v>
      </c>
      <c r="Q72" s="144" t="s">
        <v>197</v>
      </c>
      <c r="R72" s="144" t="s">
        <v>196</v>
      </c>
      <c r="S72" s="144" t="s">
        <v>197</v>
      </c>
      <c r="T72" s="144" t="s">
        <v>196</v>
      </c>
      <c r="U72" s="144" t="s">
        <v>197</v>
      </c>
    </row>
    <row r="73" spans="2:31">
      <c r="B73" s="139" t="s">
        <v>227</v>
      </c>
      <c r="C73" s="160">
        <f>($C$31*$I31)+('Incremental Rev Req'!$F$85*$I31)</f>
        <v>68.428799999999981</v>
      </c>
      <c r="D73" s="160">
        <f>($C$34*$J31)+('Incremental Rev Req'!$F$85*$J31)</f>
        <v>69.949439999999996</v>
      </c>
      <c r="E73" s="160">
        <f>($D$31*$I31)+('Incremental Rev Req'!$F$85*$I31)</f>
        <v>71.628299999999996</v>
      </c>
      <c r="F73" s="160">
        <f>($D$34*$J31)+('Incremental Rev Req'!$F$85*$J31)</f>
        <v>73.220039999999997</v>
      </c>
      <c r="G73" s="160">
        <f>($E$31*$I31)+('Incremental Rev Req'!$F$85*$I31)</f>
        <v>78.75733888062004</v>
      </c>
      <c r="H73" s="160">
        <f>($E$34*$J31)+('Incremental Rev Req'!$F$85*$J31)</f>
        <v>80.507501966856054</v>
      </c>
      <c r="I73" s="160">
        <f>($F$31*$I31)+('Incremental Rev Req'!$F$85*$I31)</f>
        <v>82.290705240366776</v>
      </c>
      <c r="J73" s="160">
        <f>($F$34*$J31)+('Incremental Rev Req'!$F$85*$J31)</f>
        <v>84.119387579041586</v>
      </c>
      <c r="M73" s="139" t="s">
        <v>227</v>
      </c>
      <c r="N73" s="160">
        <f>($C$31*$L31)+('Incremental Rev Req'!$F$85*$L31)</f>
        <v>45.87263999999999</v>
      </c>
      <c r="O73" s="160">
        <f>($C$34*$M31)+('Incremental Rev Req'!$F$85*$M31)</f>
        <v>66.908159999999995</v>
      </c>
      <c r="P73" s="160">
        <f>($D$31*$L31)+('Incremental Rev Req'!$F$85*$L31)</f>
        <v>48.017489999999995</v>
      </c>
      <c r="Q73" s="160">
        <f>($D$34*$M31)+('Incremental Rev Req'!$F$85*$M31)</f>
        <v>70.036560000000009</v>
      </c>
      <c r="R73" s="160">
        <f>($E$31*$L31)+('Incremental Rev Req'!$F$85*$L31)</f>
        <v>52.796586434786029</v>
      </c>
      <c r="S73" s="160">
        <f>($E$34*$M31)+('Incremental Rev Req'!$F$85*$M31)</f>
        <v>77.007175794384054</v>
      </c>
      <c r="T73" s="160">
        <f>($F$31*$L31)+('Incremental Rev Req'!$F$85*$L31)</f>
        <v>55.16525055002365</v>
      </c>
      <c r="U73" s="160">
        <f>($F$34*$M31)+('Incremental Rev Req'!$F$85*$M31)</f>
        <v>80.462022901691967</v>
      </c>
    </row>
    <row r="74" spans="2:31">
      <c r="B74" s="142" t="s">
        <v>229</v>
      </c>
      <c r="C74" s="160">
        <f>($C$31*$I32)+('Incremental Rev Req'!$F$85*$I32)</f>
        <v>103.40352</v>
      </c>
      <c r="D74" s="160">
        <f>($C$34*$J32)+('Incremental Rev Req'!$F$85*$J32)</f>
        <v>98.081279999999992</v>
      </c>
      <c r="E74" s="160">
        <f>($D$31*$I32)+('Incremental Rev Req'!$F$85*$I32)</f>
        <v>108.23832</v>
      </c>
      <c r="F74" s="160">
        <f>($D$34*$J32)+('Incremental Rev Req'!$F$85*$J32)</f>
        <v>102.66723</v>
      </c>
      <c r="G74" s="160">
        <f>($E$31*$I32)+('Incremental Rev Req'!$F$85*$I32)</f>
        <v>119.01108986404809</v>
      </c>
      <c r="H74" s="160">
        <f>($E$34*$J32)+('Incremental Rev Req'!$F$85*$J32)</f>
        <v>112.88551906222207</v>
      </c>
      <c r="I74" s="160">
        <f>($F$31*$I32)+('Incremental Rev Req'!$F$85*$I32)</f>
        <v>124.35039902988758</v>
      </c>
      <c r="J74" s="160">
        <f>($F$34*$J32)+('Incremental Rev Req'!$F$85*$J32)</f>
        <v>117.95001084452572</v>
      </c>
      <c r="M74" s="142" t="s">
        <v>229</v>
      </c>
      <c r="N74" s="160">
        <f>($C$31*$L32)+('Incremental Rev Req'!$F$85*$L32)</f>
        <v>115.56863999999999</v>
      </c>
      <c r="O74" s="160">
        <f>($C$34*$M32)+('Incremental Rev Req'!$F$85*$M32)</f>
        <v>168.28415999999999</v>
      </c>
      <c r="P74" s="160">
        <f>($D$31*$L32)+('Incremental Rev Req'!$F$85*$L32)</f>
        <v>120.97224</v>
      </c>
      <c r="Q74" s="160">
        <f>($D$34*$M32)+('Incremental Rev Req'!$F$85*$M32)</f>
        <v>176.15256000000002</v>
      </c>
      <c r="R74" s="160">
        <f>($E$31*$L32)+('Incremental Rev Req'!$F$85*$L32)</f>
        <v>133.01239455393608</v>
      </c>
      <c r="S74" s="160">
        <f>($E$34*$M32)+('Incremental Rev Req'!$F$85*$M32)</f>
        <v>193.68471487678414</v>
      </c>
      <c r="T74" s="160">
        <f>($F$31*$L32)+('Incremental Rev Req'!$F$85*$L32)</f>
        <v>138.9798577392861</v>
      </c>
      <c r="U74" s="160">
        <f>($F$34*$M32)+('Incremental Rev Req'!$F$85*$M32)</f>
        <v>202.37417881334648</v>
      </c>
    </row>
    <row r="75" spans="2:31">
      <c r="B75" s="142" t="s">
        <v>226</v>
      </c>
      <c r="C75" s="160">
        <f>($C$31*$I33)+('Incremental Rev Req'!$F$85*$I33)</f>
        <v>120.89088</v>
      </c>
      <c r="D75" s="160">
        <f>($C$34*$J33)+('Incremental Rev Req'!$F$85*$J33)</f>
        <v>82.87487999999999</v>
      </c>
      <c r="E75" s="160">
        <f>($D$31*$I33)+('Incremental Rev Req'!$F$85*$I33)</f>
        <v>126.54333000000001</v>
      </c>
      <c r="F75" s="160">
        <f>($D$34*$J33)+('Incremental Rev Req'!$F$85*$J33)</f>
        <v>86.749830000000003</v>
      </c>
      <c r="G75" s="160">
        <f>($E$31*$I33)+('Incremental Rev Req'!$F$85*$I33)</f>
        <v>139.13796535576208</v>
      </c>
      <c r="H75" s="160">
        <f>($E$34*$J33)+('Incremental Rev Req'!$F$85*$J33)</f>
        <v>95.383888199862056</v>
      </c>
      <c r="I75" s="160">
        <f>($F$31*$I33)+('Incremental Rev Req'!$F$85*$I33)</f>
        <v>145.38024592464797</v>
      </c>
      <c r="J75" s="160">
        <f>($F$34*$J33)+('Incremental Rev Req'!$F$85*$J33)</f>
        <v>99.663187457777539</v>
      </c>
      <c r="M75" s="142" t="s">
        <v>226</v>
      </c>
      <c r="N75" s="160">
        <f>($C$31*$L33)+('Incremental Rev Req'!$F$85*$L33)</f>
        <v>129.00095999999996</v>
      </c>
      <c r="O75" s="160">
        <f>($C$34*$M33)+('Incremental Rev Req'!$F$85*$M33)</f>
        <v>130.01472000000001</v>
      </c>
      <c r="P75" s="160">
        <f>($D$31*$L33)+('Incremental Rev Req'!$F$85*$L33)</f>
        <v>135.03260999999998</v>
      </c>
      <c r="Q75" s="160">
        <f>($D$34*$M33)+('Incremental Rev Req'!$F$85*$M33)</f>
        <v>136.09377000000001</v>
      </c>
      <c r="R75" s="160">
        <f>($E$31*$L33)+('Incremental Rev Req'!$F$85*$L33)</f>
        <v>148.47216848235408</v>
      </c>
      <c r="S75" s="160">
        <f>($E$34*$M33)+('Incremental Rev Req'!$F$85*$M33)</f>
        <v>149.63894387317811</v>
      </c>
      <c r="T75" s="160">
        <f>($F$31*$L33)+('Incremental Rev Req'!$F$85*$L33)</f>
        <v>155.13321839758032</v>
      </c>
      <c r="U75" s="160">
        <f>($F$34*$M33)+('Incremental Rev Req'!$F$85*$M33)</f>
        <v>156.35233995669688</v>
      </c>
    </row>
    <row r="76" spans="2:31">
      <c r="B76" s="145" t="s">
        <v>228</v>
      </c>
      <c r="C76" s="160">
        <f>($C$31*$I34)+('Incremental Rev Req'!$F$85*$I34)</f>
        <v>79.073279999999997</v>
      </c>
      <c r="D76" s="160">
        <f>($C$34*$J34)+('Incremental Rev Req'!$F$85*$J34)</f>
        <v>72.990719999999996</v>
      </c>
      <c r="E76" s="160">
        <f>($D$31*$I34)+('Incremental Rev Req'!$F$85*$I34)</f>
        <v>82.770480000000006</v>
      </c>
      <c r="F76" s="160">
        <f>($D$34*$J34)+('Incremental Rev Req'!$F$85*$J34)</f>
        <v>76.40352</v>
      </c>
      <c r="G76" s="160">
        <f>($E$31*$I34)+('Incremental Rev Req'!$F$85*$I34)</f>
        <v>91.008480484272056</v>
      </c>
      <c r="H76" s="160">
        <f>($E$34*$J34)+('Incremental Rev Req'!$F$85*$J34)</f>
        <v>84.007828139328055</v>
      </c>
      <c r="I76" s="160">
        <f>($F$31*$I34)+('Incremental Rev Req'!$F$85*$I34)</f>
        <v>95.091481611090501</v>
      </c>
      <c r="J76" s="160">
        <f>($F$34*$J34)+('Incremental Rev Req'!$F$85*$J34)</f>
        <v>87.776752256391234</v>
      </c>
      <c r="M76" s="145" t="s">
        <v>228</v>
      </c>
      <c r="N76" s="160">
        <f>($C$31*$L34)+('Incremental Rev Req'!$F$85*$L34)</f>
        <v>66.401279999999986</v>
      </c>
      <c r="O76" s="160">
        <f>($C$34*$M34)+('Incremental Rev Req'!$F$85*$M34)</f>
        <v>92.505599999999987</v>
      </c>
      <c r="P76" s="160">
        <f>($D$31*$L34)+('Incremental Rev Req'!$F$85*$L34)</f>
        <v>69.505979999999994</v>
      </c>
      <c r="Q76" s="160">
        <f>($D$34*$M34)+('Incremental Rev Req'!$F$85*$M34)</f>
        <v>96.830849999999998</v>
      </c>
      <c r="R76" s="160">
        <f>($E$31*$L34)+('Incremental Rev Req'!$F$85*$L34)</f>
        <v>76.42378809897204</v>
      </c>
      <c r="S76" s="160">
        <f>($E$34*$M34)+('Incremental Rev Req'!$F$85*$M34)</f>
        <v>106.46825441269007</v>
      </c>
      <c r="T76" s="160">
        <f>($F$31*$L34)+('Incremental Rev Req'!$F$85*$L34)</f>
        <v>79.852462122133687</v>
      </c>
      <c r="U76" s="160">
        <f>($F$34*$M34)+('Incremental Rev Req'!$F$85*$M34)</f>
        <v>111.24484226938472</v>
      </c>
    </row>
    <row r="77" spans="2:31">
      <c r="B77" s="6" t="s">
        <v>113</v>
      </c>
      <c r="C77" s="158">
        <f>SUMPRODUCT(C73:C76,$V$22:$V$25)</f>
        <v>73.981086877039843</v>
      </c>
      <c r="D77" s="158">
        <f t="shared" ref="D77:J77" si="16">SUMPRODUCT(D73:D76,$V$22:$V$25)</f>
        <v>71.680428596958194</v>
      </c>
      <c r="E77" s="158">
        <f t="shared" si="16"/>
        <v>77.440193093473411</v>
      </c>
      <c r="F77" s="158">
        <f t="shared" si="16"/>
        <v>75.031963788222242</v>
      </c>
      <c r="G77" s="158">
        <f t="shared" si="16"/>
        <v>85.14767948483123</v>
      </c>
      <c r="H77" s="158">
        <f t="shared" si="16"/>
        <v>82.499763346993163</v>
      </c>
      <c r="I77" s="158">
        <f t="shared" si="16"/>
        <v>88.967741850806277</v>
      </c>
      <c r="J77" s="158">
        <f t="shared" si="16"/>
        <v>86.201029700585792</v>
      </c>
      <c r="M77" s="6" t="s">
        <v>113</v>
      </c>
      <c r="N77" s="158">
        <f>SUMPRODUCT(N73:N76,$V$31:$V$34)</f>
        <v>58.193370232699607</v>
      </c>
      <c r="O77" s="158">
        <f t="shared" ref="O77:U77" si="17">SUMPRODUCT(O73:O76,$V$31:$V$34)</f>
        <v>82.326719979141757</v>
      </c>
      <c r="P77" s="158">
        <f t="shared" si="17"/>
        <v>60.914296042585548</v>
      </c>
      <c r="Q77" s="158">
        <f t="shared" si="17"/>
        <v>86.176039864530154</v>
      </c>
      <c r="R77" s="158">
        <f t="shared" si="17"/>
        <v>66.976988928961362</v>
      </c>
      <c r="S77" s="158">
        <f t="shared" si="17"/>
        <v>94.75298974009749</v>
      </c>
      <c r="T77" s="158">
        <f t="shared" si="17"/>
        <v>69.981842101024995</v>
      </c>
      <c r="U77" s="158">
        <f t="shared" si="17"/>
        <v>99.003984392679271</v>
      </c>
    </row>
    <row r="78" spans="2:31">
      <c r="B78" s="7"/>
      <c r="C78" s="8"/>
      <c r="D78" s="8"/>
      <c r="E78" s="9"/>
      <c r="F78" s="8"/>
      <c r="G78" s="148"/>
      <c r="H78" s="148"/>
      <c r="I78" s="148"/>
      <c r="J78" s="148"/>
      <c r="M78" s="7"/>
      <c r="N78" s="8"/>
      <c r="O78" s="8"/>
      <c r="P78" s="9"/>
      <c r="Q78" s="8"/>
      <c r="R78" s="148"/>
      <c r="S78" s="148"/>
      <c r="T78" s="148"/>
      <c r="U78" s="148"/>
    </row>
    <row r="79" spans="2:31" ht="15.75" thickBot="1"/>
    <row r="80" spans="2:31" ht="15.75" thickBot="1">
      <c r="B80" s="517">
        <f>IF(Summary!$I$9="",400,Summary!$I$9)</f>
        <v>400</v>
      </c>
      <c r="C80" s="601" t="str">
        <f>$B$80&amp;" kWh Monthly Basic Bundled Non-CARE Customer"</f>
        <v>400 kWh Monthly Basic Bundled Non-CARE Customer</v>
      </c>
      <c r="D80" s="601"/>
      <c r="E80" s="601"/>
      <c r="F80" s="601"/>
      <c r="G80" s="601"/>
      <c r="H80" s="601"/>
      <c r="I80" s="601"/>
      <c r="J80" s="601"/>
      <c r="M80" s="517">
        <f>IF(Summary!$I$9="",400,Summary!$I$9)</f>
        <v>400</v>
      </c>
      <c r="N80" s="601" t="str">
        <f>$M$80&amp;" kWh Monthly All-Electric Bundled Non-CARE Customer"</f>
        <v>400 kWh Monthly All-Electric Bundled Non-CARE Customer</v>
      </c>
      <c r="O80" s="601"/>
      <c r="P80" s="601"/>
      <c r="Q80" s="601"/>
      <c r="R80" s="601"/>
      <c r="S80" s="601"/>
      <c r="T80" s="601"/>
      <c r="U80" s="601"/>
    </row>
    <row r="81" spans="2:21">
      <c r="B81" s="7"/>
      <c r="C81" s="602" t="str">
        <f>C71</f>
        <v>2/1/2025</v>
      </c>
      <c r="D81" s="602"/>
      <c r="E81" s="603" t="str">
        <f>E71</f>
        <v>6/1/25</v>
      </c>
      <c r="F81" s="602"/>
      <c r="G81" s="602" t="str">
        <f>G71</f>
        <v>Authorized</v>
      </c>
      <c r="H81" s="602"/>
      <c r="I81" s="603" t="str">
        <f>I71</f>
        <v>w/Pending</v>
      </c>
      <c r="J81" s="602"/>
      <c r="M81" s="7"/>
      <c r="N81" s="602" t="str">
        <f>N71</f>
        <v>2/1/2025</v>
      </c>
      <c r="O81" s="602"/>
      <c r="P81" s="603" t="str">
        <f>P71</f>
        <v>6/1/25</v>
      </c>
      <c r="Q81" s="602"/>
      <c r="R81" s="602" t="str">
        <f>R71</f>
        <v>Authorized</v>
      </c>
      <c r="S81" s="602"/>
      <c r="T81" s="603" t="str">
        <f>T71</f>
        <v>w/Pending</v>
      </c>
      <c r="U81" s="602"/>
    </row>
    <row r="82" spans="2:21">
      <c r="B82" s="7"/>
      <c r="C82" s="8" t="s">
        <v>196</v>
      </c>
      <c r="D82" s="8" t="s">
        <v>197</v>
      </c>
      <c r="E82" s="8" t="s">
        <v>196</v>
      </c>
      <c r="F82" s="8" t="s">
        <v>197</v>
      </c>
      <c r="G82" s="8" t="s">
        <v>196</v>
      </c>
      <c r="H82" s="8" t="s">
        <v>197</v>
      </c>
      <c r="I82" s="8" t="s">
        <v>196</v>
      </c>
      <c r="J82" s="8" t="s">
        <v>197</v>
      </c>
      <c r="M82" s="7"/>
      <c r="N82" s="8" t="s">
        <v>196</v>
      </c>
      <c r="O82" s="8" t="s">
        <v>197</v>
      </c>
      <c r="P82" s="8" t="s">
        <v>196</v>
      </c>
      <c r="Q82" s="8" t="s">
        <v>197</v>
      </c>
      <c r="R82" s="8" t="s">
        <v>196</v>
      </c>
      <c r="S82" s="8" t="s">
        <v>197</v>
      </c>
      <c r="T82" s="8" t="s">
        <v>196</v>
      </c>
      <c r="U82" s="8" t="s">
        <v>197</v>
      </c>
    </row>
    <row r="83" spans="2:21">
      <c r="B83" s="139" t="s">
        <v>227</v>
      </c>
      <c r="C83" s="160">
        <f>$C$22*MIN(I22,$B$80)+IF($B$80-I22&gt;0,$C$23*($B$80-I22))+('Incremental Rev Req'!$F$85*$B$80)</f>
        <v>168.25265543379194</v>
      </c>
      <c r="D83" s="160">
        <f>$C$25*MIN(J22,$B$80)+IF($B$80-J22&gt;0,$C$26*($B$80-J22))+('Incremental Rev Req'!$F$85*$B$80)</f>
        <v>167.40912279632661</v>
      </c>
      <c r="E83" s="160">
        <f>$D$22*MIN(I22,$B$80)+IF($B$80-I22&gt;0,$D$23*($B$80-I22))+('Incremental Rev Req'!$F$85*$B$80)</f>
        <v>175.78159827915951</v>
      </c>
      <c r="F83" s="160">
        <f>$D$25*MIN(J22,$B$80)+IF($B$80-J22&gt;0,$D$26*($B$80-J22))+('Incremental Rev Req'!$F$85*$B$80)</f>
        <v>174.9002474520201</v>
      </c>
      <c r="G83" s="160">
        <f>$E$22*MIN(I22,$B$80)+IF($B$80-I22&gt;0,$E$23*($B$80-I22))+('Incremental Rev Req'!$F$85*$B$80)</f>
        <v>193.29780425751147</v>
      </c>
      <c r="H83" s="160">
        <f>$E$25*MIN(J22,$B$80)+IF($B$80-J22&gt;0,$E$26*($B$80-J22))+('Incremental Rev Req'!$F$85*$B$80)</f>
        <v>192.32846880707686</v>
      </c>
      <c r="I83" s="160">
        <f>$F$22*MIN(I22,$B$80)+IF($B$80-I22&gt;0,$F$23*($B$80-I22))+('Incremental Rev Req'!$F$85*$B$80)</f>
        <v>201.97936343971088</v>
      </c>
      <c r="J83" s="160">
        <f>$F$25*MIN(J22,$B$80)+IF($B$80-J22&gt;0,$F$26*($B$80-J22))+('Incremental Rev Req'!$F$85*$B$80)</f>
        <v>200.9664201603203</v>
      </c>
      <c r="M83" s="139" t="s">
        <v>227</v>
      </c>
      <c r="N83" s="160">
        <f>$C$22*MIN($L22,$M$80)+IF($M$80-$L22&gt;0,$C$23*($M$80-$L22))+('Incremental Rev Req'!$F$85*$M$80)</f>
        <v>180.48387867703875</v>
      </c>
      <c r="O83" s="160">
        <f>$C$25*MIN($M22,$M$80)+IF($M$80-$M22&gt;0,$C$26*($M$80-$M22))+('Incremental Rev Req'!$F$85*$M$80)</f>
        <v>169.09618807125722</v>
      </c>
      <c r="P83" s="160">
        <f>$D$22*MIN($L22,$M$80)+IF($M$80-$L22&gt;0,$D$23*($M$80-$L22))+('Incremental Rev Req'!$F$85*$M$80)</f>
        <v>188.56118527268148</v>
      </c>
      <c r="Q83" s="160">
        <f>$D$25*MIN($M22,$M$80)+IF($M$80-$M22&gt;0,$D$26*($M$80-$M22))+('Incremental Rev Req'!$F$85*$M$80)</f>
        <v>176.66294910629895</v>
      </c>
      <c r="R83" s="160">
        <f>$E$22*MIN($L22,$M$80)+IF($M$80-$L22&gt;0,$E$23*($M$80-$L22))+('Incremental Rev Req'!$F$85*$M$80)</f>
        <v>207.35316828881383</v>
      </c>
      <c r="S83" s="160">
        <f>$E$25*MIN($M22,$M$80)+IF($M$80-$M22&gt;0,$E$26*($M$80-$M22))+('Incremental Rev Req'!$F$85*$M$80)</f>
        <v>194.26713970794614</v>
      </c>
      <c r="T83" s="160">
        <f>$F$22*MIN($L22,$M$80)+IF($M$80-$L22&gt;0,$F$23*($M$80-$L22))+('Incremental Rev Req'!$F$85*$M$80)</f>
        <v>216.6670409908742</v>
      </c>
      <c r="U83" s="160">
        <f>$F$25*MIN($M22,$M$80)+IF($M$80-$M22&gt;0,$F$26*($M$80-$M22))+('Incremental Rev Req'!$F$85*$M$80)</f>
        <v>202.99230671910146</v>
      </c>
    </row>
    <row r="84" spans="2:21">
      <c r="B84" s="142" t="s">
        <v>229</v>
      </c>
      <c r="C84" s="160">
        <f>$C$22*MIN(I23,$B$80)+IF($B$80-I23&gt;0,$C$23*($B$80-I23))+('Incremental Rev Req'!$F$85*$B$80)</f>
        <v>163.08601802931699</v>
      </c>
      <c r="D84" s="160">
        <f>$C$25*MIN(J23,$B$80)+IF($B$80-J23&gt;0,$C$26*($B$80-J23))+('Incremental Rev Req'!$F$85*$B$80)</f>
        <v>163.08601802931696</v>
      </c>
      <c r="E84" s="160">
        <f>$D$22*MIN(I23,$B$80)+IF($B$80-I23&gt;0,$D$23*($B$80-I23))+('Incremental Rev Req'!$F$85*$B$80)</f>
        <v>170.3833244629304</v>
      </c>
      <c r="F84" s="160">
        <f>$D$25*MIN(J23,$B$80)+IF($B$80-J23&gt;0,$D$26*($B$80-J23))+('Incremental Rev Req'!$F$85*$B$80)</f>
        <v>170.3833244629304</v>
      </c>
      <c r="G84" s="160">
        <f>$E$22*MIN(I23,$B$80)+IF($B$80-I23&gt;0,$E$23*($B$80-I23))+('Incremental Rev Req'!$F$85*$B$80)</f>
        <v>187.36062462359928</v>
      </c>
      <c r="H84" s="160">
        <f>$E$25*MIN(J23,$B$80)+IF($B$80-J23&gt;0,$E$26*($B$80-J23))+('Incremental Rev Req'!$F$85*$B$80)</f>
        <v>187.36062462359928</v>
      </c>
      <c r="I84" s="160">
        <f>$F$22*MIN(I23,$B$80)+IF($B$80-I23&gt;0,$F$23*($B$80-I23))+('Incremental Rev Req'!$F$85*$B$80)</f>
        <v>195.77508585344361</v>
      </c>
      <c r="J84" s="160">
        <f>$F$25*MIN(J23,$B$80)+IF($B$80-J23&gt;0,$F$26*($B$80-J23))+('Incremental Rev Req'!$F$85*$B$80)</f>
        <v>195.77508585344361</v>
      </c>
      <c r="M84" s="142" t="s">
        <v>229</v>
      </c>
      <c r="N84" s="160">
        <f>$C$22*MIN($L23,$M$80)+IF($M$80-$L23&gt;0,$C$23*($M$80-$L23))+('Incremental Rev Req'!$F$85*$M$80)</f>
        <v>163.08601802931699</v>
      </c>
      <c r="O84" s="160">
        <f>$C$25*MIN($M23,$M$80)+IF($M$80-$M23&gt;0,$C$26*($M$80-$M23))+('Incremental Rev Req'!$F$85*$M$80)</f>
        <v>163.08601802931696</v>
      </c>
      <c r="P84" s="160">
        <f>$D$22*MIN($L23,$M$80)+IF($M$80-$L23&gt;0,$D$23*($M$80-$L23))+('Incremental Rev Req'!$F$85*$M$80)</f>
        <v>170.3833244629304</v>
      </c>
      <c r="Q84" s="160">
        <f>$D$25*MIN($M23,$M$80)+IF($M$80-$M23&gt;0,$D$26*($M$80-$M23))+('Incremental Rev Req'!$F$85*$M$80)</f>
        <v>170.3833244629304</v>
      </c>
      <c r="R84" s="160">
        <f>$E$22*MIN($L23,$M$80)+IF($M$80-$L23&gt;0,$E$23*($M$80-$L23))+('Incremental Rev Req'!$F$85*$M$80)</f>
        <v>187.36062462359928</v>
      </c>
      <c r="S84" s="160">
        <f>$E$25*MIN($M23,$M$80)+IF($M$80-$M23&gt;0,$E$26*($M$80-$M23))+('Incremental Rev Req'!$F$85*$M$80)</f>
        <v>187.36062462359928</v>
      </c>
      <c r="T84" s="160">
        <f>$F$22*MIN($L23,$M$80)+IF($M$80-$L23&gt;0,$F$23*($M$80-$L23))+('Incremental Rev Req'!$F$85*$M$80)</f>
        <v>195.77508585344361</v>
      </c>
      <c r="U84" s="160">
        <f>$F$25*MIN($M23,$M$80)+IF($M$80-$M23&gt;0,$F$26*($M$80-$M23))+('Incremental Rev Req'!$F$85*$M$80)</f>
        <v>195.77508585344361</v>
      </c>
    </row>
    <row r="85" spans="2:21">
      <c r="B85" s="142" t="s">
        <v>226</v>
      </c>
      <c r="C85" s="160">
        <f>$C$22*MIN(I24,$B$80)+IF($B$80-I24&gt;0,$C$23*($B$80-I24))+('Incremental Rev Req'!$F$85*$B$80)</f>
        <v>163.08601802931699</v>
      </c>
      <c r="D85" s="160">
        <f>$C$25*MIN(J24,$B$80)+IF($B$80-J24&gt;0,$C$26*($B$80-J24))+('Incremental Rev Req'!$F$85*$B$80)</f>
        <v>163.08601802931696</v>
      </c>
      <c r="E85" s="160">
        <f>$D$22*MIN(I24,$B$80)+IF($B$80-I24&gt;0,$D$23*($B$80-I24))+('Incremental Rev Req'!$F$85*$B$80)</f>
        <v>170.3833244629304</v>
      </c>
      <c r="F85" s="160">
        <f>$D$25*MIN(J24,$B$80)+IF($B$80-J24&gt;0,$D$26*($B$80-J24))+('Incremental Rev Req'!$F$85*$B$80)</f>
        <v>170.3833244629304</v>
      </c>
      <c r="G85" s="160">
        <f>$E$22*MIN(I24,$B$80)+IF($B$80-I24&gt;0,$E$23*($B$80-I24))+('Incremental Rev Req'!$F$85*$B$80)</f>
        <v>187.36062462359928</v>
      </c>
      <c r="H85" s="160">
        <f>$E$25*MIN(J24,$B$80)+IF($B$80-J24&gt;0,$E$26*($B$80-J24))+('Incremental Rev Req'!$F$85*$B$80)</f>
        <v>187.36062462359928</v>
      </c>
      <c r="I85" s="160">
        <f>$F$22*MIN(I24,$B$80)+IF($B$80-I24&gt;0,$F$23*($B$80-I24))+('Incremental Rev Req'!$F$85*$B$80)</f>
        <v>195.77508585344361</v>
      </c>
      <c r="J85" s="160">
        <f>$F$25*MIN(J24,$B$80)+IF($B$80-J24&gt;0,$F$26*($B$80-J24))+('Incremental Rev Req'!$F$85*$B$80)</f>
        <v>195.77508585344361</v>
      </c>
      <c r="M85" s="142" t="s">
        <v>226</v>
      </c>
      <c r="N85" s="160">
        <f>$C$22*MIN($L24,$M$80)+IF($M$80-$L24&gt;0,$C$23*($M$80-$L24))+('Incremental Rev Req'!$F$85*$M$80)</f>
        <v>163.08601802931699</v>
      </c>
      <c r="O85" s="160">
        <f>$C$25*MIN($M24,$M$80)+IF($M$80-$M24&gt;0,$C$26*($M$80-$M24))+('Incremental Rev Req'!$F$85*$M$80)</f>
        <v>163.08601802931696</v>
      </c>
      <c r="P85" s="160">
        <f>$D$22*MIN($L24,$M$80)+IF($M$80-$L24&gt;0,$D$23*($M$80-$L24))+('Incremental Rev Req'!$F$85*$M$80)</f>
        <v>170.3833244629304</v>
      </c>
      <c r="Q85" s="160">
        <f>$D$25*MIN($M24,$M$80)+IF($M$80-$M24&gt;0,$D$26*($M$80-$M24))+('Incremental Rev Req'!$F$85*$M$80)</f>
        <v>170.3833244629304</v>
      </c>
      <c r="R85" s="160">
        <f>$E$22*MIN($L24,$M$80)+IF($M$80-$L24&gt;0,$E$23*($M$80-$L24))+('Incremental Rev Req'!$F$85*$M$80)</f>
        <v>187.36062462359928</v>
      </c>
      <c r="S85" s="160">
        <f>$E$25*MIN($M24,$M$80)+IF($M$80-$M24&gt;0,$E$26*($M$80-$M24))+('Incremental Rev Req'!$F$85*$M$80)</f>
        <v>187.36062462359928</v>
      </c>
      <c r="T85" s="160">
        <f>$F$22*MIN($L24,$M$80)+IF($M$80-$L24&gt;0,$F$23*($M$80-$L24))+('Incremental Rev Req'!$F$85*$M$80)</f>
        <v>195.77508585344361</v>
      </c>
      <c r="U85" s="160">
        <f>$F$25*MIN($M24,$M$80)+IF($M$80-$M24&gt;0,$F$26*($M$80-$M24))+('Incremental Rev Req'!$F$85*$M$80)</f>
        <v>195.77508585344361</v>
      </c>
    </row>
    <row r="86" spans="2:21">
      <c r="B86" s="145" t="s">
        <v>228</v>
      </c>
      <c r="C86" s="160">
        <f>$C$22*MIN(I25,$B$80)+IF($B$80-I25&gt;0,$C$23*($B$80-I25))+('Incremental Rev Req'!$F$85*$B$80)</f>
        <v>163.08601802931699</v>
      </c>
      <c r="D86" s="160">
        <f>$C$25*MIN(J25,$B$80)+IF($B$80-J25&gt;0,$C$26*($B$80-J25))+('Incremental Rev Req'!$F$85*$B$80)</f>
        <v>165.82749910107918</v>
      </c>
      <c r="E86" s="160">
        <f>$D$22*MIN(I25,$B$80)+IF($B$80-I25&gt;0,$D$23*($B$80-I25))+('Incremental Rev Req'!$F$85*$B$80)</f>
        <v>170.3833244629304</v>
      </c>
      <c r="F86" s="160">
        <f>$D$25*MIN(J25,$B$80)+IF($B$80-J25&gt;0,$D$26*($B$80-J25))+('Incremental Rev Req'!$F$85*$B$80)</f>
        <v>173.24771465113361</v>
      </c>
      <c r="G86" s="160">
        <f>$E$22*MIN(I25,$B$80)+IF($B$80-I25&gt;0,$E$23*($B$80-I25))+('Incremental Rev Req'!$F$85*$B$80)</f>
        <v>187.36062462359928</v>
      </c>
      <c r="H86" s="160">
        <f>$E$25*MIN(J25,$B$80)+IF($B$80-J25&gt;0,$E$26*($B$80-J25))+('Incremental Rev Req'!$F$85*$B$80)</f>
        <v>190.51096483751189</v>
      </c>
      <c r="I86" s="160">
        <f>$F$22*MIN(I25,$B$80)+IF($B$80-I25&gt;0,$F$23*($B$80-I25))+('Incremental Rev Req'!$F$85*$B$80)</f>
        <v>195.77508585344361</v>
      </c>
      <c r="J86" s="160">
        <f>$F$25*MIN(J25,$B$80)+IF($B$80-J25&gt;0,$F$26*($B$80-J25))+('Incremental Rev Req'!$F$85*$B$80)</f>
        <v>199.06715151146298</v>
      </c>
      <c r="M86" s="145" t="s">
        <v>228</v>
      </c>
      <c r="N86" s="160">
        <f>$C$22*MIN($L25,$M$80)+IF($M$80-$L25&gt;0,$C$23*($M$80-$L25))+('Incremental Rev Req'!$F$85*$M$80)</f>
        <v>169.30707123062354</v>
      </c>
      <c r="O86" s="160">
        <f>$C$25*MIN($M25,$M$80)+IF($M$80-$M25&gt;0,$C$26*($M$80-$M25))+('Incremental Rev Req'!$F$85*$M$80)</f>
        <v>163.08601802931696</v>
      </c>
      <c r="P86" s="160">
        <f>$D$22*MIN($L25,$M$80)+IF($M$80-$L25&gt;0,$D$23*($M$80-$L25))+('Incremental Rev Req'!$F$85*$M$80)</f>
        <v>176.88328681308383</v>
      </c>
      <c r="Q86" s="160">
        <f>$D$25*MIN($M25,$M$80)+IF($M$80-$M25&gt;0,$D$26*($M$80-$M25))+('Incremental Rev Req'!$F$85*$M$80)</f>
        <v>170.3833244629304</v>
      </c>
      <c r="R86" s="160">
        <f>$E$22*MIN($L25,$M$80)+IF($M$80-$L25&gt;0,$E$23*($M$80-$L25))+('Incremental Rev Req'!$F$85*$M$80)</f>
        <v>194.50947357055477</v>
      </c>
      <c r="S86" s="160">
        <f>$E$25*MIN($M25,$M$80)+IF($M$80-$M25&gt;0,$E$26*($M$80-$M25))+('Incremental Rev Req'!$F$85*$M$80)</f>
        <v>187.36062462359928</v>
      </c>
      <c r="T86" s="160">
        <f>$F$22*MIN($L25,$M$80)+IF($M$80-$L25&gt;0,$F$23*($M$80-$L25))+('Incremental Rev Req'!$F$85*$M$80)</f>
        <v>203.24554253894911</v>
      </c>
      <c r="U86" s="160">
        <f>$F$25*MIN($M25,$M$80)+IF($M$80-$M25&gt;0,$F$26*($M$80-$M25))+('Incremental Rev Req'!$F$85*$M$80)</f>
        <v>195.77508585344361</v>
      </c>
    </row>
    <row r="87" spans="2:21">
      <c r="B87" s="6" t="s">
        <v>113</v>
      </c>
      <c r="C87" s="158">
        <f>SUMPRODUCT(C83:C86,$U$22:$U$25)</f>
        <v>166.15807767569058</v>
      </c>
      <c r="D87" s="158">
        <f t="shared" ref="D87:J87" si="18">SUMPRODUCT(D83:D86,$U$22:$U$25)</f>
        <v>166.74162731262001</v>
      </c>
      <c r="E87" s="158">
        <f>SUMPRODUCT(E83:E86,$U$22:$U$25)</f>
        <v>173.5931140906192</v>
      </c>
      <c r="F87" s="158">
        <f t="shared" si="18"/>
        <v>174.20282607133186</v>
      </c>
      <c r="G87" s="158">
        <f t="shared" si="18"/>
        <v>190.89084525623267</v>
      </c>
      <c r="H87" s="158">
        <f t="shared" si="18"/>
        <v>191.561424348304</v>
      </c>
      <c r="I87" s="158">
        <f t="shared" si="18"/>
        <v>199.46412174188504</v>
      </c>
      <c r="J87" s="158">
        <f t="shared" si="18"/>
        <v>200.16486840735453</v>
      </c>
      <c r="M87" s="6" t="s">
        <v>113</v>
      </c>
      <c r="N87" s="158">
        <f>SUMPRODUCT(N83:N86,$U$31:$U$34)</f>
        <v>175.70050264406495</v>
      </c>
      <c r="O87" s="158">
        <f t="shared" ref="O87:U87" si="19">SUMPRODUCT(O83:O86,$U$31:$U$34)</f>
        <v>166.61489086278573</v>
      </c>
      <c r="P87" s="158">
        <f t="shared" si="19"/>
        <v>183.5633556263403</v>
      </c>
      <c r="Q87" s="158">
        <f t="shared" si="19"/>
        <v>174.07040763257908</v>
      </c>
      <c r="R87" s="158">
        <f t="shared" si="19"/>
        <v>201.85640888012804</v>
      </c>
      <c r="S87" s="158">
        <f t="shared" si="19"/>
        <v>191.41578667143145</v>
      </c>
      <c r="T87" s="158">
        <f t="shared" si="19"/>
        <v>210.92299696673524</v>
      </c>
      <c r="U87" s="158">
        <f t="shared" si="19"/>
        <v>200.01267887797343</v>
      </c>
    </row>
    <row r="88" spans="2:21">
      <c r="B88" s="7"/>
      <c r="C88" s="144"/>
      <c r="D88" s="144"/>
      <c r="E88" s="159"/>
      <c r="F88" s="147"/>
      <c r="G88" s="148"/>
      <c r="H88" s="148"/>
      <c r="I88" s="148"/>
      <c r="J88" s="148"/>
      <c r="M88" s="7"/>
      <c r="N88" s="144"/>
      <c r="O88" s="144"/>
      <c r="P88" s="159"/>
      <c r="Q88" s="147"/>
      <c r="R88" s="148"/>
      <c r="S88" s="148"/>
      <c r="T88" s="148"/>
      <c r="U88" s="148"/>
    </row>
    <row r="89" spans="2:21" ht="15.75" thickBot="1">
      <c r="B89" s="7"/>
      <c r="C89" s="144"/>
      <c r="D89" s="144"/>
      <c r="E89" s="232"/>
      <c r="F89" s="144"/>
      <c r="G89" s="148"/>
      <c r="H89" s="148"/>
      <c r="I89" s="148"/>
      <c r="J89" s="148"/>
      <c r="M89" s="7"/>
      <c r="N89" s="144"/>
      <c r="O89" s="144"/>
      <c r="P89" s="232"/>
      <c r="Q89" s="144"/>
      <c r="R89" s="148"/>
      <c r="S89" s="148"/>
      <c r="T89" s="148"/>
      <c r="U89" s="148"/>
    </row>
    <row r="90" spans="2:21" ht="15.75" thickBot="1">
      <c r="B90" s="517">
        <f>IF(Summary!$I$9="",400,Summary!$I$9)</f>
        <v>400</v>
      </c>
      <c r="C90" s="601" t="str">
        <f>$B$90&amp;" kWh Monthly Basic Bundled CARE Customer"</f>
        <v>400 kWh Monthly Basic Bundled CARE Customer</v>
      </c>
      <c r="D90" s="601"/>
      <c r="E90" s="601"/>
      <c r="F90" s="601"/>
      <c r="G90" s="601"/>
      <c r="H90" s="601"/>
      <c r="I90" s="601"/>
      <c r="J90" s="601"/>
      <c r="M90" s="517">
        <f>IF(Summary!$I$9="",400,Summary!$I$9)</f>
        <v>400</v>
      </c>
      <c r="N90" s="601" t="str">
        <f>$M$90&amp;" kWh Monthly All-Electric Bundled CARE Customer"</f>
        <v>400 kWh Monthly All-Electric Bundled CARE Customer</v>
      </c>
      <c r="O90" s="601"/>
      <c r="P90" s="601"/>
      <c r="Q90" s="601"/>
      <c r="R90" s="601"/>
      <c r="S90" s="601"/>
      <c r="T90" s="601"/>
      <c r="U90" s="601"/>
    </row>
    <row r="91" spans="2:21">
      <c r="B91" s="7"/>
      <c r="C91" s="604" t="str">
        <f>C81</f>
        <v>2/1/2025</v>
      </c>
      <c r="D91" s="604"/>
      <c r="E91" s="605" t="str">
        <f>E81</f>
        <v>6/1/25</v>
      </c>
      <c r="F91" s="604"/>
      <c r="G91" s="604" t="str">
        <f>G81</f>
        <v>Authorized</v>
      </c>
      <c r="H91" s="604"/>
      <c r="I91" s="605" t="str">
        <f>I81</f>
        <v>w/Pending</v>
      </c>
      <c r="J91" s="604"/>
      <c r="M91" s="7"/>
      <c r="N91" s="604" t="str">
        <f>N81</f>
        <v>2/1/2025</v>
      </c>
      <c r="O91" s="604"/>
      <c r="P91" s="605" t="str">
        <f>P81</f>
        <v>6/1/25</v>
      </c>
      <c r="Q91" s="604"/>
      <c r="R91" s="604" t="str">
        <f>R81</f>
        <v>Authorized</v>
      </c>
      <c r="S91" s="604"/>
      <c r="T91" s="605" t="str">
        <f>T81</f>
        <v>w/Pending</v>
      </c>
      <c r="U91" s="604"/>
    </row>
    <row r="92" spans="2:21">
      <c r="B92" s="7"/>
      <c r="C92" s="144" t="s">
        <v>196</v>
      </c>
      <c r="D92" s="144" t="s">
        <v>197</v>
      </c>
      <c r="E92" s="144" t="s">
        <v>196</v>
      </c>
      <c r="F92" s="144" t="s">
        <v>197</v>
      </c>
      <c r="G92" s="144" t="s">
        <v>196</v>
      </c>
      <c r="H92" s="144" t="s">
        <v>197</v>
      </c>
      <c r="I92" s="144" t="s">
        <v>196</v>
      </c>
      <c r="J92" s="144" t="s">
        <v>197</v>
      </c>
      <c r="M92" s="7"/>
      <c r="N92" s="144" t="s">
        <v>196</v>
      </c>
      <c r="O92" s="144" t="s">
        <v>197</v>
      </c>
      <c r="P92" s="144" t="s">
        <v>196</v>
      </c>
      <c r="Q92" s="144" t="s">
        <v>197</v>
      </c>
      <c r="R92" s="144" t="s">
        <v>196</v>
      </c>
      <c r="S92" s="144" t="s">
        <v>197</v>
      </c>
      <c r="T92" s="144" t="s">
        <v>196</v>
      </c>
      <c r="U92" s="144" t="s">
        <v>197</v>
      </c>
    </row>
    <row r="93" spans="2:21">
      <c r="B93" s="139" t="s">
        <v>227</v>
      </c>
      <c r="C93" s="160">
        <f>$C$31*MIN(I22,$B$90)+IF($B$90-I22&gt;0,$C$32*($B$90-I22))+('Incremental Rev Req'!$F$85*$B$90)</f>
        <v>104.73396999999999</v>
      </c>
      <c r="D93" s="160">
        <f>$C$34*MIN(J22,$B$90)+IF($B$90-J22&gt;0,$C$35*($B$90-J22))+('Incremental Rev Req'!$F$85*$B$90)</f>
        <v>104.18572999999998</v>
      </c>
      <c r="E93" s="160">
        <f>$D$31*MIN(I22,$B$90)+IF($B$90-I22&gt;0,$D$32*($B$90-I22))+('Incremental Rev Req'!$F$85*$B$90)</f>
        <v>109.62488999999999</v>
      </c>
      <c r="F93" s="160">
        <f>$D$34*MIN(J22,$B$90)+IF($B$90-J22&gt;0,$D$35*($B$90-J22))+('Incremental Rev Req'!$F$85*$B$90)</f>
        <v>109.05201</v>
      </c>
      <c r="G93" s="160">
        <f>$E$31*MIN(I22,$B$90)+IF($B$90-I22&gt;0,$E$32*($B$90-I22))+('Incremental Rev Req'!$F$85*$B$90)</f>
        <v>120.53671906378729</v>
      </c>
      <c r="H93" s="160">
        <f>$E$34*MIN(J22,$B$90)+IF($B$90-J22&gt;0,$E$35*($B$90-J22))+('Incremental Rev Req'!$F$85*$B$90)</f>
        <v>119.90664886274449</v>
      </c>
      <c r="I93" s="160">
        <f>$F$31*MIN(I22,$B$90)+IF($B$90-I22&gt;0,$F$32*($B$90-I22))+('Incremental Rev Req'!$F$85*$B$90)</f>
        <v>125.9449501567757</v>
      </c>
      <c r="J93" s="160">
        <f>$F$34*MIN(J22,$B$90)+IF($B$90-J22&gt;0,$F$35*($B$90-J22))+('Incremental Rev Req'!$F$85*$B$90)</f>
        <v>125.28653476981714</v>
      </c>
      <c r="M93" s="139" t="s">
        <v>227</v>
      </c>
      <c r="N93" s="160">
        <f>$C$31*MIN($L22,$M$90)+IF($M$90-$L22&gt;0,$C$32*($M$90-$L22))+('Incremental Rev Req'!$F$85*$M$90)</f>
        <v>112.68344999999999</v>
      </c>
      <c r="O93" s="160">
        <f>$C$34*MIN($M22,$M$90)+IF($M$90-$M22&gt;0,$C$35*($M$90-$M22))+('Incremental Rev Req'!$F$85*$M$90)</f>
        <v>105.28220999999999</v>
      </c>
      <c r="P93" s="160">
        <f>$D$31*MIN($L22,$B$90)+IF($B$90-$L22&gt;0,$D$32*($B$90-$L22))+('Incremental Rev Req'!$F$85*$B$90)</f>
        <v>117.93164999999999</v>
      </c>
      <c r="Q93" s="160">
        <f>$D$34*MIN($M22,$B$90)+IF($B$90-$M22&gt;0,$D$35*($B$90-$M22))+('Incremental Rev Req'!$F$85*$B$90)</f>
        <v>110.19777000000001</v>
      </c>
      <c r="R93" s="160">
        <f>$E$31*MIN($L22,$B$90)+IF($B$90-$L22&gt;0,$E$32*($B$90-$L22))+('Incremental Rev Req'!$F$85*$B$90)</f>
        <v>129.67273697890806</v>
      </c>
      <c r="S93" s="160">
        <f>$E$34*MIN($M22,$B$90)+IF($B$90-$M22&gt;0,$E$35*($B$90-$M22))+('Incremental Rev Req'!$F$85*$B$90)</f>
        <v>121.1667892648301</v>
      </c>
      <c r="T93" s="160">
        <f>$F$31*MIN(L22,$B$90)+IF($B$90-L22&gt;0,$F$32*($B$90-L22))+('Incremental Rev Req'!$F$85*$B$90)</f>
        <v>135.49197326767495</v>
      </c>
      <c r="U93" s="160">
        <f>$F$34*MIN($M22,$B$90)+IF($B$90-$M22&gt;0,$F$35*($B$90-$M22))+('Incremental Rev Req'!$F$85*$B$90)</f>
        <v>126.60336554373427</v>
      </c>
    </row>
    <row r="94" spans="2:21">
      <c r="B94" s="142" t="s">
        <v>229</v>
      </c>
      <c r="C94" s="160">
        <f>$C$31*MIN(I23,$B$90)+IF($B$90-I23&gt;0,$C$32*($B$90-I23))+('Incremental Rev Req'!$F$85*$B$90)</f>
        <v>101.37599999999998</v>
      </c>
      <c r="D94" s="160">
        <f>$C$34*MIN(J23,$B$90)+IF($B$90-J23&gt;0,$C$35*($B$90-J23))+('Incremental Rev Req'!$F$85*$B$90)</f>
        <v>101.37599999999998</v>
      </c>
      <c r="E94" s="160">
        <f>$D$31*MIN(I23,$B$90)+IF($B$90-I23&gt;0,$D$32*($B$90-I23))+('Incremental Rev Req'!$F$85*$B$90)</f>
        <v>106.116</v>
      </c>
      <c r="F94" s="160">
        <f>$D$34*MIN(J23,$B$90)+IF($B$90-J23&gt;0,$D$35*($B$90-J23))+('Incremental Rev Req'!$F$85*$B$90)</f>
        <v>106.116</v>
      </c>
      <c r="G94" s="160">
        <f>$E$31*MIN(I23,$B$90)+IF($B$90-I23&gt;0,$E$32*($B$90-I23))+('Incremental Rev Req'!$F$85*$B$90)</f>
        <v>116.67753908240007</v>
      </c>
      <c r="H94" s="160">
        <f>$E$34*MIN(J23,$B$90)+IF($B$90-J23&gt;0,$E$35*($B$90-J23))+('Incremental Rev Req'!$F$85*$B$90)</f>
        <v>116.67753908240007</v>
      </c>
      <c r="I94" s="160">
        <f>$F$31*MIN(I23,$B$90)+IF($B$90-I23&gt;0,$F$32*($B$90-I23))+('Incremental Rev Req'!$F$85*$B$90)</f>
        <v>121.91215591165448</v>
      </c>
      <c r="J94" s="160">
        <f>$F$34*MIN(J23,$B$90)+IF($B$90-J23&gt;0,$F$35*($B$90-J23))+('Incremental Rev Req'!$F$85*$B$90)</f>
        <v>121.91215591165448</v>
      </c>
      <c r="M94" s="142" t="s">
        <v>229</v>
      </c>
      <c r="N94" s="160">
        <f>$C$31*MIN($L23,$M$90)+IF($M$90-$L23&gt;0,$C$32*($M$90-$L23))+('Incremental Rev Req'!$F$85*$M$90)</f>
        <v>101.37599999999998</v>
      </c>
      <c r="O94" s="160">
        <f>$C$34*MIN($M23,$M$90)+IF($M$90-$M23&gt;0,$C$35*($M$90-$M23))+('Incremental Rev Req'!$F$85*$M$90)</f>
        <v>101.37599999999998</v>
      </c>
      <c r="P94" s="160">
        <f>$D$31*MIN($L23,$B$90)+IF($B$90-$L23&gt;0,$D$32*($B$90-$L23))+('Incremental Rev Req'!$F$85*$B$90)</f>
        <v>106.116</v>
      </c>
      <c r="Q94" s="160">
        <f>$D$34*MIN($M23,$B$90)+IF($B$90-$M23&gt;0,$D$35*($B$90-$M23))+('Incremental Rev Req'!$F$85*$B$90)</f>
        <v>106.116</v>
      </c>
      <c r="R94" s="160">
        <f>$E$31*MIN($L23,$B$90)+IF($B$90-$L23&gt;0,$E$32*($B$90-$L23))+('Incremental Rev Req'!$F$85*$B$90)</f>
        <v>116.67753908240007</v>
      </c>
      <c r="S94" s="160">
        <f>$E$34*MIN($M23,$B$90)+IF($B$90-$M23&gt;0,$E$35*($B$90-$M23))+('Incremental Rev Req'!$F$85*$B$90)</f>
        <v>116.67753908240007</v>
      </c>
      <c r="T94" s="160">
        <f>$F$31*MIN(L23,$B$90)+IF($B$90-L23&gt;0,$F$32*($B$90-L23))+('Incremental Rev Req'!$F$85*$B$90)</f>
        <v>121.91215591165448</v>
      </c>
      <c r="U94" s="160">
        <f>$F$34*MIN($M23,$B$90)+IF($B$90-$M23&gt;0,$F$35*($B$90-$M23))+('Incremental Rev Req'!$F$85*$B$90)</f>
        <v>121.91215591165448</v>
      </c>
    </row>
    <row r="95" spans="2:21">
      <c r="B95" s="142" t="s">
        <v>226</v>
      </c>
      <c r="C95" s="160">
        <f>$C$31*MIN(I24,$B$90)+IF($B$90-I24&gt;0,$C$32*($B$90-I24))+('Incremental Rev Req'!$F$85*$B$90)</f>
        <v>101.37599999999998</v>
      </c>
      <c r="D95" s="160">
        <f>$C$34*MIN(J24,$B$90)+IF($B$90-J24&gt;0,$C$35*($B$90-J24))+('Incremental Rev Req'!$F$85*$B$90)</f>
        <v>101.37599999999998</v>
      </c>
      <c r="E95" s="160">
        <f>$D$31*MIN(I24,$B$90)+IF($B$90-I24&gt;0,$D$32*($B$90-I24))+('Incremental Rev Req'!$F$85*$B$90)</f>
        <v>106.116</v>
      </c>
      <c r="F95" s="160">
        <f>$D$34*MIN(J24,$B$90)+IF($B$90-J24&gt;0,$D$35*($B$90-J24))+('Incremental Rev Req'!$F$85*$B$90)</f>
        <v>106.116</v>
      </c>
      <c r="G95" s="160">
        <f>$E$31*MIN(I24,$B$90)+IF($B$90-I24&gt;0,$E$32*($B$90-I24))+('Incremental Rev Req'!$F$85*$B$90)</f>
        <v>116.67753908240007</v>
      </c>
      <c r="H95" s="160">
        <f>$E$34*MIN(J24,$B$90)+IF($B$90-J24&gt;0,$E$35*($B$90-J24))+('Incremental Rev Req'!$F$85*$B$90)</f>
        <v>116.67753908240007</v>
      </c>
      <c r="I95" s="160">
        <f>$F$31*MIN(I24,$B$90)+IF($B$90-I24&gt;0,$F$32*($B$90-I24))+('Incremental Rev Req'!$F$85*$B$90)</f>
        <v>121.91215591165448</v>
      </c>
      <c r="J95" s="160">
        <f>$F$34*MIN(J24,$B$90)+IF($B$90-J24&gt;0,$F$35*($B$90-J24))+('Incremental Rev Req'!$F$85*$B$90)</f>
        <v>121.91215591165448</v>
      </c>
      <c r="M95" s="142" t="s">
        <v>226</v>
      </c>
      <c r="N95" s="160">
        <f>$C$31*MIN($L24,$M$90)+IF($M$90-$L24&gt;0,$C$32*($M$90-$L24))+('Incremental Rev Req'!$F$85*$M$90)</f>
        <v>101.37599999999998</v>
      </c>
      <c r="O95" s="160">
        <f>$C$34*MIN($M24,$M$90)+IF($M$90-$M24&gt;0,$C$35*($M$90-$M24))+('Incremental Rev Req'!$F$85*$M$90)</f>
        <v>101.37599999999998</v>
      </c>
      <c r="P95" s="160">
        <f>$D$31*MIN($L24,$B$90)+IF($B$90-$L24&gt;0,$D$32*($B$90-$L24))+('Incremental Rev Req'!$F$85*$B$90)</f>
        <v>106.116</v>
      </c>
      <c r="Q95" s="160">
        <f>$D$34*MIN($M24,$B$90)+IF($B$90-$M24&gt;0,$D$35*($B$90-$M24))+('Incremental Rev Req'!$F$85*$B$90)</f>
        <v>106.116</v>
      </c>
      <c r="R95" s="160">
        <f>$E$31*MIN($L24,$B$90)+IF($B$90-$L24&gt;0,$E$32*($B$90-$L24))+('Incremental Rev Req'!$F$85*$B$90)</f>
        <v>116.67753908240007</v>
      </c>
      <c r="S95" s="160">
        <f>$E$34*MIN($M24,$B$90)+IF($B$90-$M24&gt;0,$E$35*($B$90-$M24))+('Incremental Rev Req'!$F$85*$B$90)</f>
        <v>116.67753908240007</v>
      </c>
      <c r="T95" s="160">
        <f>$F$31*MIN(L24,$B$90)+IF($B$90-L24&gt;0,$F$32*($B$90-L24))+('Incremental Rev Req'!$F$85*$B$90)</f>
        <v>121.91215591165448</v>
      </c>
      <c r="U95" s="160">
        <f>$F$34*MIN($M24,$B$90)+IF($B$90-$M24&gt;0,$F$35*($B$90-$M24))+('Incremental Rev Req'!$F$85*$B$90)</f>
        <v>121.91215591165448</v>
      </c>
    </row>
    <row r="96" spans="2:21">
      <c r="B96" s="145" t="s">
        <v>228</v>
      </c>
      <c r="C96" s="160">
        <f>$C$31*MIN(I25,$B$90)+IF($B$90-I25&gt;0,$C$32*($B$90-I25))+('Incremental Rev Req'!$F$85*$B$90)</f>
        <v>101.37599999999998</v>
      </c>
      <c r="D96" s="160">
        <f>$C$34*MIN(J25,$B$90)+IF($B$90-J25&gt;0,$C$35*($B$90-J25))+('Incremental Rev Req'!$F$85*$B$90)</f>
        <v>103.15777999999999</v>
      </c>
      <c r="E96" s="160">
        <f>$D$31*MIN(I25,$B$90)+IF($B$90-I25&gt;0,$D$32*($B$90-I25))+('Incremental Rev Req'!$F$85*$B$90)</f>
        <v>106.116</v>
      </c>
      <c r="F96" s="160">
        <f>$D$34*MIN(J25,$B$90)+IF($B$90-J25&gt;0,$D$35*($B$90-J25))+('Incremental Rev Req'!$F$85*$B$90)</f>
        <v>107.97785999999999</v>
      </c>
      <c r="G96" s="160">
        <f>$E$31*MIN(I25,$B$90)+IF($B$90-I25&gt;0,$E$32*($B$90-I25))+('Incremental Rev Req'!$F$85*$B$90)</f>
        <v>116.67753908240007</v>
      </c>
      <c r="H96" s="160">
        <f>$E$34*MIN(J25,$B$90)+IF($B$90-J25&gt;0,$E$35*($B$90-J25))+('Incremental Rev Req'!$F$85*$B$90)</f>
        <v>118.7252672357892</v>
      </c>
      <c r="I96" s="160">
        <f>$F$31*MIN(I25,$B$90)+IF($B$90-I25&gt;0,$F$32*($B$90-I25))+('Incremental Rev Req'!$F$85*$B$90)</f>
        <v>121.91215591165448</v>
      </c>
      <c r="J96" s="160">
        <f>$F$34*MIN(J25,$B$90)+IF($B$90-J25&gt;0,$F$35*($B$90-J25))+('Incremental Rev Req'!$F$85*$B$90)</f>
        <v>124.05200591926983</v>
      </c>
      <c r="M96" s="145" t="s">
        <v>228</v>
      </c>
      <c r="N96" s="160">
        <f>$C$31*MIN($L25,$M$90)+IF($M$90-$L25&gt;0,$C$32*($M$90-$L25))+('Incremental Rev Req'!$F$85*$M$90)</f>
        <v>105.41926999999998</v>
      </c>
      <c r="O96" s="160">
        <f>$C$34*MIN($M25,$M$90)+IF($M$90-$M25&gt;0,$C$35*($M$90-$M25))+('Incremental Rev Req'!$F$85*$M$90)</f>
        <v>101.37599999999998</v>
      </c>
      <c r="P96" s="160">
        <f>$D$31*MIN($L25,$B$90)+IF($B$90-$L25&gt;0,$D$32*($B$90-$L25))+('Incremental Rev Req'!$F$85*$B$90)</f>
        <v>110.34099000000001</v>
      </c>
      <c r="Q96" s="160">
        <f>$D$34*MIN($M25,$B$90)+IF($B$90-$M25&gt;0,$D$35*($B$90-$M25))+('Incremental Rev Req'!$F$85*$B$90)</f>
        <v>106.116</v>
      </c>
      <c r="R96" s="160">
        <f>$E$31*MIN($L25,$B$90)+IF($B$90-$L25&gt;0,$E$32*($B$90-$L25))+('Incremental Rev Req'!$F$85*$B$90)</f>
        <v>121.32430681509081</v>
      </c>
      <c r="S96" s="160">
        <f>$E$34*MIN($M25,$B$90)+IF($B$90-$M25&gt;0,$E$35*($B$90-$M25))+('Incremental Rev Req'!$F$85*$B$90)</f>
        <v>116.67753908240007</v>
      </c>
      <c r="T96" s="160">
        <f>$F$31*MIN(L25,$B$90)+IF($B$90-L25&gt;0,$F$32*($B$90-L25))+('Incremental Rev Req'!$F$85*$B$90)</f>
        <v>126.76796939047392</v>
      </c>
      <c r="U96" s="160">
        <f>$F$34*MIN($M25,$B$90)+IF($B$90-$M25&gt;0,$F$35*($B$90-$M25))+('Incremental Rev Req'!$F$85*$B$90)</f>
        <v>121.91215591165448</v>
      </c>
    </row>
    <row r="97" spans="2:21">
      <c r="B97" s="6" t="s">
        <v>113</v>
      </c>
      <c r="C97" s="158">
        <f>SUMPRODUCT(C93:C96,$V$22:$V$25)</f>
        <v>103.06550244288414</v>
      </c>
      <c r="D97" s="158">
        <f t="shared" ref="D97:J97" si="20">SUMPRODUCT(D93:D96,$V$22:$V$25)</f>
        <v>103.65767953267994</v>
      </c>
      <c r="E97" s="158">
        <f t="shared" si="20"/>
        <v>107.88143513694635</v>
      </c>
      <c r="F97" s="158">
        <f t="shared" si="20"/>
        <v>108.50022692740714</v>
      </c>
      <c r="G97" s="158">
        <f t="shared" si="20"/>
        <v>118.61921634755828</v>
      </c>
      <c r="H97" s="158">
        <f t="shared" si="20"/>
        <v>119.29978168029683</v>
      </c>
      <c r="I97" s="158">
        <f>SUMPRODUCT(I93:I96,$V$22:$V$25)</f>
        <v>123.94118408307395</v>
      </c>
      <c r="J97" s="158">
        <f t="shared" si="20"/>
        <v>124.65236624367131</v>
      </c>
      <c r="M97" s="6" t="s">
        <v>113</v>
      </c>
      <c r="N97" s="158">
        <f>SUMPRODUCT(N93:N96,$V$31:$V$34)</f>
        <v>108.57956314904942</v>
      </c>
      <c r="O97" s="158">
        <f t="shared" ref="O97:U97" si="21">SUMPRODUCT(O93:O96,$V$31:$V$34)</f>
        <v>103.11421040532318</v>
      </c>
      <c r="P97" s="158">
        <f t="shared" si="21"/>
        <v>113.64331879619772</v>
      </c>
      <c r="Q97" s="158">
        <f t="shared" si="21"/>
        <v>107.93233222129278</v>
      </c>
      <c r="R97" s="158">
        <f t="shared" si="21"/>
        <v>124.95630473530056</v>
      </c>
      <c r="S97" s="158">
        <f t="shared" si="21"/>
        <v>118.67519445146598</v>
      </c>
      <c r="T97" s="158">
        <f t="shared" si="21"/>
        <v>130.56336125650685</v>
      </c>
      <c r="U97" s="158">
        <f t="shared" si="21"/>
        <v>123.99968049329078</v>
      </c>
    </row>
  </sheetData>
  <mergeCells count="71">
    <mergeCell ref="C50:J50"/>
    <mergeCell ref="C40:J40"/>
    <mergeCell ref="C41:D41"/>
    <mergeCell ref="E41:F41"/>
    <mergeCell ref="G41:H41"/>
    <mergeCell ref="I41:J41"/>
    <mergeCell ref="B2:D2"/>
    <mergeCell ref="E3:K3"/>
    <mergeCell ref="P3:V3"/>
    <mergeCell ref="C39:J39"/>
    <mergeCell ref="R41:S41"/>
    <mergeCell ref="T41:U41"/>
    <mergeCell ref="U20:V20"/>
    <mergeCell ref="Q21:R21"/>
    <mergeCell ref="S21:T21"/>
    <mergeCell ref="S30:T30"/>
    <mergeCell ref="N50:U50"/>
    <mergeCell ref="U29:V29"/>
    <mergeCell ref="Q30:R30"/>
    <mergeCell ref="C61:D61"/>
    <mergeCell ref="E61:F61"/>
    <mergeCell ref="G61:H61"/>
    <mergeCell ref="I61:J61"/>
    <mergeCell ref="C51:D51"/>
    <mergeCell ref="E51:F51"/>
    <mergeCell ref="G51:H51"/>
    <mergeCell ref="I51:J51"/>
    <mergeCell ref="C60:J60"/>
    <mergeCell ref="N39:U39"/>
    <mergeCell ref="N40:U40"/>
    <mergeCell ref="N41:O41"/>
    <mergeCell ref="P41:Q41"/>
    <mergeCell ref="C70:J70"/>
    <mergeCell ref="C71:D71"/>
    <mergeCell ref="E71:F71"/>
    <mergeCell ref="G71:H71"/>
    <mergeCell ref="I71:J71"/>
    <mergeCell ref="C80:J80"/>
    <mergeCell ref="C81:D81"/>
    <mergeCell ref="E81:F81"/>
    <mergeCell ref="G81:H81"/>
    <mergeCell ref="I81:J81"/>
    <mergeCell ref="C90:J90"/>
    <mergeCell ref="C91:D91"/>
    <mergeCell ref="E91:F91"/>
    <mergeCell ref="G91:H91"/>
    <mergeCell ref="I91:J91"/>
    <mergeCell ref="R51:S51"/>
    <mergeCell ref="T51:U51"/>
    <mergeCell ref="R71:S71"/>
    <mergeCell ref="T71:U71"/>
    <mergeCell ref="N60:U60"/>
    <mergeCell ref="N61:O61"/>
    <mergeCell ref="P61:Q61"/>
    <mergeCell ref="R61:S61"/>
    <mergeCell ref="T61:U61"/>
    <mergeCell ref="N70:U70"/>
    <mergeCell ref="N71:O71"/>
    <mergeCell ref="P71:Q71"/>
    <mergeCell ref="N51:O51"/>
    <mergeCell ref="P51:Q51"/>
    <mergeCell ref="N90:U90"/>
    <mergeCell ref="N91:O91"/>
    <mergeCell ref="P91:Q91"/>
    <mergeCell ref="R91:S91"/>
    <mergeCell ref="T91:U91"/>
    <mergeCell ref="N80:U80"/>
    <mergeCell ref="N81:O81"/>
    <mergeCell ref="P81:Q81"/>
    <mergeCell ref="R81:S81"/>
    <mergeCell ref="T81:U81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40D443-B89B-4C0D-A76B-F85E3BB6BDB0}">
  <dimension ref="A1:AE40"/>
  <sheetViews>
    <sheetView workbookViewId="0"/>
  </sheetViews>
  <sheetFormatPr defaultColWidth="8.85546875" defaultRowHeight="15"/>
  <cols>
    <col min="1" max="1" width="7.42578125" style="6" customWidth="1"/>
    <col min="2" max="2" width="18.7109375" style="6" customWidth="1"/>
    <col min="3" max="3" width="15.28515625" style="6" customWidth="1"/>
    <col min="4" max="4" width="16" style="6" customWidth="1"/>
    <col min="5" max="5" width="18" style="6" bestFit="1" customWidth="1"/>
    <col min="6" max="6" width="15.28515625" style="6" customWidth="1"/>
    <col min="7" max="7" width="16.5703125" style="6" customWidth="1"/>
    <col min="8" max="8" width="16.140625" style="6" customWidth="1"/>
    <col min="9" max="9" width="15" style="6" customWidth="1"/>
    <col min="10" max="10" width="16" style="6" customWidth="1"/>
    <col min="11" max="11" width="15" style="6" bestFit="1" customWidth="1"/>
    <col min="12" max="12" width="13" style="6" customWidth="1"/>
    <col min="13" max="13" width="14.140625" style="6" customWidth="1"/>
    <col min="14" max="14" width="17.7109375" style="6" customWidth="1"/>
    <col min="15" max="15" width="19.28515625" style="6" customWidth="1"/>
    <col min="16" max="16" width="13.28515625" style="6" bestFit="1" customWidth="1"/>
    <col min="17" max="17" width="13" style="6" customWidth="1"/>
    <col min="18" max="18" width="13.5703125" style="6" customWidth="1"/>
    <col min="19" max="19" width="14" style="6" customWidth="1"/>
    <col min="20" max="20" width="15.5703125" style="6" customWidth="1"/>
    <col min="21" max="21" width="16.5703125" style="6" customWidth="1"/>
    <col min="22" max="23" width="14" style="6" customWidth="1"/>
    <col min="24" max="24" width="31.85546875" style="6" customWidth="1"/>
    <col min="25" max="25" width="14.85546875" style="6" bestFit="1" customWidth="1"/>
    <col min="26" max="26" width="13.5703125" style="6" bestFit="1" customWidth="1"/>
    <col min="27" max="27" width="13.5703125" style="6" customWidth="1"/>
    <col min="28" max="28" width="8.85546875" style="6"/>
    <col min="29" max="31" width="20.5703125" style="6" customWidth="1"/>
    <col min="32" max="16384" width="8.85546875" style="6"/>
  </cols>
  <sheetData>
    <row r="1" spans="1:31" s="172" customFormat="1" ht="25.5" customHeight="1">
      <c r="A1" s="399"/>
      <c r="B1" s="399"/>
      <c r="C1" s="399"/>
      <c r="D1" s="399"/>
      <c r="E1" s="399"/>
      <c r="F1" s="399"/>
      <c r="G1" s="399"/>
      <c r="H1" s="399"/>
      <c r="I1" s="399"/>
      <c r="J1" s="399"/>
      <c r="K1" s="399"/>
      <c r="L1" s="399"/>
      <c r="M1" s="399"/>
      <c r="N1" s="399"/>
      <c r="O1" s="399"/>
      <c r="P1" s="399"/>
      <c r="Q1" s="399"/>
      <c r="R1" s="399"/>
      <c r="S1" s="399"/>
      <c r="T1" s="399"/>
      <c r="U1" s="399"/>
      <c r="V1" s="399"/>
      <c r="W1" s="399"/>
      <c r="X1" s="399"/>
      <c r="Y1" s="399"/>
      <c r="Z1" s="399"/>
      <c r="AA1" s="399"/>
      <c r="AB1" s="399"/>
      <c r="AC1" s="399"/>
    </row>
    <row r="2" spans="1:31">
      <c r="A2" s="88"/>
      <c r="B2" s="609"/>
      <c r="C2" s="609"/>
      <c r="D2" s="609"/>
      <c r="F2" s="88"/>
    </row>
    <row r="3" spans="1:31">
      <c r="E3" s="610" t="s">
        <v>402</v>
      </c>
      <c r="F3" s="610"/>
      <c r="G3" s="610"/>
      <c r="H3" s="610"/>
      <c r="I3" s="610"/>
      <c r="J3" s="610"/>
      <c r="K3" s="610"/>
      <c r="M3" s="111"/>
      <c r="N3" s="111"/>
      <c r="O3" s="111"/>
      <c r="P3" s="255"/>
      <c r="Q3" s="255"/>
      <c r="R3" s="255"/>
      <c r="S3" s="255"/>
      <c r="T3" s="255"/>
      <c r="U3" s="255"/>
      <c r="V3" s="255"/>
    </row>
    <row r="4" spans="1:31" ht="15.75" customHeight="1">
      <c r="D4" s="149"/>
      <c r="E4" s="149">
        <v>2025</v>
      </c>
      <c r="F4" s="411" t="str">
        <f>Summary!I2</f>
        <v>6/1/25</v>
      </c>
      <c r="G4" s="179" t="str">
        <f>F4</f>
        <v>6/1/25</v>
      </c>
      <c r="H4" s="112" t="s">
        <v>178</v>
      </c>
      <c r="I4" s="112" t="s">
        <v>178</v>
      </c>
      <c r="J4" s="112" t="s">
        <v>178</v>
      </c>
      <c r="K4" s="112" t="s">
        <v>178</v>
      </c>
      <c r="L4" s="20"/>
      <c r="O4" s="1"/>
      <c r="P4" s="149"/>
      <c r="Q4" s="179"/>
      <c r="R4" s="179"/>
      <c r="S4" s="112"/>
      <c r="T4" s="112"/>
      <c r="U4" s="112"/>
      <c r="V4" s="112"/>
    </row>
    <row r="5" spans="1:31" ht="30.75" customHeight="1">
      <c r="E5" s="112" t="s">
        <v>266</v>
      </c>
      <c r="F5" s="112" t="s">
        <v>179</v>
      </c>
      <c r="G5" s="112" t="s">
        <v>180</v>
      </c>
      <c r="H5" s="112" t="s">
        <v>181</v>
      </c>
      <c r="I5" s="112" t="s">
        <v>182</v>
      </c>
      <c r="J5" s="112" t="s">
        <v>183</v>
      </c>
      <c r="K5" s="112" t="s">
        <v>184</v>
      </c>
      <c r="L5" s="84"/>
      <c r="M5" s="113"/>
      <c r="N5" s="113"/>
      <c r="O5" s="84"/>
      <c r="P5" s="112"/>
      <c r="Q5" s="112"/>
      <c r="R5" s="112"/>
      <c r="S5" s="112"/>
      <c r="T5" s="112"/>
      <c r="U5" s="112"/>
      <c r="V5" s="112"/>
    </row>
    <row r="6" spans="1:31" ht="42" customHeight="1">
      <c r="B6" s="114"/>
      <c r="D6" s="114"/>
      <c r="E6" s="1"/>
      <c r="F6" s="1"/>
      <c r="G6" s="1"/>
      <c r="J6" s="20"/>
      <c r="K6" s="20"/>
      <c r="L6" s="20"/>
      <c r="O6" s="114"/>
      <c r="P6" s="1"/>
      <c r="Q6" s="1"/>
      <c r="R6" s="1"/>
      <c r="U6" s="20"/>
      <c r="V6" s="20"/>
      <c r="AD6" s="48"/>
      <c r="AE6" s="48"/>
    </row>
    <row r="7" spans="1:31" ht="15.4" customHeight="1">
      <c r="D7" s="115" t="s">
        <v>403</v>
      </c>
      <c r="E7" s="253">
        <v>151217892.9594312</v>
      </c>
      <c r="F7" s="116">
        <v>0.54151000000000005</v>
      </c>
      <c r="G7" s="117">
        <f>F7*E7</f>
        <v>81886001.216461599</v>
      </c>
      <c r="H7" s="174">
        <f t="shared" ref="H7:H13" si="0">F7+(F7*$AD$16)</f>
        <v>0.59687013699663793</v>
      </c>
      <c r="I7" s="117">
        <f>E7*H7</f>
        <v>90257444.487038627</v>
      </c>
      <c r="J7" s="174">
        <f t="shared" ref="J7:J13" si="1">F7+(F7*$AE$16)</f>
        <v>0.62644467754208155</v>
      </c>
      <c r="K7" s="117">
        <f t="shared" ref="K7:K13" si="2">E7*J7</f>
        <v>94729644.193563879</v>
      </c>
      <c r="L7" s="118"/>
      <c r="O7" s="115"/>
      <c r="P7" s="336"/>
      <c r="Q7" s="122"/>
      <c r="R7" s="337"/>
      <c r="S7" s="174"/>
      <c r="T7" s="337"/>
      <c r="U7" s="174"/>
      <c r="V7" s="337"/>
      <c r="W7" s="118"/>
      <c r="X7" s="6" t="s">
        <v>404</v>
      </c>
      <c r="Y7" s="274" t="s">
        <v>113</v>
      </c>
      <c r="Z7" s="274" t="s">
        <v>329</v>
      </c>
      <c r="AA7" s="274" t="s">
        <v>3</v>
      </c>
      <c r="AC7" s="48"/>
      <c r="AD7" s="48"/>
      <c r="AE7" s="48"/>
    </row>
    <row r="8" spans="1:31" ht="15.75">
      <c r="D8" s="338"/>
      <c r="E8" s="253"/>
      <c r="F8" s="116"/>
      <c r="G8" s="117"/>
      <c r="H8" s="174"/>
      <c r="I8" s="117"/>
      <c r="J8" s="174"/>
      <c r="K8" s="117"/>
      <c r="L8" s="118"/>
      <c r="O8" s="119"/>
      <c r="P8" s="336"/>
      <c r="Q8" s="122"/>
      <c r="R8" s="337"/>
      <c r="S8" s="174"/>
      <c r="T8" s="337"/>
      <c r="U8" s="174"/>
      <c r="V8" s="337"/>
      <c r="W8" s="118"/>
      <c r="X8" s="6" t="s">
        <v>188</v>
      </c>
      <c r="Y8" s="120">
        <v>666774198</v>
      </c>
      <c r="Z8" s="120">
        <v>599039964</v>
      </c>
      <c r="AA8" s="120">
        <v>67734234</v>
      </c>
      <c r="AC8" s="99"/>
      <c r="AD8" s="99"/>
      <c r="AE8" s="99"/>
    </row>
    <row r="9" spans="1:31" ht="15.75">
      <c r="D9" s="115" t="s">
        <v>405</v>
      </c>
      <c r="E9" s="253">
        <v>503808161.5971247</v>
      </c>
      <c r="F9" s="116">
        <v>0.41325000000000001</v>
      </c>
      <c r="G9" s="117">
        <f>F9*E9</f>
        <v>208198722.78001177</v>
      </c>
      <c r="H9" s="174">
        <f t="shared" si="0"/>
        <v>0.45549774540425958</v>
      </c>
      <c r="I9" s="117">
        <f>E9*H9</f>
        <v>229483481.72375518</v>
      </c>
      <c r="J9" s="174">
        <f t="shared" si="1"/>
        <v>0.47806737270644156</v>
      </c>
      <c r="K9" s="117">
        <f t="shared" si="2"/>
        <v>240854244.16279975</v>
      </c>
      <c r="L9" s="118"/>
      <c r="O9" s="115"/>
      <c r="P9" s="336"/>
      <c r="Q9" s="122"/>
      <c r="R9" s="337"/>
      <c r="S9" s="174"/>
      <c r="T9" s="337"/>
      <c r="U9" s="174"/>
      <c r="V9" s="337"/>
      <c r="W9" s="118"/>
      <c r="X9" s="6" t="s">
        <v>190</v>
      </c>
      <c r="Y9" s="173">
        <f>SUM('SAR and RAR (TOU-A)'!W19+'SAR and RAR (TOU-A)'!Z19-'SAR and RAR (TOU-A)'!L10)*1000-Y8</f>
        <v>30108463.393335581</v>
      </c>
      <c r="Z9" s="173">
        <f>(('SAR and RAR (TOU-A)'!W19-'SAR and RAR (TOU-A)'!L10)*1000)-Z8</f>
        <v>9055114.7506167889</v>
      </c>
      <c r="AA9" s="173">
        <f>('SAR and RAR (TOU-A)'!Z19*1000)-AA8</f>
        <v>21053348.642718837</v>
      </c>
      <c r="AD9" s="48"/>
      <c r="AE9" s="48"/>
    </row>
    <row r="10" spans="1:31" ht="15.75">
      <c r="D10" s="338"/>
      <c r="E10" s="253"/>
      <c r="F10" s="116"/>
      <c r="G10" s="117"/>
      <c r="H10" s="174"/>
      <c r="I10" s="117"/>
      <c r="J10" s="174"/>
      <c r="K10" s="117"/>
      <c r="L10" s="118"/>
      <c r="O10" s="119"/>
      <c r="P10" s="336"/>
      <c r="Q10" s="122"/>
      <c r="R10" s="337"/>
      <c r="S10" s="174"/>
      <c r="T10" s="337"/>
      <c r="U10" s="174"/>
      <c r="V10" s="337"/>
      <c r="W10" s="118"/>
      <c r="X10" s="6" t="s">
        <v>191</v>
      </c>
      <c r="Y10" s="120">
        <f>Y8+Y9</f>
        <v>696882661.39333558</v>
      </c>
      <c r="Z10" s="120">
        <f>Z8+Z9</f>
        <v>608095078.75061679</v>
      </c>
      <c r="AA10" s="120">
        <f>AA8+AA9</f>
        <v>88787582.642718837</v>
      </c>
      <c r="AC10" s="48"/>
      <c r="AD10" s="48"/>
      <c r="AE10" s="48"/>
    </row>
    <row r="11" spans="1:31" ht="15.75">
      <c r="D11" s="115" t="s">
        <v>406</v>
      </c>
      <c r="E11" s="253">
        <v>183390340.97276723</v>
      </c>
      <c r="F11" s="116">
        <v>0.42368000000000006</v>
      </c>
      <c r="G11" s="117">
        <f>F11*E11</f>
        <v>77698819.663342029</v>
      </c>
      <c r="H11" s="174">
        <f t="shared" si="0"/>
        <v>0.46699403453811666</v>
      </c>
      <c r="I11" s="117">
        <f>E11*H11</f>
        <v>85642195.226193458</v>
      </c>
      <c r="J11" s="174">
        <f t="shared" si="1"/>
        <v>0.49013329574897807</v>
      </c>
      <c r="K11" s="117">
        <f t="shared" si="2"/>
        <v>89885712.229511246</v>
      </c>
      <c r="L11" s="118"/>
      <c r="O11" s="115"/>
      <c r="P11" s="336"/>
      <c r="Q11" s="122"/>
      <c r="R11" s="337"/>
      <c r="S11" s="174"/>
      <c r="T11" s="337"/>
      <c r="U11" s="174"/>
      <c r="V11" s="337"/>
      <c r="W11" s="118"/>
      <c r="X11" s="6" t="s">
        <v>193</v>
      </c>
      <c r="Y11" s="222">
        <f>SUM('SAR and RAR (TOU-A)'!Y19+'SAR and RAR (TOU-A)'!AA19-'SAR and RAR (TOU-A)'!L13)*1000-Y8</f>
        <v>82210591.923676968</v>
      </c>
      <c r="Z11" s="222">
        <f>(('SAR and RAR (TOU-A)'!Y19-'SAR and RAR (TOU-A)'!L13)*1000)-Z8</f>
        <v>61538340.069151998</v>
      </c>
      <c r="AA11" s="222">
        <f>('SAR and RAR (TOU-A)'!AA19*1000)-AA8</f>
        <v>20672251.85452503</v>
      </c>
      <c r="AC11" s="99"/>
      <c r="AD11" s="276"/>
      <c r="AE11" s="277"/>
    </row>
    <row r="12" spans="1:31" ht="15.75">
      <c r="D12" s="338"/>
      <c r="E12" s="253"/>
      <c r="F12" s="116"/>
      <c r="G12" s="117"/>
      <c r="H12" s="174"/>
      <c r="I12" s="117"/>
      <c r="J12" s="174"/>
      <c r="K12" s="117"/>
      <c r="L12" s="118"/>
      <c r="O12" s="119"/>
      <c r="P12" s="336"/>
      <c r="Q12" s="122"/>
      <c r="R12" s="337"/>
      <c r="S12" s="174"/>
      <c r="T12" s="337"/>
      <c r="U12" s="174"/>
      <c r="V12" s="337"/>
      <c r="W12" s="118"/>
      <c r="X12" s="6" t="s">
        <v>194</v>
      </c>
      <c r="Y12" s="120">
        <f>Y8+Y11</f>
        <v>748984789.92367697</v>
      </c>
      <c r="Z12" s="120">
        <f>Z8+Z11</f>
        <v>660578304.069152</v>
      </c>
      <c r="AA12" s="120">
        <f>AA8+AA11</f>
        <v>88406485.85452503</v>
      </c>
    </row>
    <row r="13" spans="1:31" ht="15.75">
      <c r="D13" s="115" t="s">
        <v>407</v>
      </c>
      <c r="E13" s="253">
        <v>625200544.57601118</v>
      </c>
      <c r="F13" s="116">
        <v>0.33921000000000007</v>
      </c>
      <c r="G13" s="117">
        <f>F13*E13</f>
        <v>212074276.72562879</v>
      </c>
      <c r="H13" s="174">
        <f t="shared" si="0"/>
        <v>0.37388842158155816</v>
      </c>
      <c r="I13" s="117">
        <f>E13*H13</f>
        <v>233755244.7834554</v>
      </c>
      <c r="J13" s="174">
        <f t="shared" si="1"/>
        <v>0.39241435812644182</v>
      </c>
      <c r="K13" s="117">
        <f t="shared" si="2"/>
        <v>245337670.40009731</v>
      </c>
      <c r="L13" s="118"/>
      <c r="O13" s="119"/>
      <c r="P13" s="123"/>
      <c r="Q13" s="122"/>
      <c r="R13" s="123"/>
      <c r="S13" s="1"/>
      <c r="T13" s="124"/>
      <c r="U13" s="1"/>
      <c r="V13" s="124"/>
      <c r="Z13" s="309"/>
    </row>
    <row r="14" spans="1:31" ht="15.75">
      <c r="D14" s="338"/>
      <c r="E14" s="253"/>
      <c r="F14" s="116"/>
      <c r="G14" s="117"/>
      <c r="H14" s="174"/>
      <c r="I14" s="117"/>
      <c r="J14" s="174"/>
      <c r="K14" s="117"/>
      <c r="L14" s="118"/>
      <c r="O14" s="119"/>
      <c r="P14" s="123"/>
      <c r="Q14" s="122"/>
      <c r="R14" s="123"/>
      <c r="S14" s="278"/>
      <c r="T14" s="123"/>
      <c r="U14" s="123"/>
      <c r="V14" s="123"/>
      <c r="X14" s="6" t="s">
        <v>408</v>
      </c>
      <c r="Y14" s="274" t="s">
        <v>113</v>
      </c>
      <c r="Z14" s="274" t="s">
        <v>329</v>
      </c>
      <c r="AA14" s="274" t="s">
        <v>3</v>
      </c>
      <c r="AD14" s="48" t="s">
        <v>331</v>
      </c>
      <c r="AE14" s="48" t="s">
        <v>333</v>
      </c>
    </row>
    <row r="15" spans="1:31" ht="15.75">
      <c r="D15" s="119"/>
      <c r="E15" s="121"/>
      <c r="F15" s="122"/>
      <c r="G15" s="123"/>
      <c r="H15" s="252"/>
      <c r="I15" s="123"/>
      <c r="J15" s="251"/>
      <c r="K15" s="123"/>
      <c r="L15" s="118"/>
      <c r="O15" s="125"/>
      <c r="P15" s="123"/>
      <c r="Q15" s="122"/>
      <c r="R15" s="123"/>
      <c r="S15" s="123"/>
      <c r="T15" s="123"/>
      <c r="U15" s="123"/>
      <c r="V15" s="123"/>
      <c r="X15" s="6" t="s">
        <v>376</v>
      </c>
      <c r="Y15" s="309">
        <f>+Z15+AA15</f>
        <v>38.103000000000002</v>
      </c>
      <c r="Z15" s="309">
        <v>24.625</v>
      </c>
      <c r="AA15" s="309">
        <v>13.478</v>
      </c>
      <c r="AC15" s="134" t="s">
        <v>330</v>
      </c>
      <c r="AD15" s="274" t="s">
        <v>332</v>
      </c>
      <c r="AE15" s="274" t="s">
        <v>332</v>
      </c>
    </row>
    <row r="16" spans="1:31" ht="15.75">
      <c r="E16" s="254"/>
      <c r="P16" s="123"/>
      <c r="Q16" s="122"/>
      <c r="X16" s="6" t="s">
        <v>191</v>
      </c>
      <c r="Y16" s="309">
        <f>+Z16+AA16</f>
        <v>41.998380140686031</v>
      </c>
      <c r="Z16" s="309">
        <f>((SUM('SAR and RAR (TOU-A)'!$J$10:$K$10,'SAR and RAR (TOU-A)'!$Q$10:$R$10,'SAR and RAR (TOU-A)'!$T$10)-('SAR and RAR (TOU-A)'!$AD$18*'SAR and RAR (TOU-A)'!$D$31))/IF(Summary!$D$2=2025,'SAR and RAR (TOU-A)'!$C$25,'SAR and RAR (TOU-A)'!$C$38)*100)+(SUM('SAR and RAR (TOU-A)'!$M$10:$P$10,'SAR and RAR (TOU-A)'!$S$10)/IF(Summary!$D$2=2025,'SAR and RAR (TOU-A)'!$D$25,'SAR and RAR (TOU-A)'!$D$38)*100)</f>
        <v>24.861805662141748</v>
      </c>
      <c r="AA16" s="309">
        <f>+('SAR and RAR (TOU-A)'!$H$10/IF(Summary!$D$2=2025,'SAR and RAR (TOU-A)'!$E$25,'SAR and RAR (TOU-A)'!$E$38)*100)</f>
        <v>17.136574478544283</v>
      </c>
      <c r="AC16" s="6">
        <f>'SAR and RAR (TOU-A)'!AF26/100</f>
        <v>0.38103000000000004</v>
      </c>
      <c r="AD16" s="312">
        <f>$Y17/100/$AC$16</f>
        <v>0.10223289873989</v>
      </c>
      <c r="AE16" s="312">
        <f>$Y19/100/$AC$16</f>
        <v>0.156847846839544</v>
      </c>
    </row>
    <row r="17" spans="1:31" ht="15.75">
      <c r="O17" s="126"/>
      <c r="X17" s="6" t="s">
        <v>190</v>
      </c>
      <c r="Y17" s="451">
        <f>+Y16-Y15</f>
        <v>3.8953801406860293</v>
      </c>
      <c r="Z17" s="309">
        <f>+Z16-Z15</f>
        <v>0.23680566214174803</v>
      </c>
      <c r="AA17" s="309">
        <f>+AA16-AA15</f>
        <v>3.6585744785442831</v>
      </c>
      <c r="AC17" s="518"/>
      <c r="AD17" s="450"/>
      <c r="AE17" s="450"/>
    </row>
    <row r="18" spans="1:31">
      <c r="X18" s="6" t="s">
        <v>194</v>
      </c>
      <c r="Y18" s="309">
        <f>+Z18+AA18</f>
        <v>44.079373508127148</v>
      </c>
      <c r="Z18" s="309">
        <f>((SUM('SAR and RAR (TOU-A)'!$J$13:$K$13,'SAR and RAR (TOU-A)'!$Q$13:$R$13,'SAR and RAR (TOU-A)'!$T$10)-('SAR and RAR (TOU-A)'!$AE$18*'SAR and RAR (TOU-A)'!$D$31))/IF(Summary!$D$2=2025,'SAR and RAR (TOU-A)'!$C$25,'SAR and RAR (TOU-A)'!$C$38)*100)+(SUM('SAR and RAR (TOU-A)'!$M$13:$P$13,'SAR and RAR (TOU-A)'!$S$13)/IF(Summary!$D$2=2025,'SAR and RAR (TOU-A)'!$D$25,'SAR and RAR (TOU-A)'!$D$38)*100)</f>
        <v>27.016353160690329</v>
      </c>
      <c r="AA18" s="309">
        <f>+('SAR and RAR (TOU-A)'!$H$13/IF(Summary!$D$2=2025,'SAR and RAR (TOU-A)'!$E$25,'SAR and RAR (TOU-A)'!$E$38)*100)</f>
        <v>17.063020347436822</v>
      </c>
      <c r="AD18" s="168"/>
      <c r="AE18" s="168"/>
    </row>
    <row r="19" spans="1:31">
      <c r="B19" s="7"/>
      <c r="P19" s="339"/>
      <c r="Q19" s="339"/>
      <c r="R19" s="339"/>
      <c r="S19" s="339"/>
      <c r="T19" s="339"/>
      <c r="U19" s="339"/>
      <c r="V19" s="339"/>
      <c r="X19" s="6" t="s">
        <v>193</v>
      </c>
      <c r="Y19" s="451">
        <f>+Y18-Y15</f>
        <v>5.9763735081271463</v>
      </c>
      <c r="Z19" s="309">
        <f>+Z18-Z15</f>
        <v>2.3913531606903291</v>
      </c>
      <c r="AA19" s="309">
        <f>+AA18-AA15</f>
        <v>3.5850203474368225</v>
      </c>
      <c r="AD19" s="168"/>
      <c r="AE19" s="168"/>
    </row>
    <row r="20" spans="1:31">
      <c r="B20" s="127" t="s">
        <v>409</v>
      </c>
      <c r="C20" s="127"/>
      <c r="E20" s="128" t="s">
        <v>178</v>
      </c>
      <c r="F20" s="128" t="s">
        <v>178</v>
      </c>
      <c r="H20" s="127"/>
      <c r="I20" s="6" t="s">
        <v>475</v>
      </c>
      <c r="P20" s="340"/>
      <c r="Q20" s="341"/>
      <c r="R20" s="341"/>
      <c r="S20" s="341"/>
      <c r="T20" s="341"/>
      <c r="U20" s="611"/>
      <c r="V20" s="611"/>
      <c r="Y20" s="178"/>
      <c r="AD20" s="168"/>
      <c r="AE20" s="168"/>
    </row>
    <row r="21" spans="1:31">
      <c r="B21" s="131" t="s">
        <v>179</v>
      </c>
      <c r="C21" s="367" t="str">
        <f>'Res Bill Impact'!C21</f>
        <v>2/1/2025</v>
      </c>
      <c r="D21" s="332" t="str">
        <f>'Res Bill Impact'!D21</f>
        <v>6/1/25</v>
      </c>
      <c r="E21" s="133" t="s">
        <v>158</v>
      </c>
      <c r="F21" s="133" t="s">
        <v>166</v>
      </c>
      <c r="I21" s="129" t="s">
        <v>410</v>
      </c>
      <c r="J21" s="612" t="s">
        <v>196</v>
      </c>
      <c r="K21" s="613"/>
      <c r="L21" s="612" t="s">
        <v>197</v>
      </c>
      <c r="M21" s="613"/>
      <c r="P21" s="339"/>
      <c r="Q21" s="611"/>
      <c r="R21" s="611"/>
      <c r="S21" s="611"/>
      <c r="T21" s="611"/>
      <c r="U21" s="342"/>
      <c r="V21" s="342"/>
      <c r="Y21" s="452"/>
    </row>
    <row r="22" spans="1:31">
      <c r="A22" s="6" t="s">
        <v>196</v>
      </c>
      <c r="B22" s="135" t="s">
        <v>411</v>
      </c>
      <c r="C22" s="231">
        <v>0.53507000000000005</v>
      </c>
      <c r="D22" s="137">
        <f>F7</f>
        <v>0.54151000000000005</v>
      </c>
      <c r="E22" s="138">
        <f>H7</f>
        <v>0.59687013699663793</v>
      </c>
      <c r="F22" s="138">
        <f>J7</f>
        <v>0.62644467754208155</v>
      </c>
      <c r="I22" s="335" t="s">
        <v>412</v>
      </c>
      <c r="J22" s="343" t="s">
        <v>413</v>
      </c>
      <c r="K22" s="343" t="s">
        <v>414</v>
      </c>
      <c r="L22" s="343" t="s">
        <v>413</v>
      </c>
      <c r="M22" s="343" t="s">
        <v>414</v>
      </c>
      <c r="N22" s="343" t="s">
        <v>200</v>
      </c>
      <c r="O22" s="343" t="s">
        <v>415</v>
      </c>
      <c r="P22" s="344"/>
      <c r="Q22" s="345"/>
      <c r="R22" s="345"/>
      <c r="S22" s="345"/>
      <c r="T22" s="345"/>
      <c r="U22" s="346"/>
      <c r="V22" s="346"/>
      <c r="Y22" s="452"/>
    </row>
    <row r="23" spans="1:31">
      <c r="B23" s="135" t="s">
        <v>416</v>
      </c>
      <c r="C23" s="136">
        <v>0.40681</v>
      </c>
      <c r="D23" s="137">
        <f>F9</f>
        <v>0.41325000000000001</v>
      </c>
      <c r="E23" s="138">
        <f>H9</f>
        <v>0.45549774540425958</v>
      </c>
      <c r="F23" s="138">
        <f>J9</f>
        <v>0.47806737270644156</v>
      </c>
      <c r="I23" s="347" t="s">
        <v>417</v>
      </c>
      <c r="J23" s="348">
        <v>160.79186300000001</v>
      </c>
      <c r="K23" s="348">
        <v>850.81467699999996</v>
      </c>
      <c r="L23" s="348">
        <v>150.321776</v>
      </c>
      <c r="M23" s="348">
        <v>784.190831</v>
      </c>
      <c r="N23" s="349">
        <v>0.5551499221183801</v>
      </c>
      <c r="O23" s="350">
        <v>4.3630000000000004</v>
      </c>
      <c r="P23" s="344"/>
      <c r="Q23" s="345"/>
      <c r="R23" s="345"/>
      <c r="S23" s="345"/>
      <c r="T23" s="345"/>
      <c r="U23" s="346"/>
      <c r="V23" s="346"/>
    </row>
    <row r="24" spans="1:31">
      <c r="A24" s="170" t="s">
        <v>197</v>
      </c>
      <c r="B24" s="175" t="s">
        <v>411</v>
      </c>
      <c r="C24" s="176">
        <v>0.41724000000000006</v>
      </c>
      <c r="D24" s="176">
        <f>F11</f>
        <v>0.42368000000000006</v>
      </c>
      <c r="E24" s="176">
        <f>H11</f>
        <v>0.46699403453811666</v>
      </c>
      <c r="F24" s="176">
        <f>J11</f>
        <v>0.49013329574897807</v>
      </c>
      <c r="I24" s="347" t="s">
        <v>418</v>
      </c>
      <c r="J24" s="351">
        <v>191.05617100000001</v>
      </c>
      <c r="K24" s="351">
        <v>1001.54555</v>
      </c>
      <c r="L24" s="351">
        <v>143.813929</v>
      </c>
      <c r="M24" s="351">
        <v>821.56988200000001</v>
      </c>
      <c r="N24" s="349">
        <v>0.22045366043613707</v>
      </c>
      <c r="O24" s="350">
        <v>6.6879999999999997</v>
      </c>
      <c r="P24" s="344"/>
      <c r="Q24" s="345"/>
      <c r="R24" s="345"/>
      <c r="S24" s="345"/>
      <c r="T24" s="345"/>
      <c r="U24" s="346"/>
      <c r="V24" s="346"/>
    </row>
    <row r="25" spans="1:31">
      <c r="A25" s="170"/>
      <c r="B25" s="175" t="s">
        <v>416</v>
      </c>
      <c r="C25" s="176">
        <v>0.33276000000000006</v>
      </c>
      <c r="D25" s="176">
        <f>F13</f>
        <v>0.33921000000000007</v>
      </c>
      <c r="E25" s="176">
        <f>H13</f>
        <v>0.37388842158155816</v>
      </c>
      <c r="F25" s="176">
        <f>J13</f>
        <v>0.39241435812644182</v>
      </c>
      <c r="I25" s="352" t="s">
        <v>419</v>
      </c>
      <c r="J25" s="353">
        <v>566.12646400000006</v>
      </c>
      <c r="K25" s="353">
        <v>2486.213882</v>
      </c>
      <c r="L25" s="353">
        <v>440.37613800000003</v>
      </c>
      <c r="M25" s="353">
        <v>1969.4753949999999</v>
      </c>
      <c r="N25" s="354">
        <v>0.22439641744548286</v>
      </c>
      <c r="O25" s="355">
        <v>9.3629999999999995</v>
      </c>
      <c r="P25" s="344"/>
      <c r="Q25" s="345"/>
      <c r="R25" s="345"/>
      <c r="S25" s="345"/>
      <c r="T25" s="345"/>
      <c r="U25" s="346"/>
      <c r="V25" s="346"/>
    </row>
    <row r="26" spans="1:31">
      <c r="I26" s="470"/>
      <c r="J26" s="470"/>
      <c r="L26" s="120"/>
      <c r="M26" s="120"/>
      <c r="N26" s="469"/>
      <c r="O26" s="466"/>
      <c r="P26" s="344"/>
      <c r="Q26" s="345"/>
      <c r="R26" s="345"/>
      <c r="S26" s="345"/>
      <c r="T26" s="345"/>
      <c r="U26" s="346"/>
      <c r="V26" s="346"/>
    </row>
    <row r="27" spans="1:31">
      <c r="B27" s="356"/>
      <c r="C27" s="256"/>
      <c r="D27" s="137"/>
      <c r="E27" s="138"/>
      <c r="F27" s="138"/>
      <c r="I27" s="120"/>
      <c r="J27" s="120"/>
      <c r="M27" s="120"/>
      <c r="N27" s="120"/>
      <c r="Q27" s="150"/>
      <c r="R27" s="150"/>
      <c r="S27" s="150"/>
      <c r="T27" s="150"/>
      <c r="U27" s="141"/>
      <c r="V27" s="141"/>
    </row>
    <row r="28" spans="1:31">
      <c r="I28" s="120"/>
      <c r="J28" s="120"/>
      <c r="M28" s="120"/>
      <c r="N28" s="120"/>
      <c r="Q28" s="150"/>
      <c r="R28" s="150"/>
      <c r="S28" s="150"/>
      <c r="T28" s="150"/>
      <c r="U28" s="141"/>
      <c r="V28" s="141"/>
    </row>
    <row r="29" spans="1:31">
      <c r="B29" s="356"/>
      <c r="C29" s="256"/>
      <c r="D29" s="137"/>
      <c r="E29" s="138"/>
      <c r="F29" s="138"/>
      <c r="I29" s="120"/>
      <c r="J29" s="120"/>
      <c r="M29" s="120"/>
      <c r="N29" s="120"/>
      <c r="Q29" s="150"/>
      <c r="R29" s="150"/>
      <c r="S29" s="150"/>
      <c r="T29" s="150"/>
      <c r="U29" s="141"/>
      <c r="V29" s="141"/>
    </row>
    <row r="30" spans="1:31">
      <c r="B30" s="7"/>
      <c r="C30" s="8"/>
      <c r="D30" s="144"/>
      <c r="E30" s="9"/>
      <c r="F30" s="9"/>
      <c r="I30" s="120"/>
      <c r="J30" s="120"/>
      <c r="M30" s="120"/>
      <c r="N30" s="120"/>
      <c r="Q30" s="150"/>
      <c r="R30" s="150"/>
      <c r="S30" s="150"/>
      <c r="T30" s="150"/>
      <c r="U30" s="141"/>
      <c r="V30" s="143"/>
    </row>
    <row r="31" spans="1:31">
      <c r="B31" s="7"/>
      <c r="C31" s="8"/>
      <c r="D31" s="8"/>
      <c r="E31" s="9"/>
      <c r="F31" s="9"/>
    </row>
    <row r="32" spans="1:31" ht="27">
      <c r="B32" s="250"/>
      <c r="C32" s="608" t="s">
        <v>420</v>
      </c>
      <c r="D32" s="608"/>
      <c r="E32" s="608"/>
      <c r="F32" s="608"/>
      <c r="G32" s="608"/>
      <c r="H32" s="608"/>
      <c r="I32" s="608"/>
      <c r="J32" s="608"/>
      <c r="L32" s="128" t="s">
        <v>421</v>
      </c>
      <c r="Q32" s="357"/>
      <c r="R32" s="358"/>
      <c r="S32" s="357"/>
      <c r="T32" s="359"/>
      <c r="U32" s="359"/>
      <c r="V32" s="359"/>
    </row>
    <row r="33" spans="2:22">
      <c r="B33" s="7"/>
      <c r="C33" s="601" t="s">
        <v>482</v>
      </c>
      <c r="D33" s="601"/>
      <c r="E33" s="601"/>
      <c r="F33" s="601"/>
      <c r="G33" s="601"/>
      <c r="H33" s="601"/>
      <c r="I33" s="601"/>
      <c r="J33" s="601"/>
      <c r="L33" s="135" t="s">
        <v>422</v>
      </c>
      <c r="M33" s="360" t="str">
        <f>C21</f>
        <v>2/1/2025</v>
      </c>
      <c r="N33" s="132" t="str">
        <f>D21</f>
        <v>6/1/25</v>
      </c>
      <c r="Q33" s="357"/>
      <c r="R33" s="358"/>
      <c r="S33" s="361"/>
      <c r="T33" s="362"/>
      <c r="U33" s="362"/>
      <c r="V33" s="363"/>
    </row>
    <row r="34" spans="2:22">
      <c r="B34" s="7"/>
      <c r="C34" s="602" t="str">
        <f>C21</f>
        <v>2/1/2025</v>
      </c>
      <c r="D34" s="602"/>
      <c r="E34" s="603" t="str">
        <f>D21</f>
        <v>6/1/25</v>
      </c>
      <c r="F34" s="602"/>
      <c r="G34" s="602" t="str">
        <f>E21</f>
        <v>Authorized</v>
      </c>
      <c r="H34" s="602"/>
      <c r="I34" s="603" t="str">
        <f>F21</f>
        <v>w/Pending</v>
      </c>
      <c r="J34" s="602"/>
      <c r="L34" s="135" t="s">
        <v>423</v>
      </c>
      <c r="M34" s="364">
        <v>11.45</v>
      </c>
      <c r="N34" s="364">
        <v>11.45</v>
      </c>
      <c r="Q34" s="357"/>
      <c r="R34" s="358"/>
      <c r="S34" s="361"/>
      <c r="T34" s="362"/>
      <c r="U34" s="363"/>
      <c r="V34" s="362"/>
    </row>
    <row r="35" spans="2:22">
      <c r="B35" s="7"/>
      <c r="C35" s="8" t="s">
        <v>196</v>
      </c>
      <c r="D35" s="8" t="s">
        <v>197</v>
      </c>
      <c r="E35" s="8" t="s">
        <v>196</v>
      </c>
      <c r="F35" s="8" t="s">
        <v>197</v>
      </c>
      <c r="G35" s="8" t="s">
        <v>196</v>
      </c>
      <c r="H35" s="8" t="s">
        <v>197</v>
      </c>
      <c r="I35" s="8" t="s">
        <v>196</v>
      </c>
      <c r="J35" s="8" t="s">
        <v>197</v>
      </c>
      <c r="L35" s="135" t="s">
        <v>424</v>
      </c>
      <c r="M35" s="364">
        <v>18.32</v>
      </c>
      <c r="N35" s="364">
        <v>18.32</v>
      </c>
      <c r="Q35" s="357"/>
      <c r="R35" s="361"/>
      <c r="S35" s="365"/>
      <c r="T35" s="362"/>
      <c r="U35" s="362"/>
      <c r="V35" s="362"/>
    </row>
    <row r="36" spans="2:22">
      <c r="B36" s="139" t="s">
        <v>417</v>
      </c>
      <c r="C36" s="160">
        <f>((C22*$J$23)+(C23*$K$23))+IF($O23&lt;5.1,$M$34,IF(AND($O23&gt;5,$O23&lt;20.1),$M$35,IF(AND($O23&gt;20,$O23&lt;50.1),$M$36,IF($O23&gt;50,$M$37))))+('Incremental Rev Req'!F85*$J$23+'Incremental Rev Req'!F85*$K$23)</f>
        <v>444.41410611777997</v>
      </c>
      <c r="D36" s="160">
        <f>((C24*$L$23)+(C25*$M$23))+IF($O23&lt;5.1,$M$34,IF(AND($O23&gt;5,$O23&lt;20.1),$M$35,IF(AND($O23&gt;20,$O23&lt;50.1),$M$36,IF($O23&gt;50,$M$37))))+('Incremental Rev Req'!F85*$L$23+'Incremental Rev Req'!F85*$M$23)</f>
        <v>335.86520882740001</v>
      </c>
      <c r="E36" s="160">
        <f>((D22*$J$23)+(D23*$K$23))+IF($O23&lt;5.1,$N$34,IF(AND($O23&gt;5,$O23&lt;20.1),$N$35,IF(AND($O23&gt;20,$O23&lt;50.1),$N$36,IF($O23&gt;50,$N$37))))+('Incremental Rev Req'!F85*$J$23+'Incremental Rev Req'!F85*$K$23)</f>
        <v>450.92885223538002</v>
      </c>
      <c r="F36" s="160">
        <f>((D24*$L$23)+(D25*$M$23))+IF($O23&lt;5.1,$N$34,IF(AND($O23&gt;5,$O23&lt;20.1),$N$35,IF(AND($O23&gt;20,$O23&lt;50.1),$N$36,IF($O23&gt;50,$N$37))))+('Incremental Rev Req'!F85*$L$23+'Incremental Rev Req'!F85*$M$23)</f>
        <v>341.89131192479005</v>
      </c>
      <c r="G36" s="160">
        <f>((E22*J23)+(E23*K23))+IF($O23&lt;5.1,$N$34,IF(AND($O23&gt;5,$O23&lt;20.1),$N$35,IF(AND($O23&gt;20,$O23&lt;50.1),$N$36,IF($O23&gt;50,$N$37))))+('Incremental Rev Req'!F85*$J$23+'Incremental Rev Req'!F85*$K$23)</f>
        <v>495.77531365910795</v>
      </c>
      <c r="H36" s="160">
        <f>((E24*L23)+(E25*M23))+IF($O23&lt;5.1,$N$34,IF(AND($O23&gt;5,$O23&lt;20.1),$N$35,IF(AND($O23&gt;20,$O23&lt;50.1),$N$36,IF($O23&gt;50,$N$37))))+('Incremental Rev Req'!F85*$L$23+'Incremental Rev Req'!F85*$M$23)</f>
        <v>375.59685476009543</v>
      </c>
      <c r="I36" s="160">
        <f>((F22*J23)+(F23*K23))+IF($O23&lt;5.1,$N$34,IF(AND($O23&gt;5,$O23&lt;20.1),$N$35,IF(AND($O23&gt;20,$O23&lt;50.1),$N$36,IF($O23&gt;50,$N$37))))+('Incremental Rev Req'!F85*$J$23+'Incremental Rev Req'!F85*$K$23)</f>
        <v>519.73322929389519</v>
      </c>
      <c r="J36" s="160">
        <f>((F24*L23)+(F25*M23))+IF($O23&lt;5.1,$N$34,IF(AND($O23&gt;5,$O23&lt;20.1),$N$35,IF(AND($O23&gt;20,$O23&lt;50.1),$N$36,IF($O23&gt;50,$N$37))))+('Incremental Rev Req'!F85*$L$23+'Incremental Rev Req'!F85*$M$23)</f>
        <v>393.60305917482566</v>
      </c>
      <c r="L36" s="135" t="s">
        <v>425</v>
      </c>
      <c r="M36" s="364">
        <v>34.35</v>
      </c>
      <c r="N36" s="364">
        <v>34.35</v>
      </c>
      <c r="Q36" s="357"/>
      <c r="R36" s="358"/>
      <c r="S36" s="365"/>
      <c r="T36" s="362"/>
      <c r="U36" s="362"/>
      <c r="V36" s="362"/>
    </row>
    <row r="37" spans="2:22">
      <c r="B37" s="142" t="s">
        <v>418</v>
      </c>
      <c r="C37" s="160">
        <f>((C22*$J$24)+(C23*$K$24))+IF($O24&lt;5.1,$M$34,IF(AND($O24&gt;5,$O24&lt;20.1),$M$35,IF(AND($O24&gt;20,$O24&lt;50.1),$M$36,IF($O24&gt;50,$M$37))))+('Incremental Rev Req'!F85*$J$24+'Incremental Rev Req'!F85*$K$24)</f>
        <v>528.94125198927009</v>
      </c>
      <c r="D37" s="160">
        <f>((C24*$L$24)+(C25*$M$24))+IF($O24&lt;5.1,$M$34,IF(AND($O24&gt;5,$O24&lt;20.1),$M$35,IF(AND($O24&gt;20,$O24&lt;50.1),$M$36,IF($O24&gt;50,$M$37))))+('Incremental Rev Req'!F85*$L$24+'Incremental Rev Req'!F85*$M$24)</f>
        <v>352.48282471908004</v>
      </c>
      <c r="E37" s="160">
        <f>((D22*$J$24)+(D23*$K$24))+IF($O24&lt;5.1,$N$34,IF(AND($O24&gt;5,$O24&lt;20.1),$N$35,IF(AND($O24&gt;20,$O24&lt;50.1),$N$36,IF($O24&gt;50,$N$37))))+('Incremental Rev Req'!F85*$J$24+'Incremental Rev Req'!F85*$K$24)</f>
        <v>536.62160707251007</v>
      </c>
      <c r="F37" s="160">
        <f>((D24*$L$24)+(D25*$M$24))+IF($O24&lt;5.1,$N$34,IF(AND($O24&gt;5,$O24&lt;20.1),$N$35,IF(AND($O24&gt;20,$O24&lt;50.1),$N$36,IF($O24&gt;50,$N$37))))+('Incremental Rev Req'!F85*$L$24+'Incremental Rev Req'!F85*$M$24)</f>
        <v>358.70811216074003</v>
      </c>
      <c r="G37" s="160">
        <f>((E22*J24)+(E23*K24))+IF($O24&lt;5.1,$N$34,IF(AND($O24&gt;5,$O24&lt;20.1),$N$35,IF(AND($O24&gt;20,$O24&lt;50.1),$N$36,IF($O24&gt;50,$N$37))))+('Incremental Rev Req'!F85*$J$24+'Incremental Rev Req'!F85*$K$24)</f>
        <v>589.51154428029224</v>
      </c>
      <c r="H37" s="160">
        <f>((E24*L24)+(E25*M24))+IF($O24&lt;5.1,$N$34,IF(AND($O24&gt;5,$O24&lt;20.1),$N$35,IF(AND($O24&gt;20,$O24&lt;50.1),$N$36,IF($O24&gt;50,$N$37))))+('Incremental Rev Req'!F85*$L$24+'Incremental Rev Req'!F85*$M$24)</f>
        <v>393.42802037521523</v>
      </c>
      <c r="I37" s="160">
        <f>((F22*J24)+(F23*K24))+IF($O24&lt;5.1,$N$34,IF(AND($O24&gt;5,$O24&lt;20.1),$N$35,IF(AND($O24&gt;20,$O24&lt;50.1),$N$36,IF($O24&gt;50,$N$37))))+('Incremental Rev Req'!F85*$J$24+'Incremental Rev Req'!F85*$K$24)</f>
        <v>617.76645254564789</v>
      </c>
      <c r="J37" s="160">
        <f>((F24*L24)+(F25*M24))+IF($O24&lt;5.1,$N$34,IF(AND($O24&gt;5,$O24&lt;20.1),$N$35,IF(AND($O24&gt;20,$O24&lt;50.1),$N$36,IF($O24&gt;50,$N$37))))+('Incremental Rev Req'!F85*$L$24+'Incremental Rev Req'!F85*$M$24)</f>
        <v>411.97611994522606</v>
      </c>
      <c r="L37" s="135" t="s">
        <v>426</v>
      </c>
      <c r="M37" s="364">
        <v>85.87</v>
      </c>
      <c r="N37" s="364">
        <v>85.87</v>
      </c>
      <c r="Q37" s="357"/>
      <c r="R37" s="358"/>
      <c r="S37" s="361"/>
      <c r="T37" s="362"/>
      <c r="U37" s="362"/>
      <c r="V37" s="363"/>
    </row>
    <row r="38" spans="2:22">
      <c r="B38" s="145" t="s">
        <v>419</v>
      </c>
      <c r="C38" s="160">
        <f>((C22*$J$25)+(C23*$K$25))+IF($O25&lt;5.1,$M$34,IF(AND($O25&gt;5,$O25&lt;20.1),$M$35,IF(AND($O25&gt;20,$O25&lt;50.1),$M$36,IF($O25&gt;50,$M$37))))+('Incremental Rev Req'!F85*$J$25+'Incremental Rev Req'!F85*$K$25)</f>
        <v>1335.0958287057001</v>
      </c>
      <c r="D38" s="160">
        <f>((C24*$L$25)+(C25*$M$25))+IF($O25&lt;5.1,$M$34,IF(AND($O25&gt;5,$O25&lt;20.1),$M$35,IF(AND($O25&gt;20,$O25&lt;50.1),$M$36,IF($O25&gt;50,$M$37))))+('Incremental Rev Req'!F85*$L$25+'Incremental Rev Req'!F85*$M$25)</f>
        <v>859.35305348572012</v>
      </c>
      <c r="E38" s="160">
        <f>((D22*$J$25)+(D23*$K$25))+IF($O25&lt;5.1,$N$34,IF(AND($O25&gt;5,$O25&lt;20.1),$N$35,IF(AND($O25&gt;20,$O25&lt;50.1),$N$36,IF($O25&gt;50,$N$37))))+('Incremental Rev Req'!F85*$J$25+'Incremental Rev Req'!F85*$K$25)</f>
        <v>1354.7529005339402</v>
      </c>
      <c r="F38" s="160">
        <f>((D24*$L$25)+(D25*$M$25))+IF($O25&lt;5.1,$N$34,IF(AND($O25&gt;5,$O25&lt;20.1),$N$35,IF(AND($O25&gt;20,$O25&lt;50.1),$N$36,IF($O25&gt;50,$N$37))))+('Incremental Rev Req'!F85*$L$25+'Incremental Rev Req'!F85*$M$25)</f>
        <v>874.89219211219029</v>
      </c>
      <c r="G38" s="160">
        <f>((E22*J25)+(E23*K25))+IF($O25&lt;5.1,$N$34,IF(AND($O25&gt;5,$O25&lt;20.1),$N$35,IF(AND($O25&gt;20,$O25&lt;50.1),$N$36,IF($O25&gt;50,$N$37))))+('Incremental Rev Req'!F85*$J$25+'Incremental Rev Req'!F85*$K$25)</f>
        <v>1491.1306702456741</v>
      </c>
      <c r="H38" s="160">
        <f>((E24*L25)+(E25*M25))+IF($O25&lt;5.1,$N$34,IF(AND($O25&gt;5,$O25&lt;20.1),$N$35,IF(AND($O25&gt;20,$O25&lt;50.1),$N$36,IF($O25&gt;50,$N$37))))+('Incremental Rev Req'!F85*$L$25+'Incremental Rev Req'!F85*$M$25)</f>
        <v>962.26495740560028</v>
      </c>
      <c r="I38" s="160">
        <f>((F22*J25)+(F23*K25))+IF($O25&lt;5.1,$N$34,IF(AND($O25&gt;5,$O25&lt;20.1),$N$35,IF(AND($O25&gt;20,$O25&lt;50.1),$N$36,IF($O25&gt;50,$N$37))))+('Incremental Rev Req'!F85*$J$25+'Incremental Rev Req'!F85*$K$25)</f>
        <v>1563.9865210193418</v>
      </c>
      <c r="J38" s="160">
        <f>((F24*L25)+(F25*M25))+IF($O25&lt;5.1,$N$34,IF(AND($O25&gt;5,$O25&lt;20.1),$N$35,IF(AND($O25&gt;20,$O25&lt;50.1),$N$36,IF($O25&gt;50,$N$37))))+('Incremental Rev Req'!F85*$L$25+'Incremental Rev Req'!F85*$M$25)</f>
        <v>1008.9413120882923</v>
      </c>
      <c r="L38" s="10"/>
      <c r="M38" s="10"/>
      <c r="N38" s="10"/>
      <c r="Q38" s="357"/>
      <c r="R38" s="358"/>
      <c r="S38" s="361"/>
      <c r="T38" s="362"/>
      <c r="U38" s="363"/>
      <c r="V38" s="362"/>
    </row>
    <row r="39" spans="2:22" s="10" customFormat="1">
      <c r="B39" s="6" t="s">
        <v>113</v>
      </c>
      <c r="C39" s="158">
        <f t="shared" ref="C39:J39" si="3">SUMPRODUCT(C36:C38,$N$23:$N$25)</f>
        <v>662.91421246426989</v>
      </c>
      <c r="D39" s="158">
        <f t="shared" si="3"/>
        <v>456.99741999602708</v>
      </c>
      <c r="E39" s="158">
        <f t="shared" si="3"/>
        <v>672.63501215135182</v>
      </c>
      <c r="F39" s="158">
        <f t="shared" si="3"/>
        <v>465.20212510297017</v>
      </c>
      <c r="G39" s="158">
        <f t="shared" si="3"/>
        <v>739.79398491823054</v>
      </c>
      <c r="H39" s="158">
        <f t="shared" si="3"/>
        <v>511.17402095298166</v>
      </c>
      <c r="I39" s="158">
        <f t="shared" si="3"/>
        <v>775.67170977294006</v>
      </c>
      <c r="J39" s="158">
        <f t="shared" si="3"/>
        <v>535.73316714602038</v>
      </c>
      <c r="L39" s="6"/>
      <c r="M39" s="6"/>
      <c r="N39" s="6"/>
      <c r="O39" s="6"/>
      <c r="P39" s="365"/>
      <c r="Q39" s="357"/>
      <c r="S39" s="365"/>
      <c r="T39" s="362"/>
      <c r="U39" s="362"/>
      <c r="V39" s="362"/>
    </row>
    <row r="40" spans="2:22">
      <c r="P40" s="361"/>
      <c r="Q40" s="357"/>
      <c r="S40" s="361"/>
      <c r="T40" s="366"/>
      <c r="U40" s="366"/>
      <c r="V40" s="366"/>
    </row>
  </sheetData>
  <mergeCells count="13">
    <mergeCell ref="B2:D2"/>
    <mergeCell ref="E3:K3"/>
    <mergeCell ref="U20:V20"/>
    <mergeCell ref="J21:K21"/>
    <mergeCell ref="L21:M21"/>
    <mergeCell ref="Q21:R21"/>
    <mergeCell ref="S21:T21"/>
    <mergeCell ref="C32:J32"/>
    <mergeCell ref="C33:J33"/>
    <mergeCell ref="C34:D34"/>
    <mergeCell ref="E34:F34"/>
    <mergeCell ref="G34:H34"/>
    <mergeCell ref="I34:J34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15DC67-FE27-45CE-929F-9CCB6CAE3578}">
  <sheetPr codeName="Sheet8">
    <tabColor rgb="FF92D050"/>
  </sheetPr>
  <dimension ref="B1:S103"/>
  <sheetViews>
    <sheetView workbookViewId="0"/>
  </sheetViews>
  <sheetFormatPr defaultColWidth="8.85546875" defaultRowHeight="15"/>
  <cols>
    <col min="1" max="1" width="5.5703125" style="6" customWidth="1"/>
    <col min="2" max="2" width="16.5703125" style="6" customWidth="1"/>
    <col min="3" max="3" width="18.140625" style="6" customWidth="1"/>
    <col min="4" max="9" width="16.85546875" style="6" customWidth="1"/>
    <col min="10" max="10" width="23.5703125" style="6" customWidth="1"/>
    <col min="11" max="12" width="15.5703125" style="6" customWidth="1"/>
    <col min="13" max="16" width="13.42578125" style="6" customWidth="1"/>
    <col min="17" max="17" width="15.42578125" style="6" bestFit="1" customWidth="1"/>
    <col min="18" max="18" width="15.85546875" style="6" customWidth="1"/>
    <col min="19" max="23" width="15.5703125" style="6" customWidth="1"/>
    <col min="24" max="16384" width="8.85546875" style="6"/>
  </cols>
  <sheetData>
    <row r="1" spans="2:18">
      <c r="B1" s="428" t="s">
        <v>125</v>
      </c>
      <c r="F1" s="41" t="s">
        <v>126</v>
      </c>
      <c r="G1" s="42"/>
      <c r="H1" s="42"/>
      <c r="L1" s="41" t="s">
        <v>467</v>
      </c>
      <c r="N1" s="41"/>
      <c r="O1" s="42"/>
      <c r="P1" s="42"/>
    </row>
    <row r="2" spans="2:18">
      <c r="B2" s="42"/>
      <c r="C2" s="43"/>
      <c r="D2" s="42"/>
      <c r="E2" s="42"/>
      <c r="F2" s="42" t="s">
        <v>127</v>
      </c>
      <c r="G2" s="44"/>
      <c r="H2" s="47" t="str">
        <f>Summary!I2</f>
        <v>6/1/25</v>
      </c>
      <c r="L2" s="6" t="s">
        <v>503</v>
      </c>
    </row>
    <row r="3" spans="2:18">
      <c r="B3" s="45"/>
      <c r="C3" s="46" t="s">
        <v>128</v>
      </c>
      <c r="D3" s="287" t="s">
        <v>129</v>
      </c>
      <c r="F3" s="42" t="s">
        <v>130</v>
      </c>
      <c r="G3" s="44"/>
      <c r="H3" s="47">
        <f>Summary!I3</f>
        <v>2026</v>
      </c>
      <c r="L3" s="6" t="s">
        <v>469</v>
      </c>
    </row>
    <row r="4" spans="2:18">
      <c r="F4" s="45" t="s">
        <v>134</v>
      </c>
      <c r="H4" s="53">
        <f>Summary!I4</f>
        <v>5</v>
      </c>
      <c r="I4" s="45" t="s">
        <v>135</v>
      </c>
      <c r="L4" s="6" t="s">
        <v>464</v>
      </c>
    </row>
    <row r="5" spans="2:18">
      <c r="D5" s="48" t="s">
        <v>161</v>
      </c>
      <c r="F5" s="45" t="s">
        <v>136</v>
      </c>
      <c r="H5" s="53">
        <f>Summary!I5</f>
        <v>7</v>
      </c>
      <c r="I5" s="45" t="s">
        <v>135</v>
      </c>
      <c r="L5" s="425"/>
      <c r="M5" s="541" t="s">
        <v>465</v>
      </c>
      <c r="N5" s="542"/>
      <c r="O5" s="541" t="s">
        <v>466</v>
      </c>
      <c r="P5" s="542"/>
    </row>
    <row r="6" spans="2:18">
      <c r="C6" s="189" t="s">
        <v>3</v>
      </c>
      <c r="D6" s="288"/>
      <c r="F6" s="45" t="s">
        <v>468</v>
      </c>
      <c r="H6" s="390">
        <f>IF($H$8="N",0,'Sales Allocations &amp; CCC'!$R$3)</f>
        <v>-81.37725457534664</v>
      </c>
      <c r="I6" s="45" t="s">
        <v>188</v>
      </c>
      <c r="L6" s="426" t="s">
        <v>131</v>
      </c>
      <c r="M6" s="426" t="s">
        <v>196</v>
      </c>
      <c r="N6" s="426" t="s">
        <v>197</v>
      </c>
      <c r="O6" s="426" t="s">
        <v>196</v>
      </c>
      <c r="P6" s="426" t="s">
        <v>197</v>
      </c>
    </row>
    <row r="7" spans="2:18">
      <c r="C7" s="190" t="s">
        <v>392</v>
      </c>
      <c r="D7" s="288"/>
      <c r="F7" s="48"/>
      <c r="H7" s="390">
        <f>IF($H$8="N",0,IF($H$3=2025,'Sales Allocations &amp; CCC'!$R$3,'Sales Allocations &amp; CCC'!$R$4))</f>
        <v>-53.906531876469231</v>
      </c>
      <c r="I7" s="45" t="s">
        <v>178</v>
      </c>
      <c r="L7" s="53" t="s">
        <v>153</v>
      </c>
      <c r="M7" s="165">
        <f>IF($D$3="ALL",SUMPRODUCT('Hypothetical Res Bill Impact'!Q22:Q25,'Hypothetical Res Bill Impact'!U22:U25),VLOOKUP($D$3,'Hypothetical Res Bill Impact'!$P$22:$V$25,2,FALSE))</f>
        <v>342.91891800000002</v>
      </c>
      <c r="N7" s="166">
        <f>IF($D$3="ALL",SUMPRODUCT('Hypothetical Res Bill Impact'!R22:R25,'Hypothetical Res Bill Impact'!U22:U25),VLOOKUP(D$3,'Hypothetical Res Bill Impact'!$P$22:$V$25,3,FALSE))</f>
        <v>303.58623299999999</v>
      </c>
      <c r="O7" s="165">
        <f>IF($D$3="ALL",SUMPRODUCT('Hypothetical Res Bill Impact'!Q31:Q34,'Hypothetical Res Bill Impact'!U31:U34),VLOOKUP($D$3,'Hypothetical Res Bill Impact'!$P$31:$V$34,2,FALSE))</f>
        <v>293.18844799999999</v>
      </c>
      <c r="P7" s="166">
        <f>IF($D$3="ALL",SUMPRODUCT('Hypothetical Res Bill Impact'!R31:R34,'Hypothetical Res Bill Impact'!U31:U34),VLOOKUP(D$3,'Hypothetical Res Bill Impact'!$P$31:$V$34,3,FALSE))</f>
        <v>272.42403400000001</v>
      </c>
    </row>
    <row r="8" spans="2:18">
      <c r="C8" s="190" t="s">
        <v>59</v>
      </c>
      <c r="D8" s="288"/>
      <c r="F8" s="48"/>
      <c r="G8" s="52" t="s">
        <v>471</v>
      </c>
      <c r="H8" s="343" t="s">
        <v>26</v>
      </c>
      <c r="I8" s="45"/>
      <c r="L8" s="53" t="s">
        <v>154</v>
      </c>
      <c r="M8" s="166">
        <f>IF($D$3="ALL",SUMPRODUCT('Hypothetical Res Bill Impact'!S22:S25,'Hypothetical Res Bill Impact'!V22:V25),VLOOKUP($D$3,'Hypothetical Res Bill Impact'!$P$22:$V$25,4,FALSE))</f>
        <v>335.11797200000001</v>
      </c>
      <c r="N8" s="166">
        <f>IF($D$3="ALL",SUMPRODUCT('Hypothetical Res Bill Impact'!T22:T25,'Hypothetical Res Bill Impact'!V22:V25),VLOOKUP($D$3,'Hypothetical Res Bill Impact'!$P$22:$V$25,5,FALSE))</f>
        <v>296.54197699999997</v>
      </c>
      <c r="O8" s="166">
        <f>IF($D$3="ALL",SUMPRODUCT('Hypothetical Res Bill Impact'!S31:S34,'Hypothetical Res Bill Impact'!V31:V34),VLOOKUP($D$3,'Hypothetical Res Bill Impact'!$P$31:$V$34,4,FALSE))</f>
        <v>300.67371600000001</v>
      </c>
      <c r="P8" s="166">
        <f>IF($D$3="ALL",SUMPRODUCT('Hypothetical Res Bill Impact'!T31:T34,'Hypothetical Res Bill Impact'!V31:V34),VLOOKUP($D$3,'Hypothetical Res Bill Impact'!$P$31:$V$34,5,FALSE))</f>
        <v>283.19878299999999</v>
      </c>
    </row>
    <row r="9" spans="2:18">
      <c r="C9" s="190" t="s">
        <v>5</v>
      </c>
      <c r="D9" s="288"/>
      <c r="F9" s="48"/>
      <c r="G9" s="52" t="s">
        <v>462</v>
      </c>
      <c r="H9" s="53">
        <v>400</v>
      </c>
      <c r="I9" s="45"/>
    </row>
    <row r="10" spans="2:18">
      <c r="C10" s="190" t="s">
        <v>98</v>
      </c>
      <c r="D10" s="288"/>
      <c r="F10" s="540" t="s">
        <v>463</v>
      </c>
      <c r="G10" s="540"/>
      <c r="J10" s="45"/>
      <c r="L10" s="45"/>
      <c r="Q10" s="45"/>
    </row>
    <row r="11" spans="2:18">
      <c r="C11" s="190" t="s">
        <v>14</v>
      </c>
      <c r="D11" s="288"/>
      <c r="F11" s="540"/>
      <c r="G11" s="540"/>
    </row>
    <row r="12" spans="2:18">
      <c r="C12" s="190" t="s">
        <v>80</v>
      </c>
      <c r="D12" s="288"/>
      <c r="E12" s="48"/>
      <c r="F12" s="540"/>
      <c r="G12" s="540"/>
      <c r="M12" s="45"/>
    </row>
    <row r="13" spans="2:18">
      <c r="C13" s="191" t="s">
        <v>100</v>
      </c>
      <c r="D13" s="288"/>
      <c r="E13" s="48"/>
      <c r="J13" s="284"/>
      <c r="L13" s="45"/>
      <c r="M13" s="45"/>
      <c r="R13" s="45"/>
    </row>
    <row r="14" spans="2:18">
      <c r="C14" s="190" t="s">
        <v>97</v>
      </c>
      <c r="D14" s="288"/>
      <c r="E14" s="48"/>
      <c r="L14" s="45"/>
      <c r="M14" s="45"/>
      <c r="R14" s="45"/>
    </row>
    <row r="15" spans="2:18">
      <c r="C15" s="190" t="s">
        <v>256</v>
      </c>
      <c r="D15" s="288"/>
      <c r="E15" s="48"/>
      <c r="L15" s="45"/>
      <c r="M15" s="45"/>
      <c r="R15" s="45"/>
    </row>
    <row r="16" spans="2:18">
      <c r="C16" s="190" t="s">
        <v>10</v>
      </c>
      <c r="D16" s="288"/>
      <c r="E16" s="48"/>
      <c r="L16" s="45"/>
      <c r="M16" s="45"/>
      <c r="R16" s="45"/>
    </row>
    <row r="17" spans="2:19">
      <c r="C17" s="190" t="s">
        <v>87</v>
      </c>
      <c r="D17" s="288"/>
      <c r="E17" s="48"/>
      <c r="F17" s="45"/>
      <c r="K17" s="45"/>
      <c r="L17" s="45"/>
    </row>
    <row r="18" spans="2:19" ht="15.4" customHeight="1">
      <c r="C18" s="190" t="s">
        <v>225</v>
      </c>
      <c r="D18" s="288"/>
      <c r="E18" s="48"/>
      <c r="F18" s="45"/>
      <c r="K18" s="45"/>
      <c r="L18" s="45"/>
    </row>
    <row r="19" spans="2:19">
      <c r="C19" s="190" t="s">
        <v>78</v>
      </c>
      <c r="D19" s="289"/>
      <c r="E19" s="48"/>
      <c r="F19" s="45"/>
      <c r="K19" s="45"/>
      <c r="L19" s="45"/>
    </row>
    <row r="20" spans="2:19">
      <c r="B20"/>
      <c r="C20" s="27" t="s">
        <v>113</v>
      </c>
      <c r="D20" s="192">
        <f>SUM(D6:D19)</f>
        <v>0</v>
      </c>
      <c r="E20" s="48"/>
      <c r="F20" s="45"/>
      <c r="K20" s="45"/>
      <c r="L20" s="45"/>
    </row>
    <row r="21" spans="2:19">
      <c r="B21"/>
      <c r="D21" s="48"/>
      <c r="E21" s="48"/>
      <c r="F21" s="45"/>
      <c r="J21" s="52"/>
      <c r="K21" s="45"/>
      <c r="L21" s="45"/>
    </row>
    <row r="22" spans="2:19">
      <c r="B22" s="43"/>
      <c r="C22" s="193"/>
      <c r="D22" s="193"/>
      <c r="I22" s="45"/>
      <c r="L22" s="45"/>
    </row>
    <row r="23" spans="2:19">
      <c r="B23" s="41" t="s">
        <v>137</v>
      </c>
    </row>
    <row r="24" spans="2:19" ht="15.75" thickBot="1">
      <c r="D24" s="54" t="s">
        <v>138</v>
      </c>
      <c r="E24" s="54" t="s">
        <v>139</v>
      </c>
      <c r="F24" s="54" t="s">
        <v>140</v>
      </c>
      <c r="G24" s="54" t="s">
        <v>219</v>
      </c>
      <c r="H24" s="194" t="s">
        <v>220</v>
      </c>
      <c r="I24" s="54"/>
      <c r="M24" s="54" t="s">
        <v>138</v>
      </c>
      <c r="N24" s="54" t="s">
        <v>139</v>
      </c>
      <c r="O24" s="54" t="s">
        <v>140</v>
      </c>
      <c r="P24" s="54" t="s">
        <v>219</v>
      </c>
      <c r="Q24" s="194" t="s">
        <v>220</v>
      </c>
      <c r="R24" s="54"/>
      <c r="S24" s="54"/>
    </row>
    <row r="25" spans="2:19">
      <c r="B25" s="564" t="s">
        <v>145</v>
      </c>
      <c r="C25" s="565"/>
      <c r="D25" s="565"/>
      <c r="E25" s="565"/>
      <c r="F25" s="565"/>
      <c r="G25" s="565"/>
      <c r="H25" s="566"/>
      <c r="I25" s="195"/>
      <c r="K25" s="564" t="s">
        <v>146</v>
      </c>
      <c r="L25" s="565"/>
      <c r="M25" s="565"/>
      <c r="N25" s="565"/>
      <c r="O25" s="565"/>
      <c r="P25" s="565"/>
      <c r="Q25" s="566"/>
      <c r="R25" s="195"/>
      <c r="S25" s="41"/>
    </row>
    <row r="26" spans="2:19" ht="45">
      <c r="B26" s="559" t="s">
        <v>147</v>
      </c>
      <c r="C26" s="560"/>
      <c r="D26" s="55" t="str">
        <f>Summary!D30</f>
        <v>2/1/2025</v>
      </c>
      <c r="E26" s="55" t="str">
        <f>Summary!E30</f>
        <v>6/1/25</v>
      </c>
      <c r="F26" s="55" t="s">
        <v>178</v>
      </c>
      <c r="G26" s="55" t="str">
        <f>Summary!H30</f>
        <v>% Change over 2/1/2025</v>
      </c>
      <c r="H26" s="55" t="str">
        <f>Summary!I30</f>
        <v>% Change over 6/1/25</v>
      </c>
      <c r="I26" s="614"/>
      <c r="J26" s="615"/>
      <c r="K26" s="561" t="s">
        <v>147</v>
      </c>
      <c r="L26" s="562"/>
      <c r="M26" s="217" t="str">
        <f>$D$26</f>
        <v>2/1/2025</v>
      </c>
      <c r="N26" s="217" t="str">
        <f>$E$26</f>
        <v>6/1/25</v>
      </c>
      <c r="O26" s="56" t="s">
        <v>178</v>
      </c>
      <c r="P26" s="248" t="str">
        <f>G26</f>
        <v>% Change over 2/1/2025</v>
      </c>
      <c r="Q26" s="196" t="str">
        <f>$H$26</f>
        <v>% Change over 6/1/25</v>
      </c>
      <c r="R26" s="197"/>
      <c r="S26" s="198"/>
    </row>
    <row r="27" spans="2:19">
      <c r="B27" s="553" t="s">
        <v>149</v>
      </c>
      <c r="C27" s="554"/>
      <c r="D27" s="58">
        <f>IF($H$8="Y",'Hypothetical SAR and RAR'!Z31,'Hypothetical SAR and RAR'!AB31)</f>
        <v>35.887999999999998</v>
      </c>
      <c r="E27" s="58">
        <f>IF($H$8="Y",'Hypothetical SAR and RAR'!AA31,'Hypothetical SAR and RAR'!AC31)</f>
        <v>37.777000000000001</v>
      </c>
      <c r="F27" s="58">
        <f>'Hypothetical SAR and RAR'!H29</f>
        <v>37.777000000000001</v>
      </c>
      <c r="G27" s="519">
        <f t="shared" ref="G27:H29" si="0">$F27/D27-1</f>
        <v>5.2635978600089173E-2</v>
      </c>
      <c r="H27" s="520">
        <f t="shared" si="0"/>
        <v>0</v>
      </c>
      <c r="I27" s="521"/>
      <c r="J27" s="466"/>
      <c r="K27" s="553" t="s">
        <v>150</v>
      </c>
      <c r="L27" s="563"/>
      <c r="M27" s="58">
        <f>Summary!N31</f>
        <v>34.422815973627038</v>
      </c>
      <c r="N27" s="215">
        <f>'Hypothetical SAR and RAR'!Q29</f>
        <v>36.233247053260584</v>
      </c>
      <c r="O27" s="215">
        <f>'Hypothetical SAR and RAR'!R29</f>
        <v>36.233247053260584</v>
      </c>
      <c r="P27" s="59">
        <f>O27/M27-1</f>
        <v>5.259392726674661E-2</v>
      </c>
      <c r="Q27" s="520">
        <f>$O27/N27-1</f>
        <v>0</v>
      </c>
      <c r="R27" s="465"/>
      <c r="S27" s="466"/>
    </row>
    <row r="28" spans="2:19">
      <c r="B28" s="263"/>
      <c r="C28" s="264" t="s">
        <v>431</v>
      </c>
      <c r="D28" s="382">
        <f>IF($H$8="Y",'Hypoth. SAR and RAR (TOU-A)'!W30,'Hypoth. SAR and RAR (TOU-A)'!Y30)</f>
        <v>36.731000000000002</v>
      </c>
      <c r="E28" s="382">
        <f>IF($H$8="Y",'Hypoth. SAR and RAR (TOU-A)'!X30,'Hypoth. SAR and RAR (TOU-A)'!Z30)</f>
        <v>37.375</v>
      </c>
      <c r="F28" s="382">
        <f>'Hypoth. SAR and RAR (TOU-A)'!H29</f>
        <v>37.375</v>
      </c>
      <c r="G28" s="519">
        <f t="shared" si="0"/>
        <v>1.7532874139010612E-2</v>
      </c>
      <c r="H28" s="520">
        <f t="shared" si="0"/>
        <v>0</v>
      </c>
      <c r="I28" s="521"/>
      <c r="J28" s="466"/>
      <c r="K28" s="263"/>
      <c r="L28" s="264" t="s">
        <v>431</v>
      </c>
      <c r="M28" s="382">
        <f>Summary!N32</f>
        <v>35.762671999002876</v>
      </c>
      <c r="N28" s="383">
        <f>'Hypoth. SAR and RAR (TOU-A)'!Q29</f>
        <v>36.161311285846644</v>
      </c>
      <c r="O28" s="383">
        <f>'Hypoth. SAR and RAR (TOU-A)'!R29</f>
        <v>36.161311285846644</v>
      </c>
      <c r="P28" s="59">
        <f>O28/M28-1</f>
        <v>1.1146798171425276E-2</v>
      </c>
      <c r="Q28" s="520">
        <f>$O28/N28-1</f>
        <v>0</v>
      </c>
      <c r="R28" s="465"/>
      <c r="S28" s="466"/>
    </row>
    <row r="29" spans="2:19" ht="15.75" thickBot="1">
      <c r="B29" s="548" t="s">
        <v>151</v>
      </c>
      <c r="C29" s="549"/>
      <c r="D29" s="61">
        <f>IF($H$8="Y",'Hypothetical SAR and RAR'!Z32,'Hypothetical SAR and RAR'!AB32)</f>
        <v>34.025999999999996</v>
      </c>
      <c r="E29" s="61">
        <f>IF($H$8="Y",'Hypothetical SAR and RAR'!AA32,'Hypothetical SAR and RAR'!AC32)</f>
        <v>35.430999999999997</v>
      </c>
      <c r="F29" s="61">
        <f>'Hypothetical SAR and RAR'!H30</f>
        <v>35.430999999999997</v>
      </c>
      <c r="G29" s="273">
        <f t="shared" si="0"/>
        <v>4.1291953212249544E-2</v>
      </c>
      <c r="H29" s="522">
        <f t="shared" si="0"/>
        <v>0</v>
      </c>
      <c r="I29" s="521"/>
      <c r="J29" s="466"/>
      <c r="K29" s="548" t="s">
        <v>152</v>
      </c>
      <c r="L29" s="567"/>
      <c r="M29" s="61">
        <f>Summary!N33</f>
        <v>32.875275336408137</v>
      </c>
      <c r="N29" s="216">
        <f>'Hypothetical SAR and RAR'!Q30</f>
        <v>34.280275336408138</v>
      </c>
      <c r="O29" s="216">
        <f>'Hypothetical SAR and RAR'!R30</f>
        <v>34.280275336408138</v>
      </c>
      <c r="P29" s="62">
        <f>O29/M29-1</f>
        <v>4.2737284650024465E-2</v>
      </c>
      <c r="Q29" s="523">
        <f>$O29/N29-1</f>
        <v>0</v>
      </c>
      <c r="R29" s="465"/>
      <c r="S29" s="466"/>
    </row>
    <row r="30" spans="2:19">
      <c r="E30" s="64"/>
      <c r="F30" s="64"/>
      <c r="G30" s="64"/>
      <c r="N30" s="64"/>
      <c r="O30" s="64"/>
      <c r="P30" s="64"/>
    </row>
    <row r="31" spans="2:19" ht="15.75" thickBot="1">
      <c r="E31" s="64"/>
      <c r="F31" s="64"/>
      <c r="G31" s="64"/>
      <c r="N31" s="64"/>
      <c r="O31" s="64"/>
      <c r="P31" s="64"/>
    </row>
    <row r="32" spans="2:19">
      <c r="B32" s="550" t="s">
        <v>284</v>
      </c>
      <c r="C32" s="551"/>
      <c r="D32" s="551"/>
      <c r="E32" s="551"/>
      <c r="F32" s="551"/>
      <c r="G32" s="551"/>
      <c r="H32" s="552"/>
      <c r="I32" s="524"/>
      <c r="K32" s="550" t="s">
        <v>287</v>
      </c>
      <c r="L32" s="551"/>
      <c r="M32" s="551"/>
      <c r="N32" s="551"/>
      <c r="O32" s="551"/>
      <c r="P32" s="551"/>
      <c r="Q32" s="552"/>
    </row>
    <row r="33" spans="2:19" ht="45">
      <c r="B33" s="65"/>
      <c r="C33" s="66"/>
      <c r="D33" s="55" t="str">
        <f>$D$26</f>
        <v>2/1/2025</v>
      </c>
      <c r="E33" s="55" t="str">
        <f>$E$26</f>
        <v>6/1/25</v>
      </c>
      <c r="F33" s="55" t="str">
        <f>$F$26</f>
        <v>Proposed</v>
      </c>
      <c r="G33" s="248" t="str">
        <f>$G$26</f>
        <v>% Change over 2/1/2025</v>
      </c>
      <c r="H33" s="196" t="str">
        <f>$H$26</f>
        <v>% Change over 6/1/25</v>
      </c>
      <c r="I33" s="197"/>
      <c r="K33" s="65"/>
      <c r="L33" s="66"/>
      <c r="M33" s="55" t="str">
        <f>$D$26</f>
        <v>2/1/2025</v>
      </c>
      <c r="N33" s="55" t="str">
        <f>$E$26</f>
        <v>6/1/25</v>
      </c>
      <c r="O33" s="55" t="str">
        <f>$F$26</f>
        <v>Proposed</v>
      </c>
      <c r="P33" s="248" t="str">
        <f>$G$26</f>
        <v>% Change over 2/1/2025</v>
      </c>
      <c r="Q33" s="525" t="str">
        <f>$H$26</f>
        <v>% Change over 6/1/25</v>
      </c>
    </row>
    <row r="34" spans="2:19">
      <c r="B34" s="546" t="s">
        <v>153</v>
      </c>
      <c r="C34" s="547"/>
      <c r="D34" s="161">
        <f>((D40*5)+(D46*7)+(H6*2))/12</f>
        <v>116.89568534101353</v>
      </c>
      <c r="E34" s="161">
        <f>((E40*5)+(E46*7)+(H6*2))/12</f>
        <v>122.73307170168799</v>
      </c>
      <c r="F34" s="162">
        <f>((F40*5)+(F46*7)+(H7*2))/12</f>
        <v>127.31152548483423</v>
      </c>
      <c r="G34" s="269">
        <f t="shared" ref="G34:H36" si="1">$F34/D34-1</f>
        <v>8.9103717673027161E-2</v>
      </c>
      <c r="H34" s="526">
        <f t="shared" si="1"/>
        <v>3.7304157059431464E-2</v>
      </c>
      <c r="I34" s="521"/>
      <c r="J34" s="466"/>
      <c r="K34" s="546" t="s">
        <v>153</v>
      </c>
      <c r="L34" s="547"/>
      <c r="M34" s="161">
        <f>((M40*5)+(M46*7)+(H6*2))/12</f>
        <v>103.59243731645124</v>
      </c>
      <c r="N34" s="161">
        <f>((N40*5)+(N46*7)+(H6*2))/12</f>
        <v>108.83479289393846</v>
      </c>
      <c r="O34" s="162">
        <f>((O40*5)+(O46*7)+(H7*2))/12</f>
        <v>113.4132466770847</v>
      </c>
      <c r="P34" s="269">
        <f t="shared" ref="P34:Q36" si="2">$O34/M34-1</f>
        <v>9.4802377615975209E-2</v>
      </c>
      <c r="Q34" s="270">
        <f t="shared" si="2"/>
        <v>4.2067923881731861E-2</v>
      </c>
      <c r="R34" s="465"/>
      <c r="S34" s="466"/>
    </row>
    <row r="35" spans="2:19">
      <c r="B35" s="546" t="s">
        <v>154</v>
      </c>
      <c r="C35" s="547"/>
      <c r="D35" s="161">
        <f>((D41*5)+(D47*7)+(H6*2))/12</f>
        <v>65.666347960322213</v>
      </c>
      <c r="E35" s="161">
        <f>((E41*5)+(E47*7)+(H6*2))/12</f>
        <v>69.370839363084727</v>
      </c>
      <c r="F35" s="162">
        <f>((F41*5)+(F47*7)+(H7*2))/12</f>
        <v>73.949293146230957</v>
      </c>
      <c r="G35" s="269">
        <f t="shared" si="1"/>
        <v>0.12613683329722525</v>
      </c>
      <c r="H35" s="527">
        <f t="shared" si="1"/>
        <v>6.5999688416378488E-2</v>
      </c>
      <c r="I35" s="521"/>
      <c r="J35" s="466"/>
      <c r="K35" s="546" t="s">
        <v>154</v>
      </c>
      <c r="L35" s="547"/>
      <c r="M35" s="161">
        <f>((M41*5)+(M47*7)+(H6*2))/12</f>
        <v>61.931634958045557</v>
      </c>
      <c r="N35" s="161">
        <f>((N41*5)+(N47*7)+(H6*2))/12</f>
        <v>65.458104287149723</v>
      </c>
      <c r="O35" s="162">
        <f>((O41*5)+(O47*7)+(H7*2))/12</f>
        <v>70.036558070295953</v>
      </c>
      <c r="P35" s="269">
        <f t="shared" si="2"/>
        <v>0.13086887045273277</v>
      </c>
      <c r="Q35" s="268">
        <f t="shared" si="2"/>
        <v>6.9944796492449557E-2</v>
      </c>
      <c r="R35" s="465"/>
      <c r="S35" s="466"/>
    </row>
    <row r="36" spans="2:19" ht="15.75" thickBot="1">
      <c r="B36" s="548" t="s">
        <v>113</v>
      </c>
      <c r="C36" s="549"/>
      <c r="D36" s="163">
        <f>((D42*5)+(D48*7)+(H6*2))/12</f>
        <v>105.45587259465425</v>
      </c>
      <c r="E36" s="163">
        <f>((E42*5)+(E48*7)+(H6*2))/12</f>
        <v>110.81697094978909</v>
      </c>
      <c r="F36" s="164">
        <f>((F42*5)+(F48*7)+(H7*2))/12</f>
        <v>115.39542473293534</v>
      </c>
      <c r="G36" s="271">
        <f t="shared" si="1"/>
        <v>9.4253187553491768E-2</v>
      </c>
      <c r="H36" s="528">
        <f t="shared" si="1"/>
        <v>4.1315456864641442E-2</v>
      </c>
      <c r="I36" s="521"/>
      <c r="J36" s="466"/>
      <c r="K36" s="548" t="s">
        <v>113</v>
      </c>
      <c r="L36" s="549"/>
      <c r="M36" s="163">
        <f>((M42*5)+(M48*7)+(H6*2))/12</f>
        <v>94.289334793347493</v>
      </c>
      <c r="N36" s="163">
        <f>((N42*5)+(N48*7)+(H6*2))/12</f>
        <v>99.148522866057377</v>
      </c>
      <c r="O36" s="164">
        <f>((O42*5)+(O48*7)+(H7*2))/12</f>
        <v>103.72697664920362</v>
      </c>
      <c r="P36" s="271">
        <f t="shared" si="2"/>
        <v>0.10009235802268046</v>
      </c>
      <c r="Q36" s="272">
        <f t="shared" si="2"/>
        <v>4.6177730648911508E-2</v>
      </c>
      <c r="R36" s="465"/>
      <c r="S36" s="466"/>
    </row>
    <row r="37" spans="2:19" ht="15.75" thickBot="1">
      <c r="D37" s="529"/>
      <c r="E37" s="529"/>
      <c r="F37" s="529"/>
      <c r="G37" s="529"/>
      <c r="I37" s="530"/>
    </row>
    <row r="38" spans="2:19">
      <c r="B38" s="550" t="s">
        <v>285</v>
      </c>
      <c r="C38" s="551"/>
      <c r="D38" s="551"/>
      <c r="E38" s="551"/>
      <c r="F38" s="551"/>
      <c r="G38" s="551"/>
      <c r="H38" s="552"/>
      <c r="I38" s="524"/>
      <c r="K38" s="550" t="s">
        <v>288</v>
      </c>
      <c r="L38" s="551"/>
      <c r="M38" s="551"/>
      <c r="N38" s="551"/>
      <c r="O38" s="551"/>
      <c r="P38" s="551"/>
      <c r="Q38" s="552"/>
    </row>
    <row r="39" spans="2:19" ht="45">
      <c r="B39" s="65"/>
      <c r="C39" s="66"/>
      <c r="D39" s="55" t="str">
        <f>D33</f>
        <v>2/1/2025</v>
      </c>
      <c r="E39" s="55" t="str">
        <f>E26</f>
        <v>6/1/25</v>
      </c>
      <c r="F39" s="55" t="str">
        <f>F26</f>
        <v>Proposed</v>
      </c>
      <c r="G39" s="248" t="str">
        <f>G26</f>
        <v>% Change over 2/1/2025</v>
      </c>
      <c r="H39" s="196" t="str">
        <f>$H$26</f>
        <v>% Change over 6/1/25</v>
      </c>
      <c r="I39" s="197"/>
      <c r="K39" s="65"/>
      <c r="L39" s="66"/>
      <c r="M39" s="55" t="str">
        <f>M33</f>
        <v>2/1/2025</v>
      </c>
      <c r="N39" s="55" t="str">
        <f>N26</f>
        <v>6/1/25</v>
      </c>
      <c r="O39" s="55" t="str">
        <f>O26</f>
        <v>Proposed</v>
      </c>
      <c r="P39" s="248" t="str">
        <f>P26</f>
        <v>% Change over 2/1/2025</v>
      </c>
      <c r="Q39" s="525" t="str">
        <f>$H$26</f>
        <v>% Change over 6/1/25</v>
      </c>
    </row>
    <row r="40" spans="2:19">
      <c r="B40" s="546" t="s">
        <v>153</v>
      </c>
      <c r="C40" s="547"/>
      <c r="D40" s="161">
        <f>IF($D$3="All",'Hypothetical Res Bill Impact'!$C$47,(VLOOKUP($D$3,'Hypothetical Res Bill Impact'!$B$43:$J$46,2,FALSE)))</f>
        <v>139.81320210885468</v>
      </c>
      <c r="E40" s="161">
        <f>IF($D$3="All",'Hypothetical Res Bill Impact'!$E$47,(VLOOKUP($D$3,'Hypothetical Res Bill Impact'!$B$43:$J$46,4,FALSE)))</f>
        <v>146.06916317517758</v>
      </c>
      <c r="F40" s="162">
        <f>IF($D$3="All",'Hypothetical Res Bill Impact'!$G$47,(VLOOKUP($D$3,'Hypothetical Res Bill Impact'!$B$43:$J$46,6,FALSE)))</f>
        <v>146.06916317517758</v>
      </c>
      <c r="G40" s="269">
        <f t="shared" ref="G40:H42" si="3">$F40/D40-1</f>
        <v>4.4745138312848098E-2</v>
      </c>
      <c r="H40" s="527">
        <f t="shared" si="3"/>
        <v>0</v>
      </c>
      <c r="I40" s="521"/>
      <c r="J40" s="466"/>
      <c r="K40" s="546" t="s">
        <v>153</v>
      </c>
      <c r="L40" s="547"/>
      <c r="M40" s="161">
        <f>IF($D$3="All",'Hypothetical Res Bill Impact'!$L$47,(VLOOKUP($D$3,'Hypothetical Res Bill Impact'!$K$43:$Q$46,2,FALSE)))</f>
        <v>125.67282316772021</v>
      </c>
      <c r="N40" s="161">
        <f>IF($D$3="All",'Hypothetical Res Bill Impact'!$N$47,(VLOOKUP($D$3,'Hypothetical Res Bill Impact'!$K$43:$Q$46,4,FALSE)))</f>
        <v>131.29661075776258</v>
      </c>
      <c r="O40" s="162">
        <f>IF($D$3="All",'Hypothetical Res Bill Impact'!$P$47,(VLOOKUP($D$3,'Hypothetical Res Bill Impact'!$K$43:$Q$46,6,FALSE)))</f>
        <v>131.29661075776258</v>
      </c>
      <c r="P40" s="269">
        <f t="shared" ref="P40:Q42" si="4">$O40/M40-1</f>
        <v>4.4749433077802214E-2</v>
      </c>
      <c r="Q40" s="270">
        <f t="shared" si="4"/>
        <v>0</v>
      </c>
      <c r="R40" s="465"/>
      <c r="S40" s="466"/>
    </row>
    <row r="41" spans="2:19">
      <c r="B41" s="546" t="s">
        <v>154</v>
      </c>
      <c r="C41" s="547"/>
      <c r="D41" s="161">
        <f>IF($D$3="All",'Hypothetical Res Bill Impact'!$C$57,(VLOOKUP($D$3,'Hypothetical Res Bill Impact'!$B$53:$J$56,2,FALSE)))</f>
        <v>84.932298823679986</v>
      </c>
      <c r="E41" s="161">
        <f>IF($D$3="All",'Hypothetical Res Bill Impact'!$E$57,(VLOOKUP($D$3,'Hypothetical Res Bill Impact'!$B$53:$J$56,4,FALSE)))</f>
        <v>88.90344679188</v>
      </c>
      <c r="F41" s="162">
        <f>IF($D$3="All",'Hypothetical Res Bill Impact'!$G$57,(VLOOKUP($D$3,'Hypothetical Res Bill Impact'!$B$53:$J$56,6,FALSE)))</f>
        <v>88.90344679188</v>
      </c>
      <c r="G41" s="269">
        <f t="shared" si="3"/>
        <v>4.6756628787878896E-2</v>
      </c>
      <c r="H41" s="527">
        <f t="shared" si="3"/>
        <v>0</v>
      </c>
      <c r="I41" s="521"/>
      <c r="J41" s="466"/>
      <c r="K41" s="546" t="s">
        <v>154</v>
      </c>
      <c r="L41" s="547"/>
      <c r="M41" s="161">
        <f>IF($D$3="All",'Hypothetical Res Bill Impact'!$L$57,(VLOOKUP($D$3,'Hypothetical Res Bill Impact'!$K$53:$Q$56,2,FALSE)))</f>
        <v>80.703366340519992</v>
      </c>
      <c r="N41" s="161">
        <f>IF($D$3="All",'Hypothetical Res Bill Impact'!$N$57,(VLOOKUP($D$3,'Hypothetical Res Bill Impact'!$K$53:$Q$56,4,FALSE)))</f>
        <v>84.468624920400003</v>
      </c>
      <c r="O41" s="162">
        <f>IF($D$3="All",'Hypothetical Res Bill Impact'!$P$57,(VLOOKUP($D$3,'Hypothetical Res Bill Impact'!$K$53:$Q$56,6,FALSE)))</f>
        <v>84.468624920400003</v>
      </c>
      <c r="P41" s="269">
        <f t="shared" si="4"/>
        <v>4.6655533103698188E-2</v>
      </c>
      <c r="Q41" s="268">
        <f t="shared" si="4"/>
        <v>0</v>
      </c>
      <c r="R41" s="465"/>
      <c r="S41" s="466"/>
    </row>
    <row r="42" spans="2:19" ht="15.75" thickBot="1">
      <c r="B42" s="548" t="s">
        <v>113</v>
      </c>
      <c r="C42" s="549"/>
      <c r="D42" s="163">
        <f>D40*(1-'Hypothetical SAR and RAR'!$AA$17)+D41*'Hypothetical SAR and RAR'!$AA$17</f>
        <v>127.55797319054969</v>
      </c>
      <c r="E42" s="163">
        <f>E40*(1-'Hypothetical SAR and RAR'!$AA$17)+E41*'Hypothetical SAR and RAR'!$AA$17</f>
        <v>133.30372203591958</v>
      </c>
      <c r="F42" s="163">
        <f>F40*(1-'Hypothetical SAR and RAR'!$AA$17)+F41*'Hypothetical SAR and RAR'!$AA$17</f>
        <v>133.30372203591958</v>
      </c>
      <c r="G42" s="273">
        <f t="shared" si="3"/>
        <v>4.5044215595890114E-2</v>
      </c>
      <c r="H42" s="528">
        <f t="shared" si="3"/>
        <v>0</v>
      </c>
      <c r="I42" s="521"/>
      <c r="J42" s="466"/>
      <c r="K42" s="548" t="s">
        <v>113</v>
      </c>
      <c r="L42" s="549"/>
      <c r="M42" s="163">
        <f>M40*(1-'Hypothetical SAR and RAR'!$AA$17)+M41*'Hypothetical SAR and RAR'!$AA$17</f>
        <v>115.63087861579723</v>
      </c>
      <c r="N42" s="163">
        <f>N40*(1-'Hypothetical SAR and RAR'!$AA$17)+N41*'Hypothetical SAR and RAR'!$AA$17</f>
        <v>120.83964573227894</v>
      </c>
      <c r="O42" s="163">
        <f>O40*(1-'Hypothetical SAR and RAR'!$AA$17)+O41*'Hypothetical SAR and RAR'!$AA$17</f>
        <v>120.83964573227894</v>
      </c>
      <c r="P42" s="273">
        <f t="shared" si="4"/>
        <v>4.5046506424885946E-2</v>
      </c>
      <c r="Q42" s="272">
        <f t="shared" si="4"/>
        <v>0</v>
      </c>
      <c r="R42" s="465"/>
      <c r="S42" s="466"/>
    </row>
    <row r="43" spans="2:19" ht="15.75" thickBot="1">
      <c r="I43" s="530"/>
    </row>
    <row r="44" spans="2:19">
      <c r="B44" s="550" t="s">
        <v>286</v>
      </c>
      <c r="C44" s="551"/>
      <c r="D44" s="551"/>
      <c r="E44" s="551"/>
      <c r="F44" s="551"/>
      <c r="G44" s="551"/>
      <c r="H44" s="552"/>
      <c r="I44" s="524"/>
      <c r="K44" s="550" t="s">
        <v>293</v>
      </c>
      <c r="L44" s="551"/>
      <c r="M44" s="551"/>
      <c r="N44" s="551"/>
      <c r="O44" s="551"/>
      <c r="P44" s="551"/>
      <c r="Q44" s="552"/>
    </row>
    <row r="45" spans="2:19" ht="45">
      <c r="B45" s="65"/>
      <c r="C45" s="66"/>
      <c r="D45" s="55" t="str">
        <f>$D$26</f>
        <v>2/1/2025</v>
      </c>
      <c r="E45" s="55" t="str">
        <f>$E$26</f>
        <v>6/1/25</v>
      </c>
      <c r="F45" s="55" t="str">
        <f>F39</f>
        <v>Proposed</v>
      </c>
      <c r="G45" s="248" t="str">
        <f>G26</f>
        <v>% Change over 2/1/2025</v>
      </c>
      <c r="H45" s="196" t="str">
        <f>$H$26</f>
        <v>% Change over 6/1/25</v>
      </c>
      <c r="I45" s="197"/>
      <c r="K45" s="65"/>
      <c r="L45" s="66"/>
      <c r="M45" s="55" t="str">
        <f>$D$26</f>
        <v>2/1/2025</v>
      </c>
      <c r="N45" s="55" t="str">
        <f>$E$26</f>
        <v>6/1/25</v>
      </c>
      <c r="O45" s="55" t="str">
        <f>O39</f>
        <v>Proposed</v>
      </c>
      <c r="P45" s="248" t="str">
        <f>P26</f>
        <v>% Change over 2/1/2025</v>
      </c>
      <c r="Q45" s="525" t="str">
        <f>$H$26</f>
        <v>% Change over 6/1/25</v>
      </c>
    </row>
    <row r="46" spans="2:19">
      <c r="B46" s="546" t="s">
        <v>153</v>
      </c>
      <c r="C46" s="547"/>
      <c r="D46" s="161">
        <f>IF($D$3="All",'Hypothetical Res Bill Impact'!$D$47,(VLOOKUP($D$3,'Hypothetical Res Bill Impact'!$B$43:$J$46,3,FALSE)))</f>
        <v>123.77667467122605</v>
      </c>
      <c r="E46" s="161">
        <f>IF($D$3="All",'Hypothetical Res Bill Impact'!$F$47,(VLOOKUP($D$3,'Hypothetical Res Bill Impact'!$B$43:$J$46,5,FALSE)))</f>
        <v>129.31507909929448</v>
      </c>
      <c r="F46" s="162">
        <f>IF($D$3="All",'Hypothetical Res Bill Impact'!$H$47,(VLOOKUP($D$3,'Hypothetical Res Bill Impact'!$B$43:$J$46,7,FALSE)))</f>
        <v>129.31507909929448</v>
      </c>
      <c r="G46" s="269">
        <f t="shared" ref="G46:H48" si="5">$F46/D46-1</f>
        <v>4.474513831284832E-2</v>
      </c>
      <c r="H46" s="527">
        <f t="shared" si="5"/>
        <v>0</v>
      </c>
      <c r="I46" s="521"/>
      <c r="J46" s="466"/>
      <c r="K46" s="546" t="s">
        <v>153</v>
      </c>
      <c r="L46" s="547"/>
      <c r="M46" s="161">
        <f>IF($D$3="All",'Hypothetical Res Bill Impact'!$M$47,(VLOOKUP($D$3,'Hypothetical Res Bill Impact'!$K$43:$Q$46,3,FALSE)))</f>
        <v>111.07137730135815</v>
      </c>
      <c r="N46" s="161">
        <f>IF($D$3="All",'Hypothetical Res Bill Impact'!$O$47,(VLOOKUP($D$3,'Hypothetical Res Bill Impact'!$K$43:$Q$46,5,FALSE)))</f>
        <v>116.04128144130598</v>
      </c>
      <c r="O46" s="162">
        <f>IF($D$3="All",'Hypothetical Res Bill Impact'!$Q$47,(VLOOKUP($D$3,'Hypothetical Res Bill Impact'!$K$43:$Q$46,7,FALSE)))</f>
        <v>116.04128144130598</v>
      </c>
      <c r="P46" s="269">
        <f t="shared" ref="P46:Q48" si="6">$O46/M46-1</f>
        <v>4.474513831284832E-2</v>
      </c>
      <c r="Q46" s="270">
        <f t="shared" si="6"/>
        <v>0</v>
      </c>
      <c r="R46" s="465"/>
      <c r="S46" s="466"/>
    </row>
    <row r="47" spans="2:19">
      <c r="B47" s="546" t="s">
        <v>154</v>
      </c>
      <c r="C47" s="547"/>
      <c r="D47" s="161">
        <f>IF($D$3="All",'Hypothetical Res Bill Impact'!$D$57,(VLOOKUP($D$3,'Hypothetical Res Bill Impact'!$B$53:$J$56,3,FALSE)))</f>
        <v>75.15559865087998</v>
      </c>
      <c r="E47" s="161">
        <f>IF($D$3="All",'Hypothetical Res Bill Impact'!$F$57,(VLOOKUP($D$3,'Hypothetical Res Bill Impact'!$B$53:$J$56,5,FALSE)))</f>
        <v>78.669621078329982</v>
      </c>
      <c r="F47" s="162">
        <f>IF($D$3="All",'Hypothetical Res Bill Impact'!$H$57,(VLOOKUP($D$3,'Hypothetical Res Bill Impact'!$B$53:$J$56,7,FALSE)))</f>
        <v>78.669621078329982</v>
      </c>
      <c r="G47" s="269">
        <f t="shared" si="5"/>
        <v>4.6756628787878896E-2</v>
      </c>
      <c r="H47" s="527">
        <f t="shared" si="5"/>
        <v>0</v>
      </c>
      <c r="I47" s="521"/>
      <c r="J47" s="466"/>
      <c r="K47" s="546" t="s">
        <v>154</v>
      </c>
      <c r="L47" s="547"/>
      <c r="M47" s="161">
        <f>IF($D$3="All",'Hypothetical Res Bill Impact'!$M$57,(VLOOKUP($D$3,'Hypothetical Res Bill Impact'!$K$53:$Q$56,3,FALSE)))</f>
        <v>71.77389956351999</v>
      </c>
      <c r="N47" s="161">
        <f>IF($D$3="All",'Hypothetical Res Bill Impact'!$O$57,(VLOOKUP($D$3,'Hypothetical Res Bill Impact'!$K$53:$Q$56,5,FALSE)))</f>
        <v>75.129805142069998</v>
      </c>
      <c r="O47" s="162">
        <f>IF($D$3="All",'Hypothetical Res Bill Impact'!$Q$57,(VLOOKUP($D$3,'Hypothetical Res Bill Impact'!$K$53:$Q$56,7,FALSE)))</f>
        <v>75.129805142069998</v>
      </c>
      <c r="P47" s="269">
        <f t="shared" si="6"/>
        <v>4.6756628787878896E-2</v>
      </c>
      <c r="Q47" s="268">
        <f t="shared" si="6"/>
        <v>0</v>
      </c>
      <c r="R47" s="465"/>
      <c r="S47" s="466"/>
    </row>
    <row r="48" spans="2:19" ht="15.75" thickBot="1">
      <c r="B48" s="548" t="s">
        <v>113</v>
      </c>
      <c r="C48" s="549"/>
      <c r="D48" s="163">
        <f>D46*(1-'Hypothetical SAR and RAR'!$AA$17)+D47*'Hypothetical SAR and RAR'!$AA$17</f>
        <v>112.91930204768516</v>
      </c>
      <c r="E48" s="163">
        <f>E46*(1-'Hypothetical SAR and RAR'!$AA$17)+E47*'Hypothetical SAR and RAR'!$AA$17</f>
        <v>118.0056500526521</v>
      </c>
      <c r="F48" s="163">
        <f>F46*(1-'Hypothetical SAR and RAR'!$AA$17)+F47*'Hypothetical SAR and RAR'!$AA$17</f>
        <v>118.0056500526521</v>
      </c>
      <c r="G48" s="273">
        <f t="shared" si="5"/>
        <v>4.5044097091735402E-2</v>
      </c>
      <c r="H48" s="528">
        <f t="shared" si="5"/>
        <v>0</v>
      </c>
      <c r="I48" s="521"/>
      <c r="J48" s="466"/>
      <c r="K48" s="548" t="s">
        <v>113</v>
      </c>
      <c r="L48" s="549"/>
      <c r="M48" s="163">
        <f>M46*(1-'Hypothetical SAR and RAR'!$AA$17)+M47*'Hypothetical SAR and RAR'!$AA$17</f>
        <v>102.29601908455385</v>
      </c>
      <c r="N48" s="163">
        <f>N46*(1-'Hypothetical SAR and RAR'!$AA$17)+N47*'Hypothetical SAR and RAR'!$AA$17</f>
        <v>106.90550784028389</v>
      </c>
      <c r="O48" s="163">
        <f>O46*(1-'Hypothetical SAR and RAR'!$AA$17)+O47*'Hypothetical SAR and RAR'!$AA$17</f>
        <v>106.90550784028389</v>
      </c>
      <c r="P48" s="273">
        <f t="shared" si="6"/>
        <v>4.5060294593868955E-2</v>
      </c>
      <c r="Q48" s="272">
        <f t="shared" si="6"/>
        <v>0</v>
      </c>
      <c r="R48" s="465"/>
      <c r="S48" s="466"/>
    </row>
    <row r="49" spans="2:19" ht="15.75" thickBot="1"/>
    <row r="50" spans="2:19">
      <c r="B50" s="568" t="s">
        <v>304</v>
      </c>
      <c r="C50" s="569"/>
      <c r="D50" s="569"/>
      <c r="E50" s="569"/>
      <c r="F50" s="569"/>
      <c r="G50" s="569"/>
      <c r="H50" s="570"/>
      <c r="K50" s="568" t="s">
        <v>303</v>
      </c>
      <c r="L50" s="569"/>
      <c r="M50" s="569"/>
      <c r="N50" s="569"/>
      <c r="O50" s="569"/>
      <c r="P50" s="569"/>
      <c r="Q50" s="570"/>
    </row>
    <row r="51" spans="2:19" ht="45">
      <c r="B51" s="65"/>
      <c r="C51" s="247"/>
      <c r="D51" s="55" t="str">
        <f>D45</f>
        <v>2/1/2025</v>
      </c>
      <c r="E51" s="180" t="str">
        <f>E45</f>
        <v>6/1/25</v>
      </c>
      <c r="F51" s="248" t="str">
        <f>F45</f>
        <v>Proposed</v>
      </c>
      <c r="G51" s="56" t="str">
        <f>$G$26</f>
        <v>% Change over 2/1/2025</v>
      </c>
      <c r="H51" s="57" t="s">
        <v>148</v>
      </c>
      <c r="K51" s="65"/>
      <c r="L51" s="247"/>
      <c r="M51" s="55" t="str">
        <f>M45</f>
        <v>2/1/2025</v>
      </c>
      <c r="N51" s="180" t="str">
        <f>N45</f>
        <v>6/1/25</v>
      </c>
      <c r="O51" s="248" t="str">
        <f>O45</f>
        <v>Proposed</v>
      </c>
      <c r="P51" s="56" t="str">
        <f>$G$26</f>
        <v>% Change over 2/1/2025</v>
      </c>
      <c r="Q51" s="57" t="s">
        <v>148</v>
      </c>
    </row>
    <row r="52" spans="2:19">
      <c r="B52" s="546" t="s">
        <v>291</v>
      </c>
      <c r="C52" s="555"/>
      <c r="D52" s="161">
        <f>((D58*5)+(D64*7)+(H6*2))/12</f>
        <v>97.947189064987711</v>
      </c>
      <c r="E52" s="161">
        <f>((E58*5)+(E64*7)+(H6*2))/12</f>
        <v>102.93672233897088</v>
      </c>
      <c r="F52" s="161">
        <f>((F58*5)+(F64*7)+(H7*2))/12</f>
        <v>107.51517612211713</v>
      </c>
      <c r="G52" s="67">
        <f t="shared" ref="G52:H54" si="7">$F52/D52-1</f>
        <v>9.7685162264136816E-2</v>
      </c>
      <c r="H52" s="69">
        <f t="shared" si="7"/>
        <v>4.447833269908652E-2</v>
      </c>
      <c r="I52" s="521"/>
      <c r="J52" s="466"/>
      <c r="K52" s="546" t="s">
        <v>291</v>
      </c>
      <c r="L52" s="555"/>
      <c r="M52" s="161">
        <f>((M58*5)+(M64*7)+(H6*2))/12</f>
        <v>79.973750828006729</v>
      </c>
      <c r="N52" s="161">
        <f>((N58*5)+(N64*7)+(H6*2))/12</f>
        <v>84.159060122118788</v>
      </c>
      <c r="O52" s="161">
        <f>((O58*5)+(O64*7)+(H7*2))/12</f>
        <v>88.737513905265018</v>
      </c>
      <c r="P52" s="269">
        <f t="shared" ref="P52:Q54" si="8">$O52/M52-1</f>
        <v>0.10958299425152429</v>
      </c>
      <c r="Q52" s="270">
        <f t="shared" si="8"/>
        <v>5.4402387294994359E-2</v>
      </c>
      <c r="R52" s="465"/>
      <c r="S52" s="466"/>
    </row>
    <row r="53" spans="2:19">
      <c r="B53" s="546" t="s">
        <v>292</v>
      </c>
      <c r="C53" s="555"/>
      <c r="D53" s="161">
        <f>((D59*5)+(D65*7)+(H6*2))/12</f>
        <v>55.752964237442221</v>
      </c>
      <c r="E53" s="161">
        <f>((E59*5)+(E65*7)+(H6*2))/12</f>
        <v>58.99393923744222</v>
      </c>
      <c r="F53" s="161">
        <f>((F59*5)+(F65*7)+(H7*2))/12</f>
        <v>63.572393020588457</v>
      </c>
      <c r="G53" s="67">
        <f t="shared" si="7"/>
        <v>0.14025135506418351</v>
      </c>
      <c r="H53" s="69">
        <f t="shared" si="7"/>
        <v>7.7608883934985551E-2</v>
      </c>
      <c r="I53" s="521"/>
      <c r="J53" s="466"/>
      <c r="K53" s="546" t="s">
        <v>292</v>
      </c>
      <c r="L53" s="555"/>
      <c r="M53" s="161">
        <f>((M59*5)+(M65*7)+(H6*2))/12</f>
        <v>44.580484237442221</v>
      </c>
      <c r="N53" s="161">
        <f>((N59*5)+(N65*7)+(H6*2))/12</f>
        <v>47.299071737442233</v>
      </c>
      <c r="O53" s="161">
        <f>((O59*5)+(O65*7)+(H7*2))/12</f>
        <v>51.87752552058847</v>
      </c>
      <c r="P53" s="67">
        <f t="shared" si="8"/>
        <v>0.1636824141317339</v>
      </c>
      <c r="Q53" s="69">
        <f t="shared" si="8"/>
        <v>9.6797962728767617E-2</v>
      </c>
      <c r="R53" s="465"/>
      <c r="S53" s="466"/>
    </row>
    <row r="54" spans="2:19" ht="15.75" thickBot="1">
      <c r="B54" s="548" t="s">
        <v>113</v>
      </c>
      <c r="C54" s="567"/>
      <c r="D54" s="163">
        <f>((D60*5)+(D66*7)+(H6*2))/12</f>
        <v>88.524970162995146</v>
      </c>
      <c r="E54" s="163">
        <f>((E60*5)+(E66*7)+(H6*2))/12</f>
        <v>93.124040076466429</v>
      </c>
      <c r="F54" s="164">
        <f>((F60*5)+(F66*7)+(H7*2))/12</f>
        <v>97.702493859612673</v>
      </c>
      <c r="G54" s="70">
        <f t="shared" si="7"/>
        <v>0.10367158192450754</v>
      </c>
      <c r="H54" s="71">
        <f t="shared" si="7"/>
        <v>4.9165111172010612E-2</v>
      </c>
      <c r="I54" s="521"/>
      <c r="J54" s="466"/>
      <c r="K54" s="548" t="s">
        <v>113</v>
      </c>
      <c r="L54" s="567"/>
      <c r="M54" s="163">
        <f>((M60*5)+(M66*7)+(H6*2))/12</f>
        <v>72.070225953788139</v>
      </c>
      <c r="N54" s="163">
        <f>((N60*5)+(N66*7)+(H6*2))/12</f>
        <v>75.928007633186766</v>
      </c>
      <c r="O54" s="163">
        <f>((O60*5)+(O66*7)+(H7*2))/12</f>
        <v>80.506461416333011</v>
      </c>
      <c r="P54" s="70">
        <f t="shared" si="8"/>
        <v>0.11705576541350426</v>
      </c>
      <c r="Q54" s="71">
        <f t="shared" si="8"/>
        <v>6.0299933132251571E-2</v>
      </c>
      <c r="R54" s="465"/>
      <c r="S54" s="466"/>
    </row>
    <row r="55" spans="2:19" ht="15.75" thickBot="1">
      <c r="B55"/>
      <c r="C55"/>
      <c r="D55"/>
      <c r="E55"/>
      <c r="F55"/>
      <c r="G55"/>
      <c r="H55"/>
      <c r="K55"/>
      <c r="L55"/>
      <c r="M55"/>
      <c r="N55"/>
      <c r="O55"/>
      <c r="P55"/>
      <c r="Q55"/>
    </row>
    <row r="56" spans="2:19">
      <c r="B56" s="568" t="s">
        <v>295</v>
      </c>
      <c r="C56" s="569"/>
      <c r="D56" s="569"/>
      <c r="E56" s="569"/>
      <c r="F56" s="569"/>
      <c r="G56" s="569"/>
      <c r="H56" s="570"/>
      <c r="K56" s="568" t="s">
        <v>301</v>
      </c>
      <c r="L56" s="569"/>
      <c r="M56" s="569"/>
      <c r="N56" s="569"/>
      <c r="O56" s="569"/>
      <c r="P56" s="569"/>
      <c r="Q56" s="570"/>
    </row>
    <row r="57" spans="2:19" ht="45">
      <c r="B57" s="65"/>
      <c r="C57" s="247"/>
      <c r="D57" s="55" t="str">
        <f>D51</f>
        <v>2/1/2025</v>
      </c>
      <c r="E57" s="180" t="str">
        <f>E51</f>
        <v>6/1/25</v>
      </c>
      <c r="F57" s="248" t="str">
        <f>F51</f>
        <v>Proposed</v>
      </c>
      <c r="G57" s="56" t="str">
        <f>$G$26</f>
        <v>% Change over 2/1/2025</v>
      </c>
      <c r="H57" s="57" t="s">
        <v>148</v>
      </c>
      <c r="K57" s="65"/>
      <c r="L57" s="247"/>
      <c r="M57" s="55" t="str">
        <f>M51</f>
        <v>2/1/2025</v>
      </c>
      <c r="N57" s="180" t="str">
        <f>N51</f>
        <v>6/1/25</v>
      </c>
      <c r="O57" s="248" t="str">
        <f>O51</f>
        <v>Proposed</v>
      </c>
      <c r="P57" s="56" t="str">
        <f>$G$26</f>
        <v>% Change over 2/1/2025</v>
      </c>
      <c r="Q57" s="57" t="s">
        <v>148</v>
      </c>
    </row>
    <row r="58" spans="2:19">
      <c r="B58" s="546" t="s">
        <v>291</v>
      </c>
      <c r="C58" s="555"/>
      <c r="D58" s="161">
        <f>IF($D$3="All",'Hypothetical Res Bill Impact'!C67,(VLOOKUP($D$3,'Hypothetical Res Bill Impact'!$B$63:$J$66,2,FALSE)))</f>
        <v>110.08306216978896</v>
      </c>
      <c r="E58" s="161">
        <f>IF($D$3="All",'Hypothetical Res Bill Impact'!E67,(VLOOKUP($D$3,'Hypothetical Res Bill Impact'!$B$63:$J$66,4,FALSE)))</f>
        <v>115.00874401247803</v>
      </c>
      <c r="F58" s="161">
        <f>IF($D$3="All",'Hypothetical Res Bill Impact'!G67,(VLOOKUP($D$3,'Hypothetical Res Bill Impact'!$B$63:$J$66,6,FALSE)))</f>
        <v>115.00874401247803</v>
      </c>
      <c r="G58" s="67">
        <f t="shared" ref="G58:H60" si="9">$F58/D58-1</f>
        <v>4.4745138312848098E-2</v>
      </c>
      <c r="H58" s="69">
        <f t="shared" si="9"/>
        <v>0</v>
      </c>
      <c r="I58" s="521"/>
      <c r="J58" s="466"/>
      <c r="K58" s="546" t="s">
        <v>291</v>
      </c>
      <c r="L58" s="555"/>
      <c r="M58" s="161">
        <f>IF($D$3="All",'Hypothetical Res Bill Impact'!L67,(VLOOKUP($D$3,'Hypothetical Res Bill Impact'!$K$63:$Q$66,2,FALSE)))</f>
        <v>73.796423158265938</v>
      </c>
      <c r="N58" s="161">
        <f>IF($D$3="All",'Hypothetical Res Bill Impact'!N67,(VLOOKUP($D$3,'Hypothetical Res Bill Impact'!$K$63:$Q$66,4,FALSE)))</f>
        <v>77.098454319476019</v>
      </c>
      <c r="O58" s="161">
        <f>IF($D$3="All",'Hypothetical Res Bill Impact'!P67,(VLOOKUP($D$3,'Hypothetical Res Bill Impact'!$K$63:$Q$66,6,FALSE)))</f>
        <v>77.098454319476019</v>
      </c>
      <c r="P58" s="269">
        <f t="shared" ref="P58:Q60" si="10">$O58/M58-1</f>
        <v>4.4745138312848098E-2</v>
      </c>
      <c r="Q58" s="270">
        <f t="shared" si="10"/>
        <v>0</v>
      </c>
      <c r="R58" s="465"/>
      <c r="S58" s="466"/>
    </row>
    <row r="59" spans="2:19">
      <c r="B59" s="546" t="s">
        <v>292</v>
      </c>
      <c r="C59" s="555"/>
      <c r="D59" s="161">
        <f>IF($D$3="All",'Hypothetical Res Bill Impact'!C77,(VLOOKUP($D$3,'Hypothetical Res Bill Impact'!$B$73:$J$76,2,FALSE)))</f>
        <v>68.428799999999981</v>
      </c>
      <c r="E59" s="161">
        <f>IF($D$3="All",'Hypothetical Res Bill Impact'!E77,(VLOOKUP($D$3,'Hypothetical Res Bill Impact'!$B$73:$J$76,4,FALSE)))</f>
        <v>71.628299999999996</v>
      </c>
      <c r="F59" s="161">
        <f>IF($D$3="All",'Hypothetical Res Bill Impact'!G77,(VLOOKUP($D$3,'Hypothetical Res Bill Impact'!$B$73:$J$76,6,FALSE)))</f>
        <v>71.628299999999996</v>
      </c>
      <c r="G59" s="67">
        <f t="shared" si="9"/>
        <v>4.6756628787879118E-2</v>
      </c>
      <c r="H59" s="69">
        <f t="shared" si="9"/>
        <v>0</v>
      </c>
      <c r="I59" s="521"/>
      <c r="J59" s="466"/>
      <c r="K59" s="546" t="s">
        <v>292</v>
      </c>
      <c r="L59" s="555"/>
      <c r="M59" s="161">
        <f>IF($D$3="All",'Hypothetical Res Bill Impact'!L77,(VLOOKUP($D$3,'Hypothetical Res Bill Impact'!$K$73:$Q$76,2,FALSE)))</f>
        <v>45.87263999999999</v>
      </c>
      <c r="N59" s="161">
        <f>IF($D$3="All",'Hypothetical Res Bill Impact'!N77,(VLOOKUP($D$3,'Hypothetical Res Bill Impact'!$K$73:$Q$76,4,FALSE)))</f>
        <v>48.017489999999995</v>
      </c>
      <c r="O59" s="161">
        <f>IF($D$3="All",'Hypothetical Res Bill Impact'!P77,(VLOOKUP($D$3,'Hypothetical Res Bill Impact'!$K$73:$Q$76,6,FALSE)))</f>
        <v>48.017489999999995</v>
      </c>
      <c r="P59" s="67">
        <f t="shared" si="10"/>
        <v>4.6756628787878896E-2</v>
      </c>
      <c r="Q59" s="69">
        <f t="shared" si="10"/>
        <v>0</v>
      </c>
      <c r="R59" s="465"/>
      <c r="S59" s="466"/>
    </row>
    <row r="60" spans="2:19" ht="15.75" thickBot="1">
      <c r="B60" s="548" t="s">
        <v>113</v>
      </c>
      <c r="C60" s="567"/>
      <c r="D60" s="163">
        <f>D58*(1-'Hypothetical SAR and RAR'!$AA$17)+D59*'Hypothetical SAR and RAR'!$AA$17</f>
        <v>100.781420109321</v>
      </c>
      <c r="E60" s="163">
        <f>E58*(1-'Hypothetical SAR and RAR'!$AA$17)+E59*'Hypothetical SAR and RAR'!$AA$17</f>
        <v>105.32163538038952</v>
      </c>
      <c r="F60" s="163">
        <f>F58*(1-'Hypothetical SAR and RAR'!$AA$17)+F59*'Hypothetical SAR and RAR'!$AA$17</f>
        <v>105.32163538038952</v>
      </c>
      <c r="G60" s="70">
        <f t="shared" si="9"/>
        <v>4.5050121998118309E-2</v>
      </c>
      <c r="H60" s="71">
        <f t="shared" si="9"/>
        <v>0</v>
      </c>
      <c r="I60" s="521"/>
      <c r="J60" s="466"/>
      <c r="K60" s="548" t="s">
        <v>113</v>
      </c>
      <c r="L60" s="567"/>
      <c r="M60" s="163">
        <f>M58*(1-'Hypothetical SAR and RAR'!$AA$17)+M59*'Hypothetical SAR and RAR'!$AA$17</f>
        <v>67.560877925137419</v>
      </c>
      <c r="N60" s="163">
        <f>N58*(1-'Hypothetical SAR and RAR'!$AA$17)+N59*'Hypothetical SAR and RAR'!$AA$17</f>
        <v>70.604503717964832</v>
      </c>
      <c r="O60" s="163">
        <f>O58*(1-'Hypothetical SAR and RAR'!$AA$17)+O59*'Hypothetical SAR and RAR'!$AA$17</f>
        <v>70.604503717964832</v>
      </c>
      <c r="P60" s="70">
        <f t="shared" si="10"/>
        <v>4.5050121998118309E-2</v>
      </c>
      <c r="Q60" s="71">
        <f t="shared" si="10"/>
        <v>0</v>
      </c>
      <c r="R60" s="465"/>
      <c r="S60" s="466"/>
    </row>
    <row r="61" spans="2:19" ht="15.75" thickBot="1">
      <c r="I61" s="521"/>
      <c r="J61" s="466"/>
    </row>
    <row r="62" spans="2:19">
      <c r="B62" s="568" t="s">
        <v>294</v>
      </c>
      <c r="C62" s="569"/>
      <c r="D62" s="569"/>
      <c r="E62" s="569"/>
      <c r="F62" s="569"/>
      <c r="G62" s="569"/>
      <c r="H62" s="570"/>
      <c r="K62" s="568" t="s">
        <v>302</v>
      </c>
      <c r="L62" s="569"/>
      <c r="M62" s="569"/>
      <c r="N62" s="569"/>
      <c r="O62" s="569"/>
      <c r="P62" s="569"/>
      <c r="Q62" s="570"/>
    </row>
    <row r="63" spans="2:19" ht="45">
      <c r="B63" s="65"/>
      <c r="C63" s="247"/>
      <c r="D63" s="55" t="str">
        <f>D57</f>
        <v>2/1/2025</v>
      </c>
      <c r="E63" s="180" t="str">
        <f>E57</f>
        <v>6/1/25</v>
      </c>
      <c r="F63" s="248" t="str">
        <f>F57</f>
        <v>Proposed</v>
      </c>
      <c r="G63" s="56" t="str">
        <f>$G$26</f>
        <v>% Change over 2/1/2025</v>
      </c>
      <c r="H63" s="57" t="s">
        <v>148</v>
      </c>
      <c r="K63" s="65"/>
      <c r="L63" s="247"/>
      <c r="M63" s="55" t="str">
        <f>M57</f>
        <v>2/1/2025</v>
      </c>
      <c r="N63" s="180" t="str">
        <f>N57</f>
        <v>6/1/25</v>
      </c>
      <c r="O63" s="248" t="str">
        <f>O57</f>
        <v>Proposed</v>
      </c>
      <c r="P63" s="56" t="str">
        <f>$G$26</f>
        <v>% Change over 2/1/2025</v>
      </c>
      <c r="Q63" s="57" t="s">
        <v>148</v>
      </c>
    </row>
    <row r="64" spans="2:19">
      <c r="B64" s="546" t="s">
        <v>291</v>
      </c>
      <c r="C64" s="555"/>
      <c r="D64" s="161">
        <f>IF($D$3="All",'Hypothetical Res Bill Impact'!D67,(VLOOKUP($D$3,'Hypothetical Res Bill Impact'!$B$63:$J$66,3,FALSE)))</f>
        <v>112.52935244022871</v>
      </c>
      <c r="E64" s="161">
        <f>IF($D$3="All",'Hypothetical Res Bill Impact'!F67,(VLOOKUP($D$3,'Hypothetical Res Bill Impact'!$B$63:$J$66,5,FALSE)))</f>
        <v>117.56449387942199</v>
      </c>
      <c r="F64" s="161">
        <f>IF($D$3="All",'Hypothetical Res Bill Impact'!H67,(VLOOKUP($D$3,'Hypothetical Res Bill Impact'!$B$63:$J$66,7,FALSE)))</f>
        <v>117.56449387942199</v>
      </c>
      <c r="G64" s="67">
        <f t="shared" ref="G64:H66" si="11">$F64/D64-1</f>
        <v>4.474513831284832E-2</v>
      </c>
      <c r="H64" s="69">
        <f t="shared" si="11"/>
        <v>0</v>
      </c>
      <c r="I64" s="521"/>
      <c r="J64" s="466"/>
      <c r="K64" s="546" t="s">
        <v>291</v>
      </c>
      <c r="L64" s="555"/>
      <c r="M64" s="161">
        <f>IF($D$3="All",'Hypothetical Res Bill Impact'!M67,(VLOOKUP($D$3,'Hypothetical Res Bill Impact'!$K$63:$Q$66,3,FALSE)))</f>
        <v>107.6367718993492</v>
      </c>
      <c r="N64" s="161">
        <f>IF($D$3="All",'Hypothetical Res Bill Impact'!O67,(VLOOKUP($D$3,'Hypothetical Res Bill Impact'!$K$63:$Q$66,5,FALSE)))</f>
        <v>112.45299414553408</v>
      </c>
      <c r="O64" s="161">
        <f>IF($D$3="All",'Hypothetical Res Bill Impact'!Q67,(VLOOKUP($D$3,'Hypothetical Res Bill Impact'!$K$63:$Q$66,7,FALSE)))</f>
        <v>112.45299414553408</v>
      </c>
      <c r="P64" s="269">
        <f t="shared" ref="P64:Q66" si="12">$O64/M64-1</f>
        <v>4.474513831284832E-2</v>
      </c>
      <c r="Q64" s="270">
        <f t="shared" si="12"/>
        <v>0</v>
      </c>
      <c r="R64" s="465"/>
      <c r="S64" s="466"/>
    </row>
    <row r="65" spans="2:19">
      <c r="B65" s="546" t="s">
        <v>292</v>
      </c>
      <c r="C65" s="555"/>
      <c r="D65" s="161">
        <f>IF($D$3="All",'Hypothetical Res Bill Impact'!D77,(VLOOKUP($D$3,'Hypothetical Res Bill Impact'!$B$73:$J$76,3,FALSE)))</f>
        <v>69.949439999999996</v>
      </c>
      <c r="E65" s="161">
        <f>IF($D$3="All",'Hypothetical Res Bill Impact'!F77,(VLOOKUP($D$3,'Hypothetical Res Bill Impact'!$B$73:$J$76,5,FALSE)))</f>
        <v>73.220039999999997</v>
      </c>
      <c r="F65" s="161">
        <f>IF($D$3="All",'Hypothetical Res Bill Impact'!H77,(VLOOKUP($D$3,'Hypothetical Res Bill Impact'!$B$73:$J$76,7,FALSE)))</f>
        <v>73.220039999999997</v>
      </c>
      <c r="G65" s="67">
        <f t="shared" si="11"/>
        <v>4.6756628787878896E-2</v>
      </c>
      <c r="H65" s="69">
        <f t="shared" si="11"/>
        <v>0</v>
      </c>
      <c r="I65" s="521"/>
      <c r="J65" s="466"/>
      <c r="K65" s="546" t="s">
        <v>292</v>
      </c>
      <c r="L65" s="555"/>
      <c r="M65" s="161">
        <f>IF($D$3="All",'Hypothetical Res Bill Impact'!M77,(VLOOKUP($D$3,'Hypothetical Res Bill Impact'!$K$73:$Q$76,3,FALSE)))</f>
        <v>66.908159999999995</v>
      </c>
      <c r="N65" s="161">
        <f>IF($D$3="All",'Hypothetical Res Bill Impact'!O77,(VLOOKUP($D$3,'Hypothetical Res Bill Impact'!$K$73:$Q$76,5,FALSE)))</f>
        <v>70.036560000000009</v>
      </c>
      <c r="O65" s="161">
        <f>IF($D$3="All",'Hypothetical Res Bill Impact'!Q77,(VLOOKUP($D$3,'Hypothetical Res Bill Impact'!$K$73:$Q$76,7,FALSE)))</f>
        <v>70.036560000000009</v>
      </c>
      <c r="P65" s="67">
        <f t="shared" si="12"/>
        <v>4.6756628787878896E-2</v>
      </c>
      <c r="Q65" s="69">
        <f t="shared" si="12"/>
        <v>0</v>
      </c>
      <c r="R65" s="465"/>
      <c r="S65" s="466"/>
    </row>
    <row r="66" spans="2:19" ht="15.75" thickBot="1">
      <c r="B66" s="548" t="s">
        <v>113</v>
      </c>
      <c r="C66" s="567"/>
      <c r="D66" s="163">
        <f>D64*(1-'Hypothetical SAR and RAR'!$AA$17)+D65*'Hypothetical SAR and RAR'!$AA$17</f>
        <v>103.02100722286146</v>
      </c>
      <c r="E66" s="163">
        <f>E64*(1-'Hypothetical SAR and RAR'!$AA$17)+E65*'Hypothetical SAR and RAR'!$AA$17</f>
        <v>107.66211616662039</v>
      </c>
      <c r="F66" s="163">
        <f>F64*(1-'Hypothetical SAR and RAR'!$AA$17)+F65*'Hypothetical SAR and RAR'!$AA$17</f>
        <v>107.66211616662039</v>
      </c>
      <c r="G66" s="70">
        <f t="shared" si="11"/>
        <v>4.5050121998118309E-2</v>
      </c>
      <c r="H66" s="71">
        <f t="shared" si="11"/>
        <v>0</v>
      </c>
      <c r="I66" s="521"/>
      <c r="J66" s="466"/>
      <c r="K66" s="548" t="s">
        <v>113</v>
      </c>
      <c r="L66" s="567"/>
      <c r="M66" s="163">
        <f>M64*(1-'Hypothetical SAR and RAR'!$AA$17)+M65*'Hypothetical SAR and RAR'!$AA$17</f>
        <v>98.541832995780538</v>
      </c>
      <c r="N66" s="163">
        <f>N64*(1-'Hypothetical SAR and RAR'!$AA$17)+N65*'Hypothetical SAR and RAR'!$AA$17</f>
        <v>102.98115459415864</v>
      </c>
      <c r="O66" s="163">
        <f>O64*(1-'Hypothetical SAR and RAR'!$AA$17)+O65*'Hypothetical SAR and RAR'!$AA$17</f>
        <v>102.98115459415864</v>
      </c>
      <c r="P66" s="70">
        <f t="shared" si="12"/>
        <v>4.5050121998118087E-2</v>
      </c>
      <c r="Q66" s="71">
        <f t="shared" si="12"/>
        <v>0</v>
      </c>
      <c r="R66" s="465"/>
      <c r="S66" s="466"/>
    </row>
    <row r="67" spans="2:19" ht="15.75" thickBot="1"/>
    <row r="68" spans="2:19">
      <c r="B68" s="568" t="s">
        <v>305</v>
      </c>
      <c r="C68" s="569"/>
      <c r="D68" s="569"/>
      <c r="E68" s="569"/>
      <c r="F68" s="569"/>
      <c r="G68" s="569"/>
      <c r="H68" s="570"/>
      <c r="K68" s="568" t="s">
        <v>300</v>
      </c>
      <c r="L68" s="569"/>
      <c r="M68" s="569"/>
      <c r="N68" s="569"/>
      <c r="O68" s="569"/>
      <c r="P68" s="569"/>
      <c r="Q68" s="570"/>
    </row>
    <row r="69" spans="2:19" ht="45">
      <c r="B69" s="65"/>
      <c r="C69" s="247"/>
      <c r="D69" s="55" t="str">
        <f>D63</f>
        <v>2/1/2025</v>
      </c>
      <c r="E69" s="180" t="str">
        <f>E63</f>
        <v>6/1/25</v>
      </c>
      <c r="F69" s="248" t="str">
        <f>F63</f>
        <v>Proposed</v>
      </c>
      <c r="G69" s="56" t="str">
        <f>$G$26</f>
        <v>% Change over 2/1/2025</v>
      </c>
      <c r="H69" s="57" t="s">
        <v>148</v>
      </c>
      <c r="K69" s="65"/>
      <c r="L69" s="247"/>
      <c r="M69" s="55" t="str">
        <f>M63</f>
        <v>2/1/2025</v>
      </c>
      <c r="N69" s="180" t="str">
        <f>N63</f>
        <v>6/1/25</v>
      </c>
      <c r="O69" s="248" t="str">
        <f>O63</f>
        <v>Proposed</v>
      </c>
      <c r="P69" s="56" t="str">
        <f>$G$26</f>
        <v>% Change over 2/1/2025</v>
      </c>
      <c r="Q69" s="57" t="s">
        <v>148</v>
      </c>
    </row>
    <row r="70" spans="2:19">
      <c r="B70" s="553" t="str">
        <f>$H$9&amp;" kWh Monthly Usage - Non-CARE"</f>
        <v>400 kWh Monthly Usage - Non-CARE</v>
      </c>
      <c r="C70" s="554"/>
      <c r="D70" s="161">
        <f>((D76*5)+(D82*7)+(H6*2))/12</f>
        <v>154.19771896604604</v>
      </c>
      <c r="E70" s="161">
        <f>((E76*5)+(E82*7)+(H6*2))/12</f>
        <v>161.70460120077044</v>
      </c>
      <c r="F70" s="161">
        <f>((F76*5)+(F82*7)+(H7*2))/12</f>
        <v>166.28305498391668</v>
      </c>
      <c r="G70" s="68">
        <f t="shared" ref="G70:H72" si="13">$F70/D70-1</f>
        <v>7.8375582329669902E-2</v>
      </c>
      <c r="H70" s="69">
        <f t="shared" si="13"/>
        <v>2.8313688968328643E-2</v>
      </c>
      <c r="I70" s="521"/>
      <c r="J70" s="466"/>
      <c r="K70" s="553" t="str">
        <f>B70</f>
        <v>400 kWh Monthly Usage - Non-CARE</v>
      </c>
      <c r="L70" s="554"/>
      <c r="M70" s="161">
        <f>((M76*5)+(M82*7)+(H6*2))/12</f>
        <v>160.27818339444175</v>
      </c>
      <c r="N70" s="161">
        <f>((N76*5)+(N82*7)+(H6*2))/12</f>
        <v>168.05767174640056</v>
      </c>
      <c r="O70" s="161">
        <f>((O76*5)+(O82*7)+(H7*2))/12</f>
        <v>172.6361255295468</v>
      </c>
      <c r="P70" s="269">
        <f t="shared" ref="P70:Q72" si="14">$O70/M70-1</f>
        <v>7.7103083360337221E-2</v>
      </c>
      <c r="Q70" s="270">
        <f t="shared" si="14"/>
        <v>2.724334887880131E-2</v>
      </c>
      <c r="R70" s="465"/>
      <c r="S70" s="466"/>
    </row>
    <row r="71" spans="2:19">
      <c r="B71" s="263"/>
      <c r="C71" s="264" t="str">
        <f>$H$9&amp;" kWh Monthly Usage - CARE"</f>
        <v>400 kWh Monthly Usage - CARE</v>
      </c>
      <c r="D71" s="161">
        <f>((D77*5)+(D83*7)+(H6*2))/12</f>
        <v>90.85128757077554</v>
      </c>
      <c r="E71" s="161">
        <f>((E77*5)+(E83*7)+(H6*2))/12</f>
        <v>95.72783423744221</v>
      </c>
      <c r="F71" s="161">
        <f>((F77*5)+(F83*7)+(H7*2))/12</f>
        <v>100.30628802058845</v>
      </c>
      <c r="G71" s="67">
        <f t="shared" si="13"/>
        <v>0.10407117722406767</v>
      </c>
      <c r="H71" s="69">
        <f t="shared" si="13"/>
        <v>4.7827821653103619E-2</v>
      </c>
      <c r="I71" s="521"/>
      <c r="J71" s="466"/>
      <c r="K71" s="263"/>
      <c r="L71" s="264" t="str">
        <f>C71</f>
        <v>400 kWh Monthly Usage - CARE</v>
      </c>
      <c r="M71" s="161">
        <f>((M77*5)+(M83*7)+(H6*2))/12</f>
        <v>94.80318423744221</v>
      </c>
      <c r="N71" s="161">
        <f>((N77*5)+(N83*7)+(H6*2))/12</f>
        <v>99.857344237442234</v>
      </c>
      <c r="O71" s="161">
        <f>((O77*5)+(O83*7)+(H7*2))/12</f>
        <v>104.43579802058848</v>
      </c>
      <c r="P71" s="67">
        <f t="shared" si="14"/>
        <v>0.10160643717431062</v>
      </c>
      <c r="Q71" s="69">
        <f t="shared" si="14"/>
        <v>4.5849945420734617E-2</v>
      </c>
      <c r="R71" s="465"/>
      <c r="S71" s="466"/>
    </row>
    <row r="72" spans="2:19" ht="15.75" thickBot="1">
      <c r="B72" s="548" t="s">
        <v>113</v>
      </c>
      <c r="C72" s="549"/>
      <c r="D72" s="163">
        <f>((D78*5)+(D84*7)+(H6*2))/12</f>
        <v>140.05208776400906</v>
      </c>
      <c r="E72" s="163">
        <f>((E78*5)+(E84*7)+(H6*2))/12</f>
        <v>146.97160057532935</v>
      </c>
      <c r="F72" s="163">
        <f>((F78*5)+(F84*7)+(H7*2))/12</f>
        <v>151.55005435847559</v>
      </c>
      <c r="G72" s="70">
        <f t="shared" si="13"/>
        <v>8.2097787887609908E-2</v>
      </c>
      <c r="H72" s="71">
        <f t="shared" si="13"/>
        <v>3.1151962455492122E-2</v>
      </c>
      <c r="I72" s="521"/>
      <c r="J72" s="466"/>
      <c r="K72" s="548" t="s">
        <v>113</v>
      </c>
      <c r="L72" s="549"/>
      <c r="M72" s="163">
        <f>((M78*5)+(M84*7)+(H6*2))/12</f>
        <v>145.65723047525731</v>
      </c>
      <c r="N72" s="163">
        <f>((N78*5)+(N84*7)+(H6*2))/12</f>
        <v>152.82813695571795</v>
      </c>
      <c r="O72" s="163">
        <f>((O78*5)+(O84*7)+(H7*2))/12</f>
        <v>157.4065907388642</v>
      </c>
      <c r="P72" s="70">
        <f t="shared" si="14"/>
        <v>8.0664449167888952E-2</v>
      </c>
      <c r="Q72" s="71">
        <f t="shared" si="14"/>
        <v>2.9958186197564185E-2</v>
      </c>
      <c r="R72" s="465"/>
      <c r="S72" s="466"/>
    </row>
    <row r="73" spans="2:19" ht="15.75" thickBot="1"/>
    <row r="74" spans="2:19">
      <c r="B74" s="550" t="s">
        <v>296</v>
      </c>
      <c r="C74" s="551"/>
      <c r="D74" s="551"/>
      <c r="E74" s="551"/>
      <c r="F74" s="551"/>
      <c r="G74" s="551"/>
      <c r="H74" s="552"/>
      <c r="K74" s="550" t="s">
        <v>299</v>
      </c>
      <c r="L74" s="551"/>
      <c r="M74" s="551"/>
      <c r="N74" s="551"/>
      <c r="O74" s="551"/>
      <c r="P74" s="551"/>
      <c r="Q74" s="552"/>
    </row>
    <row r="75" spans="2:19" ht="45">
      <c r="B75" s="65"/>
      <c r="C75" s="247"/>
      <c r="D75" s="55" t="str">
        <f>D69</f>
        <v>2/1/2025</v>
      </c>
      <c r="E75" s="180" t="str">
        <f>E69</f>
        <v>6/1/25</v>
      </c>
      <c r="F75" s="248" t="str">
        <f>F69</f>
        <v>Proposed</v>
      </c>
      <c r="G75" s="56" t="str">
        <f>$G$26</f>
        <v>% Change over 2/1/2025</v>
      </c>
      <c r="H75" s="57" t="s">
        <v>148</v>
      </c>
      <c r="K75" s="65"/>
      <c r="L75" s="247"/>
      <c r="M75" s="55" t="str">
        <f>M69</f>
        <v>2/1/2025</v>
      </c>
      <c r="N75" s="180" t="str">
        <f>N69</f>
        <v>6/1/25</v>
      </c>
      <c r="O75" s="248" t="str">
        <f>O69</f>
        <v>Proposed</v>
      </c>
      <c r="P75" s="56" t="str">
        <f>$G$26</f>
        <v>% Change over 2/1/2025</v>
      </c>
      <c r="Q75" s="57" t="s">
        <v>148</v>
      </c>
    </row>
    <row r="76" spans="2:19">
      <c r="B76" s="553" t="str">
        <f>$B$70</f>
        <v>400 kWh Monthly Usage - Non-CARE</v>
      </c>
      <c r="C76" s="554"/>
      <c r="D76" s="161">
        <f>IF($D$3="All",'Hypothetical Res Bill Impact'!C87,(VLOOKUP($D$3,'Hypothetical Res Bill Impact'!$B$83:$J$86,2,FALSE)))</f>
        <v>168.25265543379194</v>
      </c>
      <c r="E76" s="161">
        <f>IF($D$3="All",'Hypothetical Res Bill Impact'!E87,(VLOOKUP($D$3,'Hypothetical Res Bill Impact'!$B$83:$J$86,4,FALSE)))</f>
        <v>175.78159827915951</v>
      </c>
      <c r="F76" s="161">
        <f>IF($D$3="All",'Hypothetical Res Bill Impact'!G87,(VLOOKUP($D$3,'Hypothetical Res Bill Impact'!$B$83:$J$86,6,FALSE)))</f>
        <v>175.78159827915951</v>
      </c>
      <c r="G76" s="68">
        <f t="shared" ref="G76:H78" si="15">$F76/D76-1</f>
        <v>4.4747839646015253E-2</v>
      </c>
      <c r="H76" s="69">
        <f t="shared" si="15"/>
        <v>0</v>
      </c>
      <c r="I76" s="521"/>
      <c r="J76" s="466"/>
      <c r="K76" s="553" t="str">
        <f>B76</f>
        <v>400 kWh Monthly Usage - Non-CARE</v>
      </c>
      <c r="L76" s="554"/>
      <c r="M76" s="161">
        <f>IF($D$3="All",'Hypothetical Res Bill Impact'!L87,(VLOOKUP($D$3,'Hypothetical Res Bill Impact'!$K$83:$Q$86,2,FALSE)))</f>
        <v>180.48387867703875</v>
      </c>
      <c r="N76" s="161">
        <f>IF($D$3="All",'Hypothetical Res Bill Impact'!N87,(VLOOKUP($D$3,'Hypothetical Res Bill Impact'!$K$83:$Q$86,4,FALSE)))</f>
        <v>188.56118527268148</v>
      </c>
      <c r="O76" s="161">
        <f>IF($D$3="All",'Hypothetical Res Bill Impact'!P87,(VLOOKUP($D$3,'Hypothetical Res Bill Impact'!$K$83:$Q$86,6,FALSE)))</f>
        <v>188.56118527268148</v>
      </c>
      <c r="P76" s="269">
        <f t="shared" ref="P76:Q78" si="16">$O76/M76-1</f>
        <v>4.4753618189336652E-2</v>
      </c>
      <c r="Q76" s="270">
        <f t="shared" si="16"/>
        <v>0</v>
      </c>
      <c r="R76" s="465"/>
      <c r="S76" s="466"/>
    </row>
    <row r="77" spans="2:19">
      <c r="B77" s="263"/>
      <c r="C77" s="264" t="str">
        <f>$C$71</f>
        <v>400 kWh Monthly Usage - CARE</v>
      </c>
      <c r="D77" s="161">
        <f>IF($D$3="All",'Hypothetical Res Bill Impact'!C97,(VLOOKUP($D$3,'Hypothetical Res Bill Impact'!$B$93:$J$96,2,FALSE)))</f>
        <v>104.73396999999999</v>
      </c>
      <c r="E77" s="161">
        <f>IF($D$3="All",'Hypothetical Res Bill Impact'!E97,(VLOOKUP($D$3,'Hypothetical Res Bill Impact'!$B$93:$J$96,4,FALSE)))</f>
        <v>109.62488999999999</v>
      </c>
      <c r="F77" s="161">
        <f>IF($D$3="All",'Hypothetical Res Bill Impact'!G97,(VLOOKUP($D$3,'Hypothetical Res Bill Impact'!$B$93:$J$96,6,FALSE)))</f>
        <v>109.62488999999999</v>
      </c>
      <c r="G77" s="67">
        <f t="shared" si="15"/>
        <v>4.6698506702266718E-2</v>
      </c>
      <c r="H77" s="69">
        <f t="shared" si="15"/>
        <v>0</v>
      </c>
      <c r="I77" s="521"/>
      <c r="J77" s="466"/>
      <c r="K77" s="263"/>
      <c r="L77" s="264" t="str">
        <f>C77</f>
        <v>400 kWh Monthly Usage - CARE</v>
      </c>
      <c r="M77" s="161">
        <f>IF($D$3="All",'Hypothetical Res Bill Impact'!L97,(VLOOKUP($D$3,'Hypothetical Res Bill Impact'!$K$93:$Q$96,2,FALSE)))</f>
        <v>112.68344999999999</v>
      </c>
      <c r="N77" s="161">
        <f>IF($D$3="All",'Hypothetical Res Bill Impact'!N97,(VLOOKUP($D$3,'Hypothetical Res Bill Impact'!$K$93:$Q$96,4,FALSE)))</f>
        <v>117.93164999999999</v>
      </c>
      <c r="O77" s="161">
        <f>IF($D$3="All",'Hypothetical Res Bill Impact'!P97,(VLOOKUP($D$3,'Hypothetical Res Bill Impact'!$K$93:$Q$96,6,FALSE)))</f>
        <v>117.93164999999999</v>
      </c>
      <c r="P77" s="67">
        <f t="shared" si="16"/>
        <v>4.6574718825169059E-2</v>
      </c>
      <c r="Q77" s="69">
        <f t="shared" si="16"/>
        <v>0</v>
      </c>
      <c r="R77" s="465"/>
      <c r="S77" s="466"/>
    </row>
    <row r="78" spans="2:19" ht="15.75" thickBot="1">
      <c r="B78" s="548" t="s">
        <v>113</v>
      </c>
      <c r="C78" s="549"/>
      <c r="D78" s="163">
        <f>D76*(1-'Hypothetical SAR and RAR'!$AA$17)+D77*'Hypothetical SAR and RAR'!$AA$17</f>
        <v>154.0685588904829</v>
      </c>
      <c r="E78" s="163">
        <f>E76*(1-'Hypothetical SAR and RAR'!$AA$17)+E77*'Hypothetical SAR and RAR'!$AA$17</f>
        <v>161.00841569814978</v>
      </c>
      <c r="F78" s="163">
        <f>F76*(1-'Hypothetical SAR and RAR'!$AA$17)+F77*'Hypothetical SAR and RAR'!$AA$17</f>
        <v>161.00841569814978</v>
      </c>
      <c r="G78" s="70">
        <f t="shared" si="15"/>
        <v>4.5043952235575446E-2</v>
      </c>
      <c r="H78" s="71">
        <f t="shared" si="15"/>
        <v>0</v>
      </c>
      <c r="I78" s="521"/>
      <c r="J78" s="466"/>
      <c r="K78" s="548" t="s">
        <v>113</v>
      </c>
      <c r="L78" s="549"/>
      <c r="M78" s="163">
        <f>M76*(1-'Hypothetical SAR and RAR'!$AA$17)+M77*'Hypothetical SAR and RAR'!$AA$17</f>
        <v>165.34364365068163</v>
      </c>
      <c r="N78" s="163">
        <f>N76*(1-'Hypothetical SAR and RAR'!$AA$17)+N77*'Hypothetical SAR and RAR'!$AA$17</f>
        <v>172.78919408182162</v>
      </c>
      <c r="O78" s="163">
        <f>O76*(1-'Hypothetical SAR and RAR'!$AA$17)+O77*'Hypothetical SAR and RAR'!$AA$17</f>
        <v>172.78919408182162</v>
      </c>
      <c r="P78" s="70">
        <f t="shared" si="16"/>
        <v>4.5030763002114949E-2</v>
      </c>
      <c r="Q78" s="71">
        <f t="shared" si="16"/>
        <v>0</v>
      </c>
      <c r="R78" s="465"/>
      <c r="S78" s="466"/>
    </row>
    <row r="79" spans="2:19" ht="15.75" thickBot="1"/>
    <row r="80" spans="2:19">
      <c r="B80" s="550" t="s">
        <v>297</v>
      </c>
      <c r="C80" s="551"/>
      <c r="D80" s="551"/>
      <c r="E80" s="551"/>
      <c r="F80" s="551"/>
      <c r="G80" s="551"/>
      <c r="H80" s="552"/>
      <c r="K80" s="550" t="s">
        <v>298</v>
      </c>
      <c r="L80" s="551"/>
      <c r="M80" s="551"/>
      <c r="N80" s="551"/>
      <c r="O80" s="551"/>
      <c r="P80" s="551"/>
      <c r="Q80" s="552"/>
    </row>
    <row r="81" spans="2:19" ht="45">
      <c r="B81" s="65"/>
      <c r="C81" s="247"/>
      <c r="D81" s="55" t="str">
        <f>D75</f>
        <v>2/1/2025</v>
      </c>
      <c r="E81" s="180" t="str">
        <f>E75</f>
        <v>6/1/25</v>
      </c>
      <c r="F81" s="248" t="str">
        <f>F75</f>
        <v>Proposed</v>
      </c>
      <c r="G81" s="56" t="str">
        <f>$G$26</f>
        <v>% Change over 2/1/2025</v>
      </c>
      <c r="H81" s="57" t="s">
        <v>148</v>
      </c>
      <c r="K81" s="65"/>
      <c r="L81" s="247"/>
      <c r="M81" s="55" t="str">
        <f>M75</f>
        <v>2/1/2025</v>
      </c>
      <c r="N81" s="180" t="str">
        <f>N75</f>
        <v>6/1/25</v>
      </c>
      <c r="O81" s="248" t="str">
        <f>O75</f>
        <v>Proposed</v>
      </c>
      <c r="P81" s="56" t="str">
        <f>$G$26</f>
        <v>% Change over 2/1/2025</v>
      </c>
      <c r="Q81" s="57" t="s">
        <v>148</v>
      </c>
    </row>
    <row r="82" spans="2:19">
      <c r="B82" s="553" t="str">
        <f>$B$70</f>
        <v>400 kWh Monthly Usage - Non-CARE</v>
      </c>
      <c r="C82" s="554"/>
      <c r="D82" s="161">
        <f>IF($D$3="All",'Hypothetical Res Bill Impact'!D87,(VLOOKUP($D$3,'Hypothetical Res Bill Impact'!$B$83:$J$86,3,FALSE)))</f>
        <v>167.40912279632661</v>
      </c>
      <c r="E82" s="161">
        <f>IF($D$3="All",'Hypothetical Res Bill Impact'!F87,(VLOOKUP($D$3,'Hypothetical Res Bill Impact'!$B$83:$J$86,5,FALSE)))</f>
        <v>174.9002474520201</v>
      </c>
      <c r="F82" s="161">
        <f>IF($D$3="All",'Hypothetical Res Bill Impact'!H87,(VLOOKUP($D$3,'Hypothetical Res Bill Impact'!$B$83:$J$86,7,FALSE)))</f>
        <v>174.9002474520201</v>
      </c>
      <c r="G82" s="68">
        <f t="shared" ref="G82:H84" si="17">$F82/D82-1</f>
        <v>4.4747410001110488E-2</v>
      </c>
      <c r="H82" s="69">
        <f t="shared" si="17"/>
        <v>0</v>
      </c>
      <c r="I82" s="521"/>
      <c r="J82" s="466"/>
      <c r="K82" s="553" t="str">
        <f>B82</f>
        <v>400 kWh Monthly Usage - Non-CARE</v>
      </c>
      <c r="L82" s="554"/>
      <c r="M82" s="161">
        <f>IF($D$3="All",'Hypothetical Res Bill Impact'!M87,(VLOOKUP($D$3,'Hypothetical Res Bill Impact'!$K$83:$Q$86,3,FALSE)))</f>
        <v>169.09618807125722</v>
      </c>
      <c r="N82" s="161">
        <f>IF($D$3="All",'Hypothetical Res Bill Impact'!O87,(VLOOKUP($D$3,'Hypothetical Res Bill Impact'!$K$83:$Q$86,5,FALSE)))</f>
        <v>176.66294910629895</v>
      </c>
      <c r="O82" s="161">
        <f>IF($D$3="All",'Hypothetical Res Bill Impact'!Q87,(VLOOKUP($D$3,'Hypothetical Res Bill Impact'!$K$83:$Q$86,7,FALSE)))</f>
        <v>176.66294910629895</v>
      </c>
      <c r="P82" s="269">
        <f t="shared" ref="P82:Q84" si="18">$O82/M82-1</f>
        <v>4.4748265004372012E-2</v>
      </c>
      <c r="Q82" s="270">
        <f t="shared" si="18"/>
        <v>0</v>
      </c>
      <c r="R82" s="465"/>
      <c r="S82" s="466"/>
    </row>
    <row r="83" spans="2:19">
      <c r="B83" s="263"/>
      <c r="C83" s="264" t="str">
        <f>$C$71</f>
        <v>400 kWh Monthly Usage - CARE</v>
      </c>
      <c r="D83" s="161">
        <f>IF($D$3="All",'Hypothetical Res Bill Impact'!D97,(VLOOKUP($D$3,'Hypothetical Res Bill Impact'!$B$93:$J$96,3,FALSE)))</f>
        <v>104.18572999999998</v>
      </c>
      <c r="E83" s="161">
        <f>IF($D$3="All",'Hypothetical Res Bill Impact'!F97,(VLOOKUP($D$3,'Hypothetical Res Bill Impact'!$B$93:$J$96,5,FALSE)))</f>
        <v>109.05201</v>
      </c>
      <c r="F83" s="161">
        <f>IF($D$3="All",'Hypothetical Res Bill Impact'!H97,(VLOOKUP($D$3,'Hypothetical Res Bill Impact'!$B$93:$J$96,7,FALSE)))</f>
        <v>109.05201</v>
      </c>
      <c r="G83" s="67">
        <f t="shared" si="17"/>
        <v>4.6707740109898088E-2</v>
      </c>
      <c r="H83" s="69">
        <f t="shared" si="17"/>
        <v>0</v>
      </c>
      <c r="I83" s="521"/>
      <c r="J83" s="466"/>
      <c r="K83" s="263"/>
      <c r="L83" s="264" t="str">
        <f>C83</f>
        <v>400 kWh Monthly Usage - CARE</v>
      </c>
      <c r="M83" s="161">
        <f>IF($D$3="All",'Hypothetical Res Bill Impact'!M97,(VLOOKUP($D$3,'Hypothetical Res Bill Impact'!$K$93:$Q$96,3,FALSE)))</f>
        <v>105.28220999999999</v>
      </c>
      <c r="N83" s="161">
        <f>IF($D$3="All",'Hypothetical Res Bill Impact'!O97,(VLOOKUP($D$3,'Hypothetical Res Bill Impact'!$K$93:$Q$96,5,FALSE)))</f>
        <v>110.19777000000001</v>
      </c>
      <c r="O83" s="161">
        <f>IF($D$3="All",'Hypothetical Res Bill Impact'!Q97,(VLOOKUP($D$3,'Hypothetical Res Bill Impact'!$K$93:$Q$96,7,FALSE)))</f>
        <v>110.19777000000001</v>
      </c>
      <c r="P83" s="67">
        <f t="shared" si="18"/>
        <v>4.6689369457575181E-2</v>
      </c>
      <c r="Q83" s="69">
        <f t="shared" si="18"/>
        <v>0</v>
      </c>
      <c r="R83" s="465"/>
      <c r="S83" s="466"/>
    </row>
    <row r="84" spans="2:19" ht="15.75" thickBot="1">
      <c r="B84" s="548" t="s">
        <v>113</v>
      </c>
      <c r="C84" s="549"/>
      <c r="D84" s="163">
        <f>D82*(1-'Hypothetical SAR and RAR'!$AA$17)+D83*'Hypothetical SAR and RAR'!$AA$17</f>
        <v>153.29096683805537</v>
      </c>
      <c r="E84" s="163">
        <f>E82*(1-'Hypothetical SAR and RAR'!$AA$17)+E83*'Hypothetical SAR and RAR'!$AA$17</f>
        <v>160.19594822341384</v>
      </c>
      <c r="F84" s="163">
        <f>F82*(1-'Hypothetical SAR and RAR'!$AA$17)+F83*'Hypothetical SAR and RAR'!$AA$17</f>
        <v>160.19594822341384</v>
      </c>
      <c r="G84" s="70">
        <f t="shared" si="17"/>
        <v>4.5044933356400918E-2</v>
      </c>
      <c r="H84" s="71">
        <f t="shared" si="17"/>
        <v>0</v>
      </c>
      <c r="I84" s="521"/>
      <c r="J84" s="466"/>
      <c r="K84" s="548" t="s">
        <v>113</v>
      </c>
      <c r="L84" s="549"/>
      <c r="M84" s="163">
        <f>M82*(1-'Hypothetical SAR and RAR'!$AA$17)+M83*'Hypothetical SAR and RAR'!$AA$17</f>
        <v>154.84615094291038</v>
      </c>
      <c r="N84" s="163">
        <f>N82*(1-'Hypothetical SAR and RAR'!$AA$17)+N83*'Hypothetical SAR and RAR'!$AA$17</f>
        <v>161.82088317288577</v>
      </c>
      <c r="O84" s="163">
        <f>O82*(1-'Hypothetical SAR and RAR'!$AA$17)+O83*'Hypothetical SAR and RAR'!$AA$17</f>
        <v>161.82088317288577</v>
      </c>
      <c r="P84" s="70">
        <f t="shared" si="18"/>
        <v>4.5042980968554192E-2</v>
      </c>
      <c r="Q84" s="71">
        <f t="shared" si="18"/>
        <v>0</v>
      </c>
      <c r="R84" s="465"/>
      <c r="S84" s="466"/>
    </row>
    <row r="86" spans="2:19" ht="15.75" thickBot="1"/>
    <row r="87" spans="2:19">
      <c r="B87" s="550" t="s">
        <v>428</v>
      </c>
      <c r="C87" s="551"/>
      <c r="D87" s="551"/>
      <c r="E87" s="551"/>
      <c r="F87" s="551"/>
      <c r="G87" s="551"/>
      <c r="H87" s="552"/>
    </row>
    <row r="88" spans="2:19" ht="30">
      <c r="B88" s="65"/>
      <c r="C88" s="66"/>
      <c r="D88" s="55" t="str">
        <f>$D$26</f>
        <v>2/1/2025</v>
      </c>
      <c r="E88" s="55" t="str">
        <f>$E$26</f>
        <v>6/1/25</v>
      </c>
      <c r="F88" s="55" t="str">
        <f>$F$26</f>
        <v>Proposed</v>
      </c>
      <c r="G88" s="248" t="str">
        <f>$G$26</f>
        <v>% Change over 2/1/2025</v>
      </c>
      <c r="H88" s="525" t="str">
        <f>$H$26</f>
        <v>% Change over 6/1/25</v>
      </c>
    </row>
    <row r="89" spans="2:19">
      <c r="B89" s="531"/>
      <c r="C89" s="43" t="s">
        <v>417</v>
      </c>
      <c r="D89" s="161">
        <f t="shared" ref="D89:F91" si="19">((D95*5)+(D101*7))/12</f>
        <v>381.09391603172497</v>
      </c>
      <c r="E89" s="161">
        <f t="shared" si="19"/>
        <v>387.32362038753587</v>
      </c>
      <c r="F89" s="162">
        <f t="shared" si="19"/>
        <v>387.32362038753587</v>
      </c>
      <c r="G89" s="269">
        <f t="shared" ref="G89:H91" si="20">$F89/D89-1</f>
        <v>1.6346900576844403E-2</v>
      </c>
      <c r="H89" s="270">
        <f t="shared" si="20"/>
        <v>0</v>
      </c>
      <c r="I89" s="521"/>
      <c r="J89" s="466"/>
    </row>
    <row r="90" spans="2:19">
      <c r="B90" s="378"/>
      <c r="C90" s="43" t="s">
        <v>418</v>
      </c>
      <c r="D90" s="161">
        <f t="shared" si="19"/>
        <v>426.00716941499257</v>
      </c>
      <c r="E90" s="161">
        <f t="shared" si="19"/>
        <v>432.83873504064422</v>
      </c>
      <c r="F90" s="162">
        <f t="shared" si="19"/>
        <v>432.83873504064422</v>
      </c>
      <c r="G90" s="269">
        <f t="shared" si="20"/>
        <v>1.6036269143153037E-2</v>
      </c>
      <c r="H90" s="268">
        <f t="shared" si="20"/>
        <v>0</v>
      </c>
      <c r="I90" s="521"/>
      <c r="J90" s="466"/>
    </row>
    <row r="91" spans="2:19" ht="15.75" thickBot="1">
      <c r="B91" s="379"/>
      <c r="C91" s="329" t="s">
        <v>419</v>
      </c>
      <c r="D91" s="163">
        <f t="shared" si="19"/>
        <v>1057.5792098273785</v>
      </c>
      <c r="E91" s="163">
        <f t="shared" si="19"/>
        <v>1074.8341539545861</v>
      </c>
      <c r="F91" s="164">
        <f t="shared" si="19"/>
        <v>1074.8341539545861</v>
      </c>
      <c r="G91" s="271">
        <f t="shared" si="20"/>
        <v>1.6315509956009944E-2</v>
      </c>
      <c r="H91" s="272">
        <f t="shared" si="20"/>
        <v>0</v>
      </c>
      <c r="I91" s="521"/>
      <c r="J91" s="466"/>
    </row>
    <row r="92" spans="2:19" ht="15.75" thickBot="1"/>
    <row r="93" spans="2:19">
      <c r="B93" s="550" t="s">
        <v>429</v>
      </c>
      <c r="C93" s="551"/>
      <c r="D93" s="551"/>
      <c r="E93" s="551"/>
      <c r="F93" s="551"/>
      <c r="G93" s="551"/>
      <c r="H93" s="552"/>
    </row>
    <row r="94" spans="2:19" ht="30">
      <c r="B94" s="65"/>
      <c r="C94" s="66"/>
      <c r="D94" s="55" t="str">
        <f>D88</f>
        <v>2/1/2025</v>
      </c>
      <c r="E94" s="55" t="str">
        <f>E81</f>
        <v>6/1/25</v>
      </c>
      <c r="F94" s="55" t="str">
        <f>F81</f>
        <v>Proposed</v>
      </c>
      <c r="G94" s="248" t="str">
        <f>G81</f>
        <v>% Change over 2/1/2025</v>
      </c>
      <c r="H94" s="525" t="str">
        <f>$H$26</f>
        <v>% Change over 6/1/25</v>
      </c>
    </row>
    <row r="95" spans="2:19">
      <c r="B95" s="531"/>
      <c r="C95" s="43" t="s">
        <v>417</v>
      </c>
      <c r="D95" s="161">
        <f>'Hypoth. Bill Impact (TOU-A)'!C36</f>
        <v>444.41410611777997</v>
      </c>
      <c r="E95" s="161">
        <f>'Hypoth. Bill Impact (TOU-A)'!E36</f>
        <v>450.92885223538002</v>
      </c>
      <c r="F95" s="162">
        <f>'Hypoth. Bill Impact (TOU-A)'!G36</f>
        <v>450.92885223538002</v>
      </c>
      <c r="G95" s="269">
        <f t="shared" ref="G95:H97" si="21">$F95/D95-1</f>
        <v>1.4659179418291313E-2</v>
      </c>
      <c r="H95" s="268">
        <f t="shared" si="21"/>
        <v>0</v>
      </c>
      <c r="I95" s="521"/>
      <c r="J95" s="466"/>
    </row>
    <row r="96" spans="2:19">
      <c r="B96" s="378"/>
      <c r="C96" s="43" t="s">
        <v>418</v>
      </c>
      <c r="D96" s="161">
        <f>'Hypoth. Bill Impact (TOU-A)'!C37</f>
        <v>528.94125198927009</v>
      </c>
      <c r="E96" s="161">
        <f>'Hypoth. Bill Impact (TOU-A)'!E37</f>
        <v>536.62160707251007</v>
      </c>
      <c r="F96" s="162">
        <f>'Hypoth. Bill Impact (TOU-A)'!G37</f>
        <v>536.62160707251007</v>
      </c>
      <c r="G96" s="269">
        <f t="shared" si="21"/>
        <v>1.4520242190139809E-2</v>
      </c>
      <c r="H96" s="268">
        <f t="shared" si="21"/>
        <v>0</v>
      </c>
      <c r="I96" s="521"/>
      <c r="J96" s="466"/>
    </row>
    <row r="97" spans="2:10" ht="15.75" thickBot="1">
      <c r="B97" s="379"/>
      <c r="C97" s="329" t="s">
        <v>419</v>
      </c>
      <c r="D97" s="163">
        <f>'Hypoth. Bill Impact (TOU-A)'!C38</f>
        <v>1335.0958287057001</v>
      </c>
      <c r="E97" s="163">
        <f>'Hypoth. Bill Impact (TOU-A)'!E38</f>
        <v>1354.7529005339402</v>
      </c>
      <c r="F97" s="163">
        <f>'Hypoth. Bill Impact (TOU-A)'!G38</f>
        <v>1354.7529005339402</v>
      </c>
      <c r="G97" s="273">
        <f t="shared" si="21"/>
        <v>1.4723341505228582E-2</v>
      </c>
      <c r="H97" s="272">
        <f t="shared" si="21"/>
        <v>0</v>
      </c>
      <c r="I97" s="521"/>
      <c r="J97" s="466"/>
    </row>
    <row r="98" spans="2:10" ht="15.75" thickBot="1"/>
    <row r="99" spans="2:10">
      <c r="B99" s="550" t="s">
        <v>430</v>
      </c>
      <c r="C99" s="551"/>
      <c r="D99" s="551"/>
      <c r="E99" s="551"/>
      <c r="F99" s="551"/>
      <c r="G99" s="551"/>
      <c r="H99" s="552"/>
    </row>
    <row r="100" spans="2:10" ht="30">
      <c r="B100" s="65"/>
      <c r="C100" s="66"/>
      <c r="D100" s="55" t="str">
        <f>$D$26</f>
        <v>2/1/2025</v>
      </c>
      <c r="E100" s="55" t="str">
        <f>$E$26</f>
        <v>6/1/25</v>
      </c>
      <c r="F100" s="55" t="str">
        <f>F94</f>
        <v>Proposed</v>
      </c>
      <c r="G100" s="248" t="str">
        <f>G81</f>
        <v>% Change over 2/1/2025</v>
      </c>
      <c r="H100" s="525" t="str">
        <f>$H$26</f>
        <v>% Change over 6/1/25</v>
      </c>
    </row>
    <row r="101" spans="2:10">
      <c r="B101" s="531"/>
      <c r="C101" s="43" t="s">
        <v>417</v>
      </c>
      <c r="D101" s="161">
        <f>'Hypoth. Bill Impact (TOU-A)'!D36</f>
        <v>335.86520882740001</v>
      </c>
      <c r="E101" s="161">
        <f>'Hypoth. Bill Impact (TOU-A)'!F36</f>
        <v>341.89131192479005</v>
      </c>
      <c r="F101" s="162">
        <f>'Hypoth. Bill Impact (TOU-A)'!H36</f>
        <v>341.89131192479005</v>
      </c>
      <c r="G101" s="269">
        <f t="shared" ref="G101:H103" si="22">$F101/D101-1</f>
        <v>1.7942028346516814E-2</v>
      </c>
      <c r="H101" s="268">
        <f t="shared" si="22"/>
        <v>0</v>
      </c>
      <c r="I101" s="521"/>
      <c r="J101" s="466"/>
    </row>
    <row r="102" spans="2:10">
      <c r="B102" s="378"/>
      <c r="C102" s="43" t="s">
        <v>418</v>
      </c>
      <c r="D102" s="161">
        <f>'Hypoth. Bill Impact (TOU-A)'!D37</f>
        <v>352.48282471908004</v>
      </c>
      <c r="E102" s="161">
        <f>'Hypoth. Bill Impact (TOU-A)'!F37</f>
        <v>358.70811216074003</v>
      </c>
      <c r="F102" s="162">
        <f>'Hypoth. Bill Impact (TOU-A)'!H37</f>
        <v>358.70811216074003</v>
      </c>
      <c r="G102" s="269">
        <f t="shared" si="22"/>
        <v>1.7661250435737852E-2</v>
      </c>
      <c r="H102" s="268">
        <f t="shared" si="22"/>
        <v>0</v>
      </c>
      <c r="I102" s="521"/>
      <c r="J102" s="466"/>
    </row>
    <row r="103" spans="2:10" ht="15.75" thickBot="1">
      <c r="B103" s="379"/>
      <c r="C103" s="329" t="s">
        <v>419</v>
      </c>
      <c r="D103" s="163">
        <f>'Hypoth. Bill Impact (TOU-A)'!D38</f>
        <v>859.35305348572012</v>
      </c>
      <c r="E103" s="163">
        <f>'Hypoth. Bill Impact (TOU-A)'!F38</f>
        <v>874.89219211219029</v>
      </c>
      <c r="F103" s="163">
        <f>'Hypoth. Bill Impact (TOU-A)'!H38</f>
        <v>874.89219211219029</v>
      </c>
      <c r="G103" s="273">
        <f t="shared" si="22"/>
        <v>1.8082368548572703E-2</v>
      </c>
      <c r="H103" s="272">
        <f t="shared" si="22"/>
        <v>0</v>
      </c>
      <c r="I103" s="521"/>
      <c r="J103" s="466"/>
    </row>
  </sheetData>
  <mergeCells count="81">
    <mergeCell ref="I26:J26"/>
    <mergeCell ref="K84:L84"/>
    <mergeCell ref="K82:L82"/>
    <mergeCell ref="K32:Q32"/>
    <mergeCell ref="K36:L36"/>
    <mergeCell ref="K38:Q38"/>
    <mergeCell ref="K42:L42"/>
    <mergeCell ref="K44:Q44"/>
    <mergeCell ref="K48:L48"/>
    <mergeCell ref="K50:Q50"/>
    <mergeCell ref="K54:L54"/>
    <mergeCell ref="K56:Q56"/>
    <mergeCell ref="K60:L60"/>
    <mergeCell ref="K62:Q62"/>
    <mergeCell ref="K66:L66"/>
    <mergeCell ref="K78:L78"/>
    <mergeCell ref="K80:Q80"/>
    <mergeCell ref="K72:L72"/>
    <mergeCell ref="K70:L70"/>
    <mergeCell ref="K76:L76"/>
    <mergeCell ref="K74:Q74"/>
    <mergeCell ref="K68:Q68"/>
    <mergeCell ref="K64:L64"/>
    <mergeCell ref="B65:C65"/>
    <mergeCell ref="B66:C66"/>
    <mergeCell ref="K47:L47"/>
    <mergeCell ref="K65:L65"/>
    <mergeCell ref="B56:H56"/>
    <mergeCell ref="B58:C58"/>
    <mergeCell ref="B59:C59"/>
    <mergeCell ref="B62:H62"/>
    <mergeCell ref="K58:L58"/>
    <mergeCell ref="K59:L59"/>
    <mergeCell ref="K52:L52"/>
    <mergeCell ref="K53:L53"/>
    <mergeCell ref="B50:H50"/>
    <mergeCell ref="B52:C52"/>
    <mergeCell ref="B53:C53"/>
    <mergeCell ref="B34:C34"/>
    <mergeCell ref="B35:C35"/>
    <mergeCell ref="K34:L34"/>
    <mergeCell ref="K35:L35"/>
    <mergeCell ref="K46:L46"/>
    <mergeCell ref="B46:C46"/>
    <mergeCell ref="B27:C27"/>
    <mergeCell ref="K27:L27"/>
    <mergeCell ref="B29:C29"/>
    <mergeCell ref="K29:L29"/>
    <mergeCell ref="B32:H32"/>
    <mergeCell ref="B93:H93"/>
    <mergeCell ref="B99:H99"/>
    <mergeCell ref="B47:C47"/>
    <mergeCell ref="B48:C48"/>
    <mergeCell ref="B60:C60"/>
    <mergeCell ref="B82:C82"/>
    <mergeCell ref="B84:C84"/>
    <mergeCell ref="B68:H68"/>
    <mergeCell ref="B70:C70"/>
    <mergeCell ref="B72:C72"/>
    <mergeCell ref="B74:H74"/>
    <mergeCell ref="B76:C76"/>
    <mergeCell ref="B78:C78"/>
    <mergeCell ref="B80:H80"/>
    <mergeCell ref="B54:C54"/>
    <mergeCell ref="B64:C64"/>
    <mergeCell ref="F10:G12"/>
    <mergeCell ref="M5:N5"/>
    <mergeCell ref="O5:P5"/>
    <mergeCell ref="B44:H44"/>
    <mergeCell ref="B87:H87"/>
    <mergeCell ref="K40:L40"/>
    <mergeCell ref="B38:H38"/>
    <mergeCell ref="B40:C40"/>
    <mergeCell ref="B41:C41"/>
    <mergeCell ref="B42:C42"/>
    <mergeCell ref="K41:L41"/>
    <mergeCell ref="B36:C36"/>
    <mergeCell ref="B25:H25"/>
    <mergeCell ref="K25:Q25"/>
    <mergeCell ref="B26:C26"/>
    <mergeCell ref="K26:L26"/>
  </mergeCells>
  <dataValidations disablePrompts="1" count="2">
    <dataValidation type="list" allowBlank="1" showInputMessage="1" showErrorMessage="1" sqref="D3" xr:uid="{7E320ACF-B98D-4476-95E8-0C8122144F35}">
      <formula1>"Coastal, Mountain, Desert, Inland, ALL"</formula1>
    </dataValidation>
    <dataValidation type="list" allowBlank="1" showInputMessage="1" showErrorMessage="1" sqref="H8" xr:uid="{1800F55C-02A4-487B-8FB1-0AAA06745D82}">
      <formula1>"Y,N"</formula1>
    </dataValidation>
  </dataValidation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804A19-63CB-4434-934A-642AE3437D08}">
  <sheetPr codeName="Sheet9">
    <tabColor rgb="FF92D050"/>
  </sheetPr>
  <dimension ref="A1:AC84"/>
  <sheetViews>
    <sheetView workbookViewId="0"/>
  </sheetViews>
  <sheetFormatPr defaultColWidth="8.85546875" defaultRowHeight="15"/>
  <cols>
    <col min="1" max="1" width="3.5703125" style="6" customWidth="1"/>
    <col min="2" max="2" width="19.42578125" style="6" customWidth="1"/>
    <col min="3" max="5" width="22.140625" style="6" customWidth="1"/>
    <col min="6" max="6" width="20" style="6" customWidth="1"/>
    <col min="7" max="7" width="13.5703125" style="6" customWidth="1"/>
    <col min="8" max="8" width="14.140625" style="6" customWidth="1"/>
    <col min="9" max="9" width="13.5703125" style="6" customWidth="1"/>
    <col min="10" max="10" width="15.140625" style="6" customWidth="1"/>
    <col min="11" max="11" width="14.85546875" style="6" customWidth="1"/>
    <col min="12" max="14" width="15.42578125" style="6" customWidth="1"/>
    <col min="15" max="15" width="13" style="6" customWidth="1"/>
    <col min="16" max="16" width="17.140625" style="6" bestFit="1" customWidth="1"/>
    <col min="17" max="17" width="19.42578125" style="6" customWidth="1"/>
    <col min="18" max="18" width="13" style="6" customWidth="1"/>
    <col min="19" max="20" width="14" style="6" customWidth="1"/>
    <col min="21" max="21" width="15" style="6" customWidth="1"/>
    <col min="22" max="22" width="14.140625" style="6" customWidth="1"/>
    <col min="23" max="23" width="14.85546875" style="6" bestFit="1" customWidth="1"/>
    <col min="24" max="24" width="13.5703125" style="6" customWidth="1"/>
    <col min="25" max="29" width="13" style="6" customWidth="1"/>
    <col min="30" max="16384" width="8.85546875" style="6"/>
  </cols>
  <sheetData>
    <row r="1" spans="1:27" s="172" customFormat="1" ht="25.5" customHeight="1">
      <c r="A1" s="398"/>
      <c r="B1" s="399"/>
      <c r="C1" s="399"/>
      <c r="D1" s="399"/>
      <c r="E1" s="399"/>
      <c r="F1" s="399"/>
      <c r="G1" s="399"/>
      <c r="H1" s="399"/>
      <c r="I1" s="399"/>
      <c r="J1" s="399"/>
      <c r="K1" s="399"/>
      <c r="L1" s="399"/>
      <c r="M1" s="399"/>
      <c r="N1" s="399"/>
      <c r="O1" s="399"/>
      <c r="P1" s="399"/>
      <c r="Q1" s="399"/>
      <c r="R1" s="399"/>
      <c r="S1" s="399"/>
      <c r="T1" s="399"/>
      <c r="U1" s="399"/>
      <c r="V1" s="399"/>
      <c r="W1" s="399"/>
      <c r="X1" s="399"/>
      <c r="Y1" s="399"/>
      <c r="Z1" s="399"/>
      <c r="AA1" s="399"/>
    </row>
    <row r="2" spans="1:27" ht="15.75">
      <c r="B2" s="79"/>
      <c r="C2" s="41"/>
      <c r="D2" s="41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</row>
    <row r="3" spans="1:27">
      <c r="B3" s="80"/>
      <c r="C3" s="42" t="s">
        <v>161</v>
      </c>
      <c r="D3" s="181"/>
      <c r="R3" s="82"/>
      <c r="S3" s="82"/>
      <c r="T3" s="82"/>
      <c r="U3" s="82"/>
      <c r="V3" s="82"/>
      <c r="W3" s="82"/>
      <c r="X3" s="82"/>
    </row>
    <row r="4" spans="1:27" ht="15.75">
      <c r="B4" s="189" t="s">
        <v>3</v>
      </c>
      <c r="C4" s="192">
        <f>'Hypothetical Summary'!D6</f>
        <v>0</v>
      </c>
      <c r="D4" s="1"/>
      <c r="G4" s="600" t="s">
        <v>163</v>
      </c>
      <c r="H4" s="600"/>
      <c r="I4" s="600"/>
      <c r="J4" s="600"/>
      <c r="K4" s="600"/>
      <c r="L4" s="600"/>
      <c r="M4" s="600"/>
      <c r="N4" s="600"/>
      <c r="O4" s="600"/>
      <c r="P4" s="600"/>
      <c r="Q4" s="600"/>
      <c r="R4" s="600"/>
      <c r="S4" s="600"/>
      <c r="T4" s="600"/>
      <c r="U4" s="42"/>
      <c r="V4" s="42"/>
      <c r="W4" s="42"/>
      <c r="X4" s="42"/>
      <c r="Y4" s="42"/>
      <c r="Z4" s="42"/>
      <c r="AA4" s="42"/>
    </row>
    <row r="5" spans="1:27" ht="31.5">
      <c r="B5" s="189" t="s">
        <v>392</v>
      </c>
      <c r="C5" s="192">
        <f>'Hypothetical Summary'!D7</f>
        <v>0</v>
      </c>
      <c r="D5" s="1"/>
      <c r="F5" s="1"/>
      <c r="G5" s="85" t="s">
        <v>3</v>
      </c>
      <c r="H5" s="85" t="s">
        <v>392</v>
      </c>
      <c r="I5" s="85" t="s">
        <v>59</v>
      </c>
      <c r="J5" s="85" t="s">
        <v>5</v>
      </c>
      <c r="K5" s="85" t="s">
        <v>98</v>
      </c>
      <c r="L5" s="85" t="s">
        <v>14</v>
      </c>
      <c r="M5" s="85" t="s">
        <v>80</v>
      </c>
      <c r="N5" s="85" t="s">
        <v>100</v>
      </c>
      <c r="O5" s="85" t="s">
        <v>97</v>
      </c>
      <c r="P5" s="85" t="s">
        <v>78</v>
      </c>
      <c r="Q5" s="85" t="s">
        <v>10</v>
      </c>
      <c r="R5" s="85" t="s">
        <v>225</v>
      </c>
      <c r="S5" s="85" t="s">
        <v>87</v>
      </c>
      <c r="T5" s="85" t="s">
        <v>256</v>
      </c>
    </row>
    <row r="6" spans="1:27" ht="15.75">
      <c r="B6" s="190" t="s">
        <v>59</v>
      </c>
      <c r="C6" s="192">
        <f>'Hypothetical Summary'!D8</f>
        <v>0</v>
      </c>
      <c r="D6" s="1"/>
      <c r="F6" s="1" t="s">
        <v>149</v>
      </c>
      <c r="G6" s="86">
        <f>'SAR and RAR'!H6</f>
        <v>0.41855989900368068</v>
      </c>
      <c r="H6" s="86">
        <f>'SAR and RAR'!I6</f>
        <v>0.19327545344183236</v>
      </c>
      <c r="I6" s="86">
        <f>'SAR and RAR'!J6</f>
        <v>0.39851332033456094</v>
      </c>
      <c r="J6" s="86">
        <f>'SAR and RAR'!K6</f>
        <v>0.41391610651531041</v>
      </c>
      <c r="K6" s="86">
        <f>'SAR and RAR'!L6</f>
        <v>0.93330912100688068</v>
      </c>
      <c r="L6" s="86">
        <f>'SAR and RAR'!M6</f>
        <v>0.40372069148918138</v>
      </c>
      <c r="M6" s="86">
        <f>'SAR and RAR'!N6</f>
        <v>0.37541693044702501</v>
      </c>
      <c r="N6" s="86">
        <f>'SAR and RAR'!O6</f>
        <v>0.36605649315517785</v>
      </c>
      <c r="O6" s="86">
        <f>'SAR and RAR'!P6</f>
        <v>0</v>
      </c>
      <c r="P6" s="86">
        <f>'SAR and RAR'!Q6</f>
        <v>0</v>
      </c>
      <c r="Q6" s="86">
        <f>'SAR and RAR'!R6</f>
        <v>0.49166012428362338</v>
      </c>
      <c r="R6" s="86">
        <f>'SAR and RAR'!S6</f>
        <v>0.36967484827966068</v>
      </c>
      <c r="S6" s="86">
        <f>'SAR and RAR'!T6</f>
        <v>0.31719588101999252</v>
      </c>
      <c r="T6" s="86">
        <f>'SAR and RAR'!U6</f>
        <v>0.42284096943088328</v>
      </c>
    </row>
    <row r="7" spans="1:27" ht="15.75">
      <c r="B7" s="190" t="s">
        <v>5</v>
      </c>
      <c r="C7" s="192">
        <f>'Hypothetical Summary'!D9</f>
        <v>0</v>
      </c>
      <c r="D7" s="1"/>
      <c r="F7" s="1"/>
      <c r="G7" s="153"/>
      <c r="H7" s="153"/>
      <c r="I7" s="153"/>
      <c r="J7" s="153"/>
      <c r="K7" s="153"/>
      <c r="L7" s="153"/>
      <c r="M7" s="153"/>
      <c r="N7" s="153"/>
      <c r="O7" s="87"/>
      <c r="P7" s="87"/>
      <c r="Q7" s="87"/>
      <c r="R7" s="87"/>
      <c r="S7" s="87"/>
      <c r="T7" s="154"/>
    </row>
    <row r="8" spans="1:27" ht="15.6" customHeight="1">
      <c r="B8" s="190" t="s">
        <v>98</v>
      </c>
      <c r="C8" s="192">
        <f>'Hypothetical Summary'!D10</f>
        <v>0</v>
      </c>
      <c r="D8" s="1"/>
      <c r="F8" s="88"/>
      <c r="G8" s="600" t="s">
        <v>164</v>
      </c>
      <c r="H8" s="600"/>
      <c r="I8" s="600"/>
      <c r="J8" s="600"/>
      <c r="K8" s="600"/>
      <c r="L8" s="600"/>
      <c r="M8" s="600"/>
      <c r="N8" s="600"/>
      <c r="O8" s="600"/>
      <c r="P8" s="600"/>
      <c r="Q8" s="600"/>
      <c r="R8" s="600"/>
      <c r="S8" s="600"/>
      <c r="T8" s="600"/>
    </row>
    <row r="9" spans="1:27" ht="15.75" customHeight="1">
      <c r="B9" s="190" t="s">
        <v>14</v>
      </c>
      <c r="C9" s="192">
        <f>'Hypothetical Summary'!D11</f>
        <v>0</v>
      </c>
      <c r="D9" s="1"/>
      <c r="F9" s="89" t="s">
        <v>221</v>
      </c>
      <c r="G9" s="85" t="s">
        <v>3</v>
      </c>
      <c r="H9" s="85" t="s">
        <v>392</v>
      </c>
      <c r="I9" s="85" t="s">
        <v>59</v>
      </c>
      <c r="J9" s="85" t="s">
        <v>5</v>
      </c>
      <c r="K9" s="85" t="s">
        <v>98</v>
      </c>
      <c r="L9" s="85" t="s">
        <v>14</v>
      </c>
      <c r="M9" s="85" t="s">
        <v>80</v>
      </c>
      <c r="N9" s="85" t="s">
        <v>100</v>
      </c>
      <c r="O9" s="85" t="s">
        <v>97</v>
      </c>
      <c r="P9" s="85" t="s">
        <v>78</v>
      </c>
      <c r="Q9" s="85" t="s">
        <v>10</v>
      </c>
      <c r="R9" s="85" t="s">
        <v>225</v>
      </c>
      <c r="S9" s="85" t="s">
        <v>87</v>
      </c>
      <c r="T9" s="85" t="s">
        <v>256</v>
      </c>
    </row>
    <row r="10" spans="1:27" ht="15.75">
      <c r="B10" s="190" t="s">
        <v>80</v>
      </c>
      <c r="C10" s="192">
        <f>'Hypothetical Summary'!D12</f>
        <v>0</v>
      </c>
      <c r="D10" s="1"/>
      <c r="F10" s="1" t="s">
        <v>149</v>
      </c>
      <c r="G10" s="90">
        <f>G6*G11</f>
        <v>0</v>
      </c>
      <c r="H10" s="90">
        <f>H6*H11</f>
        <v>0</v>
      </c>
      <c r="I10" s="90">
        <f t="shared" ref="I10:T10" si="0">I6*I11</f>
        <v>0</v>
      </c>
      <c r="J10" s="90">
        <f>J6*J11</f>
        <v>0</v>
      </c>
      <c r="K10" s="90">
        <f t="shared" si="0"/>
        <v>0</v>
      </c>
      <c r="L10" s="90">
        <f t="shared" si="0"/>
        <v>0</v>
      </c>
      <c r="M10" s="90">
        <f t="shared" si="0"/>
        <v>0</v>
      </c>
      <c r="N10" s="90">
        <f t="shared" si="0"/>
        <v>0</v>
      </c>
      <c r="O10" s="90">
        <f t="shared" si="0"/>
        <v>0</v>
      </c>
      <c r="P10" s="90">
        <f t="shared" si="0"/>
        <v>0</v>
      </c>
      <c r="Q10" s="90">
        <f t="shared" si="0"/>
        <v>0</v>
      </c>
      <c r="R10" s="90">
        <f>R6*R11</f>
        <v>0</v>
      </c>
      <c r="S10" s="90">
        <f t="shared" si="0"/>
        <v>0</v>
      </c>
      <c r="T10" s="90">
        <f t="shared" si="0"/>
        <v>0</v>
      </c>
      <c r="U10" s="90">
        <f>SUM(G10:T10)</f>
        <v>0</v>
      </c>
      <c r="V10" s="178"/>
    </row>
    <row r="11" spans="1:27" ht="15.75">
      <c r="B11" s="191" t="s">
        <v>100</v>
      </c>
      <c r="C11" s="192">
        <f>'Hypothetical Summary'!D13</f>
        <v>0</v>
      </c>
      <c r="D11" s="1"/>
      <c r="F11" s="1" t="s">
        <v>165</v>
      </c>
      <c r="G11" s="109">
        <f>C4</f>
        <v>0</v>
      </c>
      <c r="H11" s="109">
        <f>C5</f>
        <v>0</v>
      </c>
      <c r="I11" s="109">
        <f>C6</f>
        <v>0</v>
      </c>
      <c r="J11" s="109">
        <f>C7</f>
        <v>0</v>
      </c>
      <c r="K11" s="109">
        <f>C8</f>
        <v>0</v>
      </c>
      <c r="L11" s="109">
        <f>C9</f>
        <v>0</v>
      </c>
      <c r="M11" s="109">
        <f>C10</f>
        <v>0</v>
      </c>
      <c r="N11" s="109">
        <f>C11</f>
        <v>0</v>
      </c>
      <c r="O11" s="109">
        <f>C12</f>
        <v>0</v>
      </c>
      <c r="P11" s="109">
        <f>C17</f>
        <v>0</v>
      </c>
      <c r="Q11" s="109">
        <f>C14</f>
        <v>0</v>
      </c>
      <c r="R11" s="109">
        <f>C16</f>
        <v>0</v>
      </c>
      <c r="S11" s="109">
        <f>C15</f>
        <v>0</v>
      </c>
      <c r="T11" s="109">
        <f>C13</f>
        <v>0</v>
      </c>
      <c r="U11" s="90">
        <f>SUM(G11:T11)</f>
        <v>0</v>
      </c>
      <c r="V11" s="177"/>
    </row>
    <row r="12" spans="1:27" ht="15.75">
      <c r="B12" s="190" t="s">
        <v>97</v>
      </c>
      <c r="C12" s="192">
        <f>'Hypothetical Summary'!D14</f>
        <v>0</v>
      </c>
      <c r="D12" s="1"/>
      <c r="F12" s="89"/>
      <c r="U12" s="90"/>
    </row>
    <row r="13" spans="1:27" ht="15.75" customHeight="1">
      <c r="B13" s="190" t="s">
        <v>256</v>
      </c>
      <c r="C13" s="192">
        <f>'Hypothetical Summary'!D15</f>
        <v>0</v>
      </c>
      <c r="D13" s="1"/>
      <c r="F13" s="1"/>
      <c r="G13" s="90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178"/>
    </row>
    <row r="14" spans="1:27" ht="15.75" customHeight="1">
      <c r="B14" s="190" t="s">
        <v>10</v>
      </c>
      <c r="C14" s="192">
        <f>'Hypothetical Summary'!D16</f>
        <v>0</v>
      </c>
      <c r="D14" s="1"/>
      <c r="F14" s="1"/>
      <c r="G14" s="109"/>
      <c r="H14" s="109"/>
      <c r="I14" s="109"/>
      <c r="J14" s="109"/>
      <c r="K14" s="109"/>
      <c r="L14" s="109"/>
      <c r="M14" s="109"/>
      <c r="N14" s="109"/>
      <c r="O14" s="109"/>
      <c r="P14" s="109"/>
      <c r="Q14" s="109"/>
      <c r="R14" s="109"/>
      <c r="S14" s="109"/>
      <c r="T14" s="109"/>
      <c r="U14" s="90"/>
      <c r="V14" s="177"/>
    </row>
    <row r="15" spans="1:27" ht="15.75" customHeight="1">
      <c r="B15" s="190" t="s">
        <v>87</v>
      </c>
      <c r="C15" s="192">
        <f>'Hypothetical Summary'!D17</f>
        <v>0</v>
      </c>
      <c r="D15" s="1"/>
      <c r="F15" s="1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90"/>
      <c r="V15" s="177"/>
    </row>
    <row r="16" spans="1:27" ht="15.75">
      <c r="B16" s="190" t="s">
        <v>225</v>
      </c>
      <c r="C16" s="192">
        <f>'Hypothetical Summary'!D18</f>
        <v>0</v>
      </c>
      <c r="D16" s="1"/>
      <c r="F16" s="200"/>
      <c r="G16" s="40"/>
      <c r="H16" s="40"/>
      <c r="I16" s="40"/>
      <c r="J16" s="40"/>
      <c r="K16" s="88"/>
      <c r="Z16" s="1"/>
      <c r="AA16" s="93" t="s">
        <v>221</v>
      </c>
    </row>
    <row r="17" spans="2:29" ht="15.75">
      <c r="B17" s="190" t="s">
        <v>78</v>
      </c>
      <c r="C17" s="199">
        <f>'Hypothetical Summary'!D19</f>
        <v>0</v>
      </c>
      <c r="D17" s="1"/>
      <c r="U17" s="586" t="s">
        <v>263</v>
      </c>
      <c r="V17" s="587"/>
      <c r="W17" s="586" t="s">
        <v>264</v>
      </c>
      <c r="X17" s="587"/>
      <c r="Z17" s="94" t="s">
        <v>167</v>
      </c>
      <c r="AA17" s="167">
        <f>'SAR and RAR'!AD16</f>
        <v>0.22330588938421425</v>
      </c>
      <c r="AC17" s="168"/>
    </row>
    <row r="18" spans="2:29" ht="15.75">
      <c r="B18" s="1" t="s">
        <v>113</v>
      </c>
      <c r="C18" s="192">
        <f>SUM(C4:C17)</f>
        <v>0</v>
      </c>
      <c r="D18" s="1"/>
      <c r="F18" s="88"/>
      <c r="G18" s="593" t="s">
        <v>168</v>
      </c>
      <c r="H18" s="593"/>
      <c r="I18" s="593"/>
      <c r="J18" s="593"/>
      <c r="K18" s="593"/>
      <c r="L18" s="593"/>
      <c r="M18" s="593"/>
      <c r="N18" s="593"/>
      <c r="O18" s="593"/>
      <c r="P18" s="593"/>
      <c r="Q18" s="593"/>
      <c r="R18" s="593"/>
      <c r="S18" s="593"/>
      <c r="T18" s="589"/>
      <c r="U18" s="588" t="s">
        <v>169</v>
      </c>
      <c r="V18" s="589"/>
      <c r="W18" s="588" t="s">
        <v>169</v>
      </c>
      <c r="X18" s="589"/>
      <c r="Z18" s="94" t="s">
        <v>170</v>
      </c>
      <c r="AA18" s="86">
        <f>'SAR and RAR'!AD17</f>
        <v>0.35</v>
      </c>
    </row>
    <row r="19" spans="2:29" ht="31.5">
      <c r="B19" s="2"/>
      <c r="C19" s="192"/>
      <c r="D19" s="1"/>
      <c r="G19" s="85" t="s">
        <v>3</v>
      </c>
      <c r="H19" s="85" t="s">
        <v>392</v>
      </c>
      <c r="I19" s="85" t="s">
        <v>59</v>
      </c>
      <c r="J19" s="85" t="s">
        <v>5</v>
      </c>
      <c r="K19" s="85" t="s">
        <v>98</v>
      </c>
      <c r="L19" s="85" t="s">
        <v>14</v>
      </c>
      <c r="M19" s="85" t="s">
        <v>80</v>
      </c>
      <c r="N19" s="85" t="s">
        <v>100</v>
      </c>
      <c r="O19" s="85" t="s">
        <v>97</v>
      </c>
      <c r="P19" s="85" t="s">
        <v>78</v>
      </c>
      <c r="Q19" s="85" t="s">
        <v>10</v>
      </c>
      <c r="R19" s="85" t="s">
        <v>225</v>
      </c>
      <c r="S19" s="85" t="s">
        <v>87</v>
      </c>
      <c r="T19" s="85" t="s">
        <v>256</v>
      </c>
      <c r="U19" s="95" t="s">
        <v>113</v>
      </c>
      <c r="V19" s="20" t="s">
        <v>171</v>
      </c>
      <c r="W19" s="95" t="s">
        <v>113</v>
      </c>
      <c r="X19" s="20" t="s">
        <v>171</v>
      </c>
      <c r="Z19" s="1"/>
      <c r="AA19" s="1"/>
      <c r="AC19" s="99"/>
    </row>
    <row r="20" spans="2:29" ht="15.75">
      <c r="B20" s="2"/>
      <c r="C20" s="2"/>
      <c r="D20" s="1"/>
      <c r="E20" s="88"/>
      <c r="F20" s="1" t="s">
        <v>149</v>
      </c>
      <c r="G20" s="86">
        <v>1</v>
      </c>
      <c r="H20" s="86">
        <v>0</v>
      </c>
      <c r="I20" s="86">
        <v>1</v>
      </c>
      <c r="J20" s="86">
        <v>1</v>
      </c>
      <c r="K20" s="86">
        <v>1</v>
      </c>
      <c r="L20" s="86">
        <v>1</v>
      </c>
      <c r="M20" s="86">
        <v>1</v>
      </c>
      <c r="N20" s="86">
        <v>1</v>
      </c>
      <c r="O20" s="86">
        <v>1</v>
      </c>
      <c r="P20" s="86">
        <v>1</v>
      </c>
      <c r="Q20" s="86">
        <v>1</v>
      </c>
      <c r="R20" s="86">
        <v>1</v>
      </c>
      <c r="S20" s="86">
        <v>1</v>
      </c>
      <c r="T20" s="86">
        <v>0</v>
      </c>
      <c r="U20" s="96">
        <f>SUMPRODUCT(I10:S10,I20:S20)</f>
        <v>0</v>
      </c>
      <c r="V20" s="290">
        <f>U20</f>
        <v>0</v>
      </c>
      <c r="W20" s="96">
        <f>SUMPRODUCT(G10,G20)</f>
        <v>0</v>
      </c>
      <c r="X20" s="290">
        <f>W20</f>
        <v>0</v>
      </c>
      <c r="Z20" s="1"/>
      <c r="AA20" s="1"/>
    </row>
    <row r="21" spans="2:29" ht="15.75">
      <c r="B21" s="2" t="s">
        <v>250</v>
      </c>
      <c r="C21" s="239">
        <f>'Sales Allocations &amp; CCC'!S3</f>
        <v>8.0000000000000004E-4</v>
      </c>
      <c r="D21" s="239"/>
      <c r="F21" s="1" t="s">
        <v>165</v>
      </c>
      <c r="G21" s="86">
        <v>1</v>
      </c>
      <c r="H21" s="86">
        <v>0</v>
      </c>
      <c r="I21" s="86">
        <v>1</v>
      </c>
      <c r="J21" s="86">
        <v>1</v>
      </c>
      <c r="K21" s="86">
        <v>1</v>
      </c>
      <c r="L21" s="86">
        <v>1</v>
      </c>
      <c r="M21" s="86">
        <v>1</v>
      </c>
      <c r="N21" s="86">
        <v>1</v>
      </c>
      <c r="O21" s="86">
        <v>1</v>
      </c>
      <c r="P21" s="86">
        <v>1</v>
      </c>
      <c r="Q21" s="86">
        <v>1</v>
      </c>
      <c r="R21" s="86">
        <v>1</v>
      </c>
      <c r="S21" s="86">
        <v>1</v>
      </c>
      <c r="T21" s="86">
        <v>0</v>
      </c>
      <c r="U21" s="96">
        <f>SUMPRODUCT(I11:S11,I21:S21)</f>
        <v>0</v>
      </c>
      <c r="V21" s="290">
        <f>U21</f>
        <v>0</v>
      </c>
      <c r="W21" s="96">
        <f>SUMPRODUCT(G11,G21)</f>
        <v>0</v>
      </c>
      <c r="X21" s="290">
        <f>W21</f>
        <v>0</v>
      </c>
      <c r="Z21" s="214" t="s">
        <v>217</v>
      </c>
      <c r="AA21" s="201">
        <f>'SAR and RAR'!AD20</f>
        <v>0.32826850141764163</v>
      </c>
      <c r="AC21" s="1"/>
    </row>
    <row r="22" spans="2:29" ht="15.75">
      <c r="B22" s="2"/>
      <c r="C22" s="2"/>
      <c r="D22" s="1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T22" s="1"/>
      <c r="U22" s="109"/>
      <c r="Y22" s="1"/>
      <c r="Z22" s="1"/>
      <c r="AB22" s="169"/>
    </row>
    <row r="23" spans="2:29" ht="15.75">
      <c r="B23" s="2"/>
      <c r="C23" s="597" t="s">
        <v>450</v>
      </c>
      <c r="D23" s="598"/>
      <c r="E23" s="599"/>
      <c r="F23" s="42"/>
      <c r="T23" s="84"/>
      <c r="U23" s="1"/>
      <c r="Z23" s="101"/>
    </row>
    <row r="24" spans="2:29" ht="31.5">
      <c r="B24" s="1"/>
      <c r="C24" s="84" t="s">
        <v>339</v>
      </c>
      <c r="D24" s="84" t="s">
        <v>340</v>
      </c>
      <c r="E24" s="84" t="s">
        <v>341</v>
      </c>
      <c r="F24" s="1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1"/>
      <c r="T24" s="203"/>
      <c r="U24" s="203"/>
      <c r="V24" s="1"/>
      <c r="W24" s="1"/>
      <c r="Y24" s="1"/>
      <c r="Z24" s="1"/>
    </row>
    <row r="25" spans="2:29" ht="15.75">
      <c r="B25" s="107" t="s">
        <v>149</v>
      </c>
      <c r="C25" s="241">
        <f>'SAR and RAR'!C25</f>
        <v>6059160.2764376383</v>
      </c>
      <c r="D25" s="241">
        <f>'SAR and RAR'!D25</f>
        <v>7793802.9381372696</v>
      </c>
      <c r="E25" s="4">
        <f>'SAR and RAR'!E25</f>
        <v>1515275.3552196764</v>
      </c>
      <c r="F25" s="20"/>
      <c r="G25" s="102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3"/>
      <c r="U25" s="203"/>
      <c r="V25" s="103"/>
      <c r="W25" s="103"/>
      <c r="Y25" s="1"/>
      <c r="Z25" s="1"/>
    </row>
    <row r="26" spans="2:29" ht="15.75">
      <c r="B26" s="107" t="s">
        <v>165</v>
      </c>
      <c r="C26" s="241">
        <f>'SAR and RAR'!C26</f>
        <v>18290445.652985182</v>
      </c>
      <c r="D26" s="241">
        <f>'SAR and RAR'!D26</f>
        <v>20272867.503732543</v>
      </c>
      <c r="E26" s="4">
        <f>'SAR and RAR'!E26</f>
        <v>3877834.6865865677</v>
      </c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104"/>
      <c r="U26" s="105"/>
      <c r="V26" s="105"/>
      <c r="W26" s="105"/>
      <c r="Y26" s="1"/>
      <c r="Z26" s="1"/>
    </row>
    <row r="27" spans="2:29" ht="15.75">
      <c r="B27" s="2"/>
      <c r="C27" s="2"/>
      <c r="E27" s="20"/>
      <c r="F27" s="590" t="s">
        <v>172</v>
      </c>
      <c r="G27" s="591"/>
      <c r="H27" s="591"/>
      <c r="I27" s="592"/>
      <c r="J27" s="2"/>
      <c r="K27" s="2"/>
      <c r="O27" s="1"/>
      <c r="P27" s="590" t="s">
        <v>173</v>
      </c>
      <c r="Q27" s="591"/>
      <c r="R27" s="591"/>
      <c r="S27" s="591"/>
      <c r="T27" s="592"/>
      <c r="U27" s="204"/>
      <c r="V27" s="1"/>
      <c r="W27" s="106"/>
      <c r="AA27" s="1"/>
      <c r="AB27" s="1"/>
    </row>
    <row r="28" spans="2:29" ht="47.25">
      <c r="B28" s="2"/>
      <c r="C28" s="2"/>
      <c r="E28" s="20"/>
      <c r="F28" s="84" t="str">
        <f>Summary!I3&amp;" Authorized Sales Forecast - Bundled"</f>
        <v>2026 Authorized Sales Forecast - Bundled</v>
      </c>
      <c r="G28" s="84" t="str">
        <f>'SAR and RAR'!H23</f>
        <v>6/1/25 Avg Rates(sales adj.)</v>
      </c>
      <c r="H28" s="84" t="s">
        <v>222</v>
      </c>
      <c r="I28" s="84" t="s">
        <v>223</v>
      </c>
      <c r="J28" s="84"/>
      <c r="K28" s="84"/>
      <c r="O28" s="1"/>
      <c r="P28" s="84" t="str">
        <f>F28</f>
        <v>2026 Authorized Sales Forecast - Bundled</v>
      </c>
      <c r="Q28" s="84" t="str">
        <f>G28</f>
        <v>6/1/25 Avg Rates(sales adj.)</v>
      </c>
      <c r="R28" s="84" t="s">
        <v>222</v>
      </c>
      <c r="S28" s="84" t="s">
        <v>223</v>
      </c>
      <c r="U28" s="84"/>
      <c r="V28" s="84"/>
      <c r="W28" s="106"/>
      <c r="Y28" s="53"/>
      <c r="Z28" s="420">
        <f>'SAR and RAR'!AC23</f>
        <v>45689</v>
      </c>
      <c r="AA28" s="420">
        <f>'SAR and RAR'!AD23</f>
        <v>45809</v>
      </c>
      <c r="AB28" s="420">
        <f>'SAR and RAR'!AE23</f>
        <v>45689</v>
      </c>
      <c r="AC28" s="420">
        <f>'SAR and RAR'!AF23</f>
        <v>45809</v>
      </c>
    </row>
    <row r="29" spans="2:29" ht="15.75">
      <c r="B29" s="2"/>
      <c r="C29" s="2"/>
      <c r="E29" s="20"/>
      <c r="F29" s="241">
        <f>'SAR and RAR'!G24</f>
        <v>1313398.550759305</v>
      </c>
      <c r="G29" s="510">
        <f>IF('Hypothetical Summary'!$H$8="N",AC31,AA31)</f>
        <v>37.777000000000001</v>
      </c>
      <c r="H29" s="462">
        <f>(SUM($I10:$K10,$P10:$Q10,$S10)/(IF('Hypothetical Summary'!$D$2=2025,$C25,$C35))*100)+(SUM($K10:$O10,$R10)/(IF('Hypothetical Summary'!$D$2=2025,$D25,$D35))*100)+($G10/(IF('Hypothetical Summary'!$D$2=2025,$E25,$E35))*100)+G29</f>
        <v>37.777000000000001</v>
      </c>
      <c r="I29" s="432">
        <f>H29/G29-1</f>
        <v>0</v>
      </c>
      <c r="J29" s="108"/>
      <c r="K29" s="108"/>
      <c r="O29" s="107" t="s">
        <v>149</v>
      </c>
      <c r="P29" s="98">
        <f>'SAR and RAR'!R24</f>
        <v>5529244.7570373612</v>
      </c>
      <c r="Q29" s="511">
        <v>36.233247053260584</v>
      </c>
      <c r="R29" s="462">
        <f>H29+($Q29-$G29)+($H10/((IF('Hypothetical Summary'!$D$2=2025,$C25,$C35))-(IF('Hypothetical Summary'!$D$2=2025,$E25,$E35)))*100)+($T10/((IF('Hypothetical Summary'!$D$2=2025,$C25,$C35))-(IF('Hypothetical Summary'!$D$2=2025,$E25,$E35)))*100)</f>
        <v>36.233247053260584</v>
      </c>
      <c r="S29" s="432">
        <f>R29/Q29-1</f>
        <v>0</v>
      </c>
      <c r="U29" s="108"/>
      <c r="V29" s="108"/>
      <c r="W29" s="106"/>
      <c r="Y29" s="53"/>
      <c r="Z29" s="584" t="s">
        <v>461</v>
      </c>
      <c r="AA29" s="584"/>
      <c r="AB29" s="584" t="s">
        <v>460</v>
      </c>
      <c r="AC29" s="584"/>
    </row>
    <row r="30" spans="2:29" ht="15.75">
      <c r="B30" s="2"/>
      <c r="C30" s="2"/>
      <c r="E30" s="20"/>
      <c r="F30" s="241">
        <f>'SAR and RAR'!G25</f>
        <v>3218717.0926473769</v>
      </c>
      <c r="G30" s="510">
        <f>IF('Hypothetical Summary'!$H$8="N",AC32,AA32)</f>
        <v>35.430999999999997</v>
      </c>
      <c r="H30" s="462">
        <f>(SUM($I11:$J11,$P11:$Q11,$S11)/(IF('Hypothetical Summary'!$D$2=2025,$C26,$C36))*100)+(SUM($K11:$O11,$R11)/(IF('Hypothetical Summary'!$D$2=2025,$D26,$D36))*100)+($G11/(IF('Hypothetical Summary'!$D$2=2025,$E26,$E36))*100)+G30</f>
        <v>35.430999999999997</v>
      </c>
      <c r="I30" s="432">
        <f>H30/G30-1</f>
        <v>0</v>
      </c>
      <c r="J30" s="108"/>
      <c r="K30" s="108"/>
      <c r="O30" s="107" t="s">
        <v>165</v>
      </c>
      <c r="P30" s="98">
        <f>'SAR and RAR'!R25</f>
        <v>17431428.835748378</v>
      </c>
      <c r="Q30" s="511">
        <v>34.280275336408138</v>
      </c>
      <c r="R30" s="462">
        <f>H30+($Q30-$G30)+($T11/((IF('Hypothetical Summary'!$D$2=2025,$C26,$C36))-(IF('Hypothetical Summary'!$D$2=2025,$E26,$E36)))*100)+($H11/((IF('Hypothetical Summary'!$D$2=2025,$C26,$C36))-(IF('Hypothetical Summary'!$D$2=2025,$E26,$E36)))*100)</f>
        <v>34.280275336408138</v>
      </c>
      <c r="S30" s="432">
        <f>R30/Q30-1</f>
        <v>0</v>
      </c>
      <c r="U30" s="108"/>
      <c r="V30" s="108"/>
      <c r="W30" s="110"/>
      <c r="Y30" s="53" t="s">
        <v>341</v>
      </c>
      <c r="Z30" s="53"/>
      <c r="AA30" s="53"/>
      <c r="AB30" s="53"/>
      <c r="AC30" s="53"/>
    </row>
    <row r="31" spans="2:29" ht="15.75">
      <c r="B31" s="2"/>
      <c r="C31" s="2"/>
      <c r="E31" s="20"/>
      <c r="R31" s="1"/>
      <c r="S31" s="1"/>
      <c r="T31" s="104"/>
      <c r="U31" s="105"/>
      <c r="V31" s="104"/>
      <c r="W31" s="106"/>
      <c r="Y31" s="53" t="s">
        <v>149</v>
      </c>
      <c r="Z31" s="423">
        <f>'SAR and RAR'!AC26</f>
        <v>35.887999999999998</v>
      </c>
      <c r="AA31" s="423">
        <f>'SAR and RAR'!AD26</f>
        <v>37.777000000000001</v>
      </c>
      <c r="AB31" s="423">
        <f>'SAR and RAR'!AE26</f>
        <v>39.652999999999999</v>
      </c>
      <c r="AC31" s="423">
        <f>'SAR and RAR'!AF26</f>
        <v>41.541999999999994</v>
      </c>
    </row>
    <row r="32" spans="2:29" ht="15.75">
      <c r="R32" s="1"/>
      <c r="S32" s="1"/>
      <c r="T32" s="104"/>
      <c r="U32" s="105"/>
      <c r="V32" s="104"/>
      <c r="W32" s="110"/>
      <c r="X32" s="110"/>
      <c r="Y32" s="53" t="s">
        <v>165</v>
      </c>
      <c r="Z32" s="423">
        <f>'SAR and RAR'!AC27</f>
        <v>34.025999999999996</v>
      </c>
      <c r="AA32" s="423">
        <f>'SAR and RAR'!AD27</f>
        <v>35.430999999999997</v>
      </c>
      <c r="AB32" s="423">
        <f>'SAR and RAR'!AE27</f>
        <v>35.373999999999995</v>
      </c>
      <c r="AC32" s="423">
        <f>'SAR and RAR'!AF27</f>
        <v>36.778999999999996</v>
      </c>
    </row>
    <row r="33" spans="2:25" ht="15.75">
      <c r="C33" s="597" t="s">
        <v>530</v>
      </c>
      <c r="D33" s="598"/>
      <c r="E33" s="599"/>
      <c r="F33" s="286"/>
      <c r="G33" s="286"/>
      <c r="H33" s="286"/>
      <c r="I33" s="20"/>
      <c r="J33" s="20"/>
      <c r="K33" s="20"/>
      <c r="L33" s="1"/>
      <c r="M33" s="1"/>
      <c r="N33" s="1"/>
      <c r="O33" s="1"/>
      <c r="P33" s="1"/>
      <c r="Q33" s="1"/>
      <c r="R33" s="1"/>
      <c r="S33" s="1"/>
      <c r="T33" s="104"/>
      <c r="U33" s="105"/>
      <c r="V33" s="104"/>
      <c r="W33" s="110"/>
      <c r="X33" s="110"/>
      <c r="Y33" s="106"/>
    </row>
    <row r="34" spans="2:25" ht="31.5">
      <c r="B34" s="1"/>
      <c r="C34" s="84" t="s">
        <v>339</v>
      </c>
      <c r="D34" s="84" t="s">
        <v>340</v>
      </c>
      <c r="E34" s="84" t="s">
        <v>341</v>
      </c>
      <c r="F34" s="84"/>
      <c r="G34" s="84"/>
      <c r="H34" s="311"/>
      <c r="I34" s="20"/>
      <c r="J34" s="20"/>
      <c r="K34" s="20"/>
      <c r="L34" s="1"/>
      <c r="M34" s="1"/>
      <c r="N34" s="1"/>
      <c r="O34" s="1"/>
      <c r="P34" s="1"/>
      <c r="Q34" s="431"/>
      <c r="R34" s="1"/>
      <c r="S34" s="1"/>
      <c r="T34" s="104"/>
      <c r="U34" s="105"/>
      <c r="V34" s="104"/>
      <c r="W34" s="106"/>
      <c r="X34" s="110"/>
      <c r="Y34" s="106"/>
    </row>
    <row r="35" spans="2:25" ht="15.75">
      <c r="B35" s="107" t="s">
        <v>149</v>
      </c>
      <c r="C35" s="305">
        <f>'SAR and RAR'!C38</f>
        <v>5529244.7570373612</v>
      </c>
      <c r="D35" s="305">
        <f>'SAR and RAR'!D38</f>
        <v>7311830.3174004517</v>
      </c>
      <c r="E35" s="4">
        <f>'SAR and RAR'!E38</f>
        <v>1313398.550759305</v>
      </c>
      <c r="F35" s="3"/>
      <c r="G35" s="4"/>
      <c r="H35" s="5"/>
      <c r="I35" s="20"/>
      <c r="J35" s="20"/>
      <c r="K35" s="20"/>
      <c r="L35" s="1"/>
      <c r="M35" s="1"/>
      <c r="N35" s="1"/>
      <c r="O35" s="1"/>
      <c r="P35" s="1"/>
      <c r="Q35" s="1"/>
      <c r="R35" s="1"/>
      <c r="S35" s="1"/>
      <c r="T35" s="104"/>
      <c r="U35" s="105"/>
      <c r="V35" s="105"/>
      <c r="W35" s="103"/>
      <c r="X35" s="110"/>
      <c r="Y35" s="106"/>
    </row>
    <row r="36" spans="2:25" ht="15.75">
      <c r="B36" s="107" t="s">
        <v>165</v>
      </c>
      <c r="C36" s="305">
        <f>'SAR and RAR'!C39</f>
        <v>17431428.835748378</v>
      </c>
      <c r="D36" s="305">
        <f>'SAR and RAR'!D39</f>
        <v>19476455.217814039</v>
      </c>
      <c r="E36" s="4">
        <f>'SAR and RAR'!E39</f>
        <v>3218717.0926473769</v>
      </c>
      <c r="F36" s="3"/>
      <c r="G36" s="4"/>
      <c r="H36" s="5"/>
      <c r="I36" s="20"/>
      <c r="J36" s="20"/>
      <c r="K36" s="20"/>
      <c r="L36" s="1"/>
      <c r="M36" s="1"/>
      <c r="N36" s="1"/>
      <c r="O36" s="1"/>
      <c r="P36" s="1"/>
      <c r="Q36" s="1"/>
      <c r="R36" s="1"/>
      <c r="S36" s="1"/>
      <c r="T36" s="104"/>
      <c r="U36" s="105"/>
      <c r="V36" s="104"/>
      <c r="W36" s="106"/>
      <c r="X36" s="110"/>
      <c r="Y36" s="110"/>
    </row>
    <row r="37" spans="2:25" ht="15.75">
      <c r="E37" s="1"/>
      <c r="F37" s="3"/>
      <c r="G37" s="4"/>
      <c r="H37" s="5"/>
      <c r="I37" s="20"/>
      <c r="J37" s="20"/>
      <c r="K37" s="20"/>
      <c r="L37" s="1"/>
      <c r="M37" s="1"/>
      <c r="N37" s="1"/>
      <c r="O37" s="1"/>
      <c r="P37" s="1"/>
      <c r="Q37" s="1"/>
      <c r="R37" s="1"/>
      <c r="S37" s="1"/>
      <c r="T37" s="104"/>
      <c r="U37" s="105"/>
      <c r="V37" s="105"/>
      <c r="W37" s="105"/>
      <c r="X37" s="105"/>
      <c r="Y37" s="106"/>
    </row>
    <row r="38" spans="2:25" ht="15.75">
      <c r="E38" s="1"/>
      <c r="F38" s="3"/>
      <c r="G38" s="4"/>
      <c r="H38" s="5"/>
      <c r="I38" s="20"/>
      <c r="J38" s="20"/>
      <c r="K38" s="20"/>
      <c r="L38" s="1"/>
      <c r="M38" s="1"/>
      <c r="N38" s="1"/>
      <c r="O38" s="1"/>
      <c r="P38" s="1"/>
      <c r="Q38" s="1"/>
      <c r="R38" s="1"/>
      <c r="S38" s="1"/>
      <c r="T38" s="104"/>
      <c r="U38" s="585"/>
      <c r="V38" s="585"/>
      <c r="W38" s="105"/>
      <c r="X38" s="110"/>
      <c r="Y38" s="105"/>
    </row>
    <row r="39" spans="2:25" ht="15.75">
      <c r="E39" s="1"/>
      <c r="F39" s="3"/>
      <c r="G39" s="4"/>
      <c r="H39" s="5"/>
      <c r="I39" s="20"/>
      <c r="J39" s="20"/>
      <c r="K39" s="20"/>
      <c r="L39" s="1"/>
      <c r="M39" s="1"/>
      <c r="N39" s="1"/>
      <c r="O39" s="1"/>
      <c r="P39" s="1"/>
      <c r="Q39" s="1"/>
      <c r="R39" s="1"/>
      <c r="S39" s="1"/>
      <c r="T39" s="104"/>
      <c r="U39" s="105"/>
      <c r="V39" s="104"/>
      <c r="W39" s="110"/>
      <c r="X39" s="106"/>
      <c r="Y39" s="106"/>
    </row>
    <row r="40" spans="2:25" ht="15.75">
      <c r="B40" s="2"/>
      <c r="C40" s="2"/>
      <c r="E40" s="1"/>
      <c r="F40" s="3"/>
      <c r="G40" s="4"/>
      <c r="H40" s="5"/>
      <c r="I40" s="20"/>
      <c r="J40" s="20"/>
      <c r="K40" s="20"/>
      <c r="L40" s="1"/>
      <c r="M40" s="1"/>
      <c r="N40" s="1"/>
      <c r="O40" s="1"/>
      <c r="P40" s="1"/>
      <c r="Q40" s="1"/>
      <c r="R40" s="1"/>
      <c r="S40" s="1"/>
      <c r="T40" s="104"/>
      <c r="U40" s="105"/>
      <c r="V40" s="104"/>
      <c r="W40" s="110"/>
      <c r="X40" s="110"/>
      <c r="Y40" s="106"/>
    </row>
    <row r="41" spans="2:25" ht="15.75">
      <c r="B41" s="2"/>
      <c r="C41" s="2"/>
      <c r="E41" s="1"/>
      <c r="F41" s="3"/>
      <c r="G41" s="4"/>
      <c r="H41" s="5"/>
      <c r="I41" s="20"/>
      <c r="J41" s="20"/>
      <c r="K41" s="20"/>
      <c r="L41" s="1"/>
      <c r="M41" s="1"/>
      <c r="N41" s="1"/>
      <c r="O41" s="1"/>
      <c r="P41" s="1"/>
      <c r="Q41" s="1"/>
      <c r="R41" s="1"/>
      <c r="S41" s="1"/>
      <c r="T41" s="104"/>
      <c r="U41" s="105"/>
      <c r="V41" s="104"/>
      <c r="W41" s="110"/>
      <c r="X41" s="110"/>
      <c r="Y41" s="110"/>
    </row>
    <row r="42" spans="2:25" ht="15.75">
      <c r="B42" s="2"/>
      <c r="C42" s="2"/>
      <c r="E42" s="1"/>
      <c r="F42" s="20"/>
      <c r="G42" s="20"/>
      <c r="H42" s="20"/>
      <c r="I42" s="20"/>
      <c r="J42" s="20"/>
      <c r="K42" s="20"/>
      <c r="L42" s="1"/>
      <c r="M42" s="1"/>
      <c r="N42" s="1"/>
      <c r="O42" s="1"/>
      <c r="P42" s="1"/>
      <c r="Q42" s="1"/>
      <c r="R42" s="1"/>
      <c r="S42" s="1"/>
      <c r="T42" s="104"/>
      <c r="U42" s="105"/>
      <c r="V42" s="104"/>
      <c r="W42" s="110"/>
      <c r="X42" s="106"/>
      <c r="Y42" s="106"/>
    </row>
    <row r="43" spans="2:25" ht="15.75">
      <c r="B43" s="2"/>
      <c r="C43" s="2"/>
      <c r="D43" s="1"/>
      <c r="E43" s="1"/>
      <c r="F43" s="20"/>
      <c r="G43" s="20"/>
      <c r="H43" s="20"/>
      <c r="I43" s="20"/>
      <c r="J43" s="20"/>
      <c r="K43" s="20"/>
      <c r="L43" s="1"/>
      <c r="M43" s="1"/>
      <c r="N43" s="1"/>
      <c r="O43" s="1"/>
      <c r="P43" s="1"/>
      <c r="Q43" s="1"/>
      <c r="R43" s="1"/>
      <c r="S43" s="1"/>
      <c r="T43" s="104"/>
      <c r="U43" s="105"/>
      <c r="V43" s="104"/>
      <c r="W43" s="110"/>
      <c r="X43" s="103"/>
      <c r="Y43" s="106"/>
    </row>
    <row r="44" spans="2:25" ht="15.75">
      <c r="B44" s="2"/>
      <c r="C44" s="2"/>
      <c r="D44" s="1"/>
      <c r="E44" s="1"/>
      <c r="F44" s="20"/>
      <c r="G44" s="20"/>
      <c r="H44" s="20"/>
      <c r="I44" s="20"/>
      <c r="J44" s="20"/>
      <c r="K44" s="20"/>
      <c r="L44" s="1"/>
      <c r="M44" s="1"/>
      <c r="N44" s="1"/>
      <c r="O44" s="1"/>
      <c r="P44" s="1"/>
      <c r="Q44" s="1"/>
      <c r="R44" s="1"/>
      <c r="S44" s="1"/>
      <c r="T44" s="104"/>
      <c r="U44" s="105"/>
      <c r="V44" s="104"/>
      <c r="W44" s="110"/>
      <c r="X44" s="106"/>
      <c r="Y44" s="103"/>
    </row>
    <row r="45" spans="2:25" ht="15.75">
      <c r="B45" s="2"/>
      <c r="C45" s="2"/>
      <c r="D45" s="1"/>
      <c r="E45" s="1"/>
      <c r="F45" s="20"/>
      <c r="G45" s="20"/>
      <c r="H45" s="20"/>
      <c r="I45" s="20"/>
      <c r="J45" s="20"/>
      <c r="K45" s="20"/>
      <c r="L45" s="1"/>
      <c r="M45" s="1"/>
      <c r="N45" s="1"/>
      <c r="O45" s="1"/>
      <c r="P45" s="1"/>
      <c r="Q45" s="1"/>
      <c r="R45" s="1"/>
      <c r="S45" s="1"/>
      <c r="T45" s="104"/>
      <c r="U45" s="105"/>
      <c r="V45" s="105"/>
      <c r="W45" s="103"/>
      <c r="X45" s="105"/>
      <c r="Y45" s="106"/>
    </row>
    <row r="46" spans="2:25" ht="15.75">
      <c r="B46" s="2"/>
      <c r="C46" s="2"/>
      <c r="D46" s="1"/>
      <c r="E46" s="1"/>
      <c r="F46" s="20"/>
      <c r="G46" s="20"/>
      <c r="H46" s="20"/>
      <c r="I46" s="20"/>
      <c r="J46" s="20"/>
      <c r="K46" s="20"/>
      <c r="L46" s="1"/>
      <c r="M46" s="1"/>
      <c r="N46" s="1"/>
      <c r="O46" s="1"/>
      <c r="P46" s="1"/>
      <c r="Q46" s="1"/>
      <c r="R46" s="1"/>
      <c r="S46" s="1"/>
      <c r="T46" s="104"/>
      <c r="U46" s="105"/>
      <c r="V46" s="104"/>
      <c r="W46" s="110"/>
      <c r="X46" s="105"/>
      <c r="Y46" s="105"/>
    </row>
    <row r="47" spans="2:25" ht="15.75">
      <c r="B47" s="2"/>
      <c r="C47" s="2"/>
      <c r="D47" s="1"/>
      <c r="E47" s="1"/>
      <c r="F47" s="20"/>
      <c r="G47" s="20"/>
      <c r="H47" s="20"/>
      <c r="I47" s="20"/>
      <c r="J47" s="20"/>
      <c r="K47" s="20"/>
      <c r="L47" s="1"/>
      <c r="M47" s="1"/>
      <c r="N47" s="1"/>
      <c r="O47" s="1"/>
      <c r="P47" s="1"/>
      <c r="Q47" s="1"/>
      <c r="R47" s="1"/>
      <c r="S47" s="1"/>
      <c r="T47" s="104"/>
      <c r="U47" s="105"/>
      <c r="V47" s="105"/>
      <c r="W47" s="105"/>
      <c r="X47" s="106"/>
      <c r="Y47" s="105"/>
    </row>
    <row r="48" spans="2:25" ht="15.75">
      <c r="B48" s="2"/>
      <c r="C48" s="2"/>
      <c r="D48" s="1"/>
      <c r="E48" s="1"/>
      <c r="F48" s="20"/>
      <c r="G48" s="20"/>
      <c r="H48" s="20"/>
      <c r="I48" s="20"/>
      <c r="J48" s="20"/>
      <c r="K48" s="20"/>
      <c r="L48" s="1"/>
      <c r="M48" s="1"/>
      <c r="N48" s="1"/>
      <c r="O48" s="1"/>
      <c r="P48" s="1"/>
      <c r="Q48" s="1"/>
      <c r="R48" s="1"/>
      <c r="S48" s="1"/>
      <c r="T48" s="104"/>
      <c r="U48" s="585"/>
      <c r="V48" s="585"/>
      <c r="W48" s="105"/>
      <c r="X48" s="106"/>
      <c r="Y48" s="106"/>
    </row>
    <row r="49" spans="2:25" ht="15.75">
      <c r="B49" s="2"/>
      <c r="C49" s="2"/>
      <c r="D49" s="1"/>
      <c r="E49" s="1"/>
      <c r="F49" s="20"/>
      <c r="G49" s="20"/>
      <c r="H49" s="20"/>
      <c r="I49" s="20"/>
      <c r="J49" s="20"/>
      <c r="K49" s="20"/>
      <c r="L49" s="1"/>
      <c r="M49" s="1"/>
      <c r="N49" s="1"/>
      <c r="O49" s="1"/>
      <c r="P49" s="1"/>
      <c r="Q49" s="1"/>
      <c r="R49" s="1"/>
      <c r="S49" s="1"/>
      <c r="T49" s="104"/>
      <c r="U49" s="105"/>
      <c r="V49" s="104"/>
      <c r="W49" s="110"/>
      <c r="X49" s="106"/>
      <c r="Y49" s="106"/>
    </row>
    <row r="50" spans="2:25" ht="15.75">
      <c r="B50" s="2"/>
      <c r="C50" s="2"/>
      <c r="D50" s="1"/>
      <c r="E50" s="1"/>
      <c r="F50" s="20"/>
      <c r="G50" s="20"/>
      <c r="H50" s="20"/>
      <c r="I50" s="20"/>
      <c r="J50" s="20"/>
      <c r="K50" s="20"/>
      <c r="L50" s="1"/>
      <c r="M50" s="1"/>
      <c r="N50" s="1"/>
      <c r="O50" s="1"/>
      <c r="P50" s="1"/>
      <c r="Q50" s="1"/>
      <c r="R50" s="1"/>
      <c r="S50" s="1"/>
      <c r="T50" s="104"/>
      <c r="U50" s="105"/>
      <c r="V50" s="104"/>
      <c r="W50" s="110"/>
      <c r="X50" s="110"/>
      <c r="Y50" s="106"/>
    </row>
    <row r="51" spans="2:25" ht="15.75">
      <c r="B51" s="2"/>
      <c r="C51" s="2"/>
      <c r="D51" s="1"/>
      <c r="E51" s="1"/>
      <c r="F51" s="20"/>
      <c r="G51" s="20"/>
      <c r="H51" s="20"/>
      <c r="I51" s="20"/>
      <c r="J51" s="20"/>
      <c r="K51" s="20"/>
      <c r="L51" s="1"/>
      <c r="M51" s="1"/>
      <c r="N51" s="1"/>
      <c r="O51" s="1"/>
      <c r="P51" s="1"/>
      <c r="Q51" s="1"/>
      <c r="R51" s="1"/>
      <c r="S51" s="1"/>
      <c r="T51" s="104"/>
      <c r="U51" s="105"/>
      <c r="V51" s="105"/>
      <c r="W51" s="103"/>
      <c r="X51" s="110"/>
      <c r="Y51" s="106"/>
    </row>
    <row r="52" spans="2:25" ht="15.75">
      <c r="B52" s="2"/>
      <c r="C52" s="2"/>
      <c r="D52" s="1"/>
      <c r="E52" s="1"/>
      <c r="F52" s="20"/>
      <c r="G52" s="20"/>
      <c r="H52" s="20"/>
      <c r="I52" s="20"/>
      <c r="J52" s="20"/>
      <c r="K52" s="20"/>
      <c r="L52" s="1"/>
      <c r="M52" s="1"/>
      <c r="N52" s="1"/>
      <c r="O52" s="1"/>
      <c r="P52" s="1"/>
      <c r="Q52" s="1"/>
      <c r="R52" s="1"/>
      <c r="S52" s="1"/>
      <c r="T52" s="104"/>
      <c r="U52" s="105"/>
      <c r="V52" s="104"/>
      <c r="W52" s="110"/>
      <c r="X52" s="106"/>
      <c r="Y52" s="106"/>
    </row>
    <row r="53" spans="2:25" ht="15.75">
      <c r="B53" s="2"/>
      <c r="C53" s="2"/>
      <c r="D53" s="1"/>
      <c r="E53" s="1"/>
      <c r="F53" s="20"/>
      <c r="G53" s="20"/>
      <c r="H53" s="20"/>
      <c r="I53" s="20"/>
      <c r="J53" s="20"/>
      <c r="K53" s="20"/>
      <c r="L53" s="1"/>
      <c r="M53" s="1"/>
      <c r="N53" s="1"/>
      <c r="O53" s="1"/>
      <c r="P53" s="1"/>
      <c r="Q53" s="1"/>
      <c r="R53" s="1"/>
      <c r="S53" s="1"/>
      <c r="T53" s="104"/>
      <c r="U53" s="105"/>
      <c r="V53" s="105"/>
      <c r="W53" s="105"/>
      <c r="X53" s="103"/>
      <c r="Y53" s="106"/>
    </row>
    <row r="54" spans="2:25" ht="15.75">
      <c r="B54" s="2"/>
      <c r="C54" s="2"/>
      <c r="D54" s="1"/>
      <c r="E54" s="1"/>
      <c r="F54" s="20"/>
      <c r="G54" s="20"/>
      <c r="H54" s="20"/>
      <c r="I54" s="20"/>
      <c r="J54" s="20"/>
      <c r="K54" s="20"/>
      <c r="L54" s="1"/>
      <c r="M54" s="1"/>
      <c r="N54" s="1"/>
      <c r="O54" s="1"/>
      <c r="P54" s="1"/>
      <c r="Q54" s="1"/>
      <c r="R54" s="1"/>
      <c r="S54" s="1"/>
      <c r="T54" s="104"/>
      <c r="U54" s="585"/>
      <c r="V54" s="585"/>
      <c r="W54" s="105"/>
      <c r="X54" s="106"/>
      <c r="Y54" s="103"/>
    </row>
    <row r="55" spans="2:25" ht="15.75">
      <c r="B55" s="2"/>
      <c r="C55" s="2"/>
      <c r="D55" s="1"/>
      <c r="E55" s="1"/>
      <c r="F55" s="20"/>
      <c r="G55" s="20"/>
      <c r="H55" s="20"/>
      <c r="I55" s="20"/>
      <c r="J55" s="20"/>
      <c r="K55" s="20"/>
      <c r="L55" s="1"/>
      <c r="M55" s="1"/>
      <c r="N55" s="1"/>
      <c r="O55" s="1"/>
      <c r="P55" s="1"/>
      <c r="Q55" s="1"/>
      <c r="R55" s="1"/>
      <c r="S55" s="1"/>
      <c r="T55" s="104"/>
      <c r="U55" s="105"/>
      <c r="V55" s="104"/>
      <c r="W55" s="110"/>
      <c r="X55" s="105"/>
      <c r="Y55" s="106"/>
    </row>
    <row r="56" spans="2:25" ht="15.75">
      <c r="B56" s="1"/>
      <c r="C56" s="1"/>
      <c r="D56" s="1"/>
      <c r="E56" s="1"/>
      <c r="F56" s="20"/>
      <c r="G56" s="20"/>
      <c r="H56" s="20"/>
      <c r="I56" s="20"/>
      <c r="J56" s="20"/>
      <c r="K56" s="20"/>
      <c r="L56" s="1"/>
      <c r="M56" s="1"/>
      <c r="N56" s="1"/>
      <c r="O56" s="1"/>
      <c r="P56" s="1"/>
      <c r="Q56" s="1"/>
      <c r="R56" s="1"/>
      <c r="S56" s="1"/>
      <c r="T56" s="104"/>
      <c r="U56" s="105"/>
      <c r="V56" s="104"/>
      <c r="W56" s="110"/>
      <c r="X56" s="105"/>
      <c r="Y56" s="105"/>
    </row>
    <row r="57" spans="2:25" ht="15.75">
      <c r="B57" s="1"/>
      <c r="C57" s="1"/>
      <c r="D57" s="1"/>
      <c r="E57" s="1"/>
      <c r="F57" s="20"/>
      <c r="G57" s="20"/>
      <c r="H57" s="20"/>
      <c r="I57" s="20"/>
      <c r="J57" s="20"/>
      <c r="K57" s="20"/>
      <c r="L57" s="1"/>
      <c r="M57" s="1"/>
      <c r="N57" s="1"/>
      <c r="O57" s="1"/>
      <c r="P57" s="1"/>
      <c r="Q57" s="1"/>
      <c r="R57" s="1"/>
      <c r="S57" s="1"/>
      <c r="T57" s="104"/>
      <c r="U57" s="105"/>
      <c r="V57" s="104"/>
      <c r="W57" s="106"/>
      <c r="X57" s="110"/>
      <c r="Y57" s="105"/>
    </row>
    <row r="58" spans="2:25" ht="15.75">
      <c r="B58" s="1"/>
      <c r="C58" s="1"/>
      <c r="D58" s="1"/>
      <c r="E58" s="1"/>
      <c r="F58" s="20"/>
      <c r="G58" s="20"/>
      <c r="H58" s="20"/>
      <c r="I58" s="20"/>
      <c r="J58" s="20"/>
      <c r="K58" s="20"/>
      <c r="L58" s="1"/>
      <c r="M58" s="1"/>
      <c r="N58" s="1"/>
      <c r="O58" s="1"/>
      <c r="P58" s="1"/>
      <c r="Q58" s="1"/>
      <c r="R58" s="1"/>
      <c r="S58" s="1"/>
      <c r="T58" s="104"/>
      <c r="U58" s="105"/>
      <c r="V58" s="104"/>
      <c r="W58" s="110"/>
      <c r="X58" s="110"/>
      <c r="Y58" s="106"/>
    </row>
    <row r="59" spans="2:25" ht="15.75">
      <c r="B59" s="1"/>
      <c r="C59" s="1"/>
      <c r="D59" s="1"/>
      <c r="E59" s="1"/>
      <c r="F59" s="20"/>
      <c r="G59" s="20"/>
      <c r="H59" s="20"/>
      <c r="I59" s="20"/>
      <c r="J59" s="20"/>
      <c r="K59" s="20"/>
      <c r="L59" s="1"/>
      <c r="M59" s="1"/>
      <c r="N59" s="1"/>
      <c r="O59" s="1"/>
      <c r="P59" s="1"/>
      <c r="Q59" s="1"/>
      <c r="R59" s="1"/>
      <c r="S59" s="1"/>
      <c r="T59" s="104"/>
      <c r="U59" s="105"/>
      <c r="V59" s="104"/>
      <c r="W59" s="110"/>
      <c r="X59" s="103"/>
      <c r="Y59" s="106"/>
    </row>
    <row r="60" spans="2:25" ht="15.75">
      <c r="B60" s="1"/>
      <c r="C60" s="1"/>
      <c r="D60" s="1"/>
      <c r="E60" s="1"/>
      <c r="F60" s="20"/>
      <c r="G60" s="20"/>
      <c r="H60" s="20"/>
      <c r="I60" s="20"/>
      <c r="J60" s="20"/>
      <c r="K60" s="20"/>
      <c r="L60" s="1"/>
      <c r="M60" s="1"/>
      <c r="N60" s="1"/>
      <c r="O60" s="1"/>
      <c r="P60" s="1"/>
      <c r="Q60" s="1"/>
      <c r="R60" s="1"/>
      <c r="S60" s="1"/>
      <c r="T60" s="104"/>
      <c r="U60" s="105"/>
      <c r="V60" s="105"/>
      <c r="W60" s="103"/>
      <c r="X60" s="110"/>
      <c r="Y60" s="103"/>
    </row>
    <row r="61" spans="2:25" ht="15.75">
      <c r="B61" s="1"/>
      <c r="C61" s="1"/>
      <c r="D61" s="1"/>
      <c r="E61" s="1"/>
      <c r="F61" s="20"/>
      <c r="G61" s="20"/>
      <c r="H61" s="20"/>
      <c r="I61" s="20"/>
      <c r="J61" s="20"/>
      <c r="K61" s="20"/>
      <c r="L61" s="1"/>
      <c r="M61" s="1"/>
      <c r="N61" s="1"/>
      <c r="O61" s="1"/>
      <c r="P61" s="1"/>
      <c r="Q61" s="1"/>
      <c r="R61" s="1"/>
      <c r="S61" s="1"/>
      <c r="T61" s="104"/>
      <c r="U61" s="105"/>
      <c r="V61" s="104"/>
      <c r="W61" s="106"/>
      <c r="X61" s="105"/>
      <c r="Y61" s="106"/>
    </row>
    <row r="62" spans="2:25" ht="15.75">
      <c r="B62" s="1"/>
      <c r="C62" s="1"/>
      <c r="D62" s="1"/>
      <c r="E62" s="1"/>
      <c r="F62" s="20"/>
      <c r="G62" s="20"/>
      <c r="H62" s="20"/>
      <c r="I62" s="20"/>
      <c r="J62" s="20"/>
      <c r="K62" s="20"/>
      <c r="L62" s="1"/>
      <c r="M62" s="1"/>
      <c r="N62" s="1"/>
      <c r="O62" s="1"/>
      <c r="P62" s="1"/>
      <c r="Q62" s="1"/>
      <c r="R62" s="1"/>
      <c r="S62" s="1"/>
      <c r="T62" s="104"/>
      <c r="U62" s="105"/>
      <c r="V62" s="105"/>
      <c r="W62" s="105"/>
      <c r="X62" s="105"/>
      <c r="Y62" s="105"/>
    </row>
    <row r="63" spans="2:25" ht="15.75">
      <c r="B63" s="1"/>
      <c r="C63" s="1"/>
      <c r="D63" s="1"/>
      <c r="E63" s="1"/>
      <c r="F63" s="20"/>
      <c r="G63" s="20"/>
      <c r="H63" s="20"/>
      <c r="I63" s="20"/>
      <c r="J63" s="20"/>
      <c r="K63" s="20"/>
      <c r="L63" s="1"/>
      <c r="M63" s="1"/>
      <c r="N63" s="1"/>
      <c r="O63" s="1"/>
      <c r="P63" s="1"/>
      <c r="Q63" s="1"/>
      <c r="R63" s="1"/>
      <c r="S63" s="1"/>
      <c r="T63" s="104"/>
      <c r="U63" s="105"/>
      <c r="V63" s="105"/>
      <c r="W63" s="105"/>
      <c r="X63" s="110"/>
      <c r="Y63" s="105"/>
    </row>
    <row r="64" spans="2:25" ht="15.75">
      <c r="B64" s="1"/>
      <c r="C64" s="1"/>
      <c r="D64" s="1"/>
      <c r="E64" s="1"/>
      <c r="F64" s="20"/>
      <c r="G64" s="20"/>
      <c r="H64" s="20"/>
      <c r="I64" s="20"/>
      <c r="J64" s="20"/>
      <c r="K64" s="20"/>
      <c r="L64" s="1"/>
      <c r="M64" s="1"/>
      <c r="N64" s="1"/>
      <c r="O64" s="1"/>
      <c r="P64" s="1"/>
      <c r="Q64" s="1"/>
      <c r="R64" s="1"/>
      <c r="S64" s="1"/>
      <c r="T64" s="104"/>
      <c r="U64" s="105"/>
      <c r="V64" s="104"/>
      <c r="W64" s="106"/>
      <c r="X64" s="110"/>
      <c r="Y64" s="106"/>
    </row>
    <row r="65" spans="2:25" ht="15.75">
      <c r="B65" s="1"/>
      <c r="C65" s="1"/>
      <c r="D65" s="1"/>
      <c r="E65" s="1"/>
      <c r="F65" s="20"/>
      <c r="G65" s="20"/>
      <c r="H65" s="20"/>
      <c r="I65" s="20"/>
      <c r="J65" s="20"/>
      <c r="K65" s="20"/>
      <c r="L65" s="1"/>
      <c r="M65" s="1"/>
      <c r="N65" s="1"/>
      <c r="O65" s="1"/>
      <c r="P65" s="1"/>
      <c r="Q65" s="1"/>
      <c r="R65" s="1"/>
      <c r="S65" s="1"/>
      <c r="T65" s="104"/>
      <c r="U65" s="105"/>
      <c r="V65" s="105"/>
      <c r="W65" s="103"/>
      <c r="X65" s="110"/>
      <c r="Y65" s="106"/>
    </row>
    <row r="66" spans="2:25" ht="15.75">
      <c r="B66" s="1"/>
      <c r="C66" s="1"/>
      <c r="D66" s="1"/>
      <c r="E66" s="1"/>
      <c r="F66" s="20"/>
      <c r="G66" s="20"/>
      <c r="H66" s="20"/>
      <c r="I66" s="20"/>
      <c r="J66" s="20"/>
      <c r="K66" s="20"/>
      <c r="L66" s="1"/>
      <c r="M66" s="1"/>
      <c r="N66" s="1"/>
      <c r="O66" s="1"/>
      <c r="P66" s="1"/>
      <c r="Q66" s="1"/>
      <c r="R66" s="1"/>
      <c r="S66" s="1"/>
      <c r="T66" s="104"/>
      <c r="U66" s="585"/>
      <c r="V66" s="585"/>
      <c r="W66" s="105"/>
      <c r="X66" s="110"/>
      <c r="Y66" s="106"/>
    </row>
    <row r="67" spans="2:25" ht="15.75">
      <c r="B67" s="1"/>
      <c r="C67" s="1"/>
      <c r="D67" s="1"/>
      <c r="E67" s="1"/>
      <c r="F67" s="20"/>
      <c r="G67" s="20"/>
      <c r="H67" s="20"/>
      <c r="I67" s="20"/>
      <c r="J67" s="20"/>
      <c r="K67" s="20"/>
      <c r="L67" s="1"/>
      <c r="M67" s="1"/>
      <c r="N67" s="1"/>
      <c r="O67" s="1"/>
      <c r="P67" s="1"/>
      <c r="Q67" s="1"/>
      <c r="R67" s="1"/>
      <c r="S67" s="1"/>
      <c r="T67" s="104"/>
      <c r="U67" s="105"/>
      <c r="V67" s="105"/>
      <c r="W67" s="105"/>
      <c r="X67" s="110"/>
      <c r="Y67" s="110"/>
    </row>
    <row r="68" spans="2:25" ht="15.75">
      <c r="B68" s="1"/>
      <c r="C68" s="1"/>
      <c r="D68" s="1"/>
      <c r="E68" s="1"/>
      <c r="F68" s="20"/>
      <c r="G68" s="20"/>
      <c r="H68" s="20"/>
      <c r="I68" s="20"/>
      <c r="J68" s="20"/>
      <c r="K68" s="20"/>
      <c r="L68" s="1"/>
      <c r="M68" s="1"/>
      <c r="N68" s="1"/>
      <c r="O68" s="1"/>
      <c r="P68" s="1"/>
      <c r="Q68" s="1"/>
      <c r="R68" s="1"/>
      <c r="S68" s="1"/>
      <c r="T68" s="104"/>
      <c r="U68" s="105"/>
      <c r="V68" s="104"/>
      <c r="W68" s="105"/>
      <c r="X68" s="103"/>
      <c r="Y68" s="110"/>
    </row>
    <row r="69" spans="2:25" ht="15.75">
      <c r="B69" s="1"/>
      <c r="C69" s="1"/>
      <c r="D69" s="1"/>
      <c r="E69" s="1"/>
      <c r="F69" s="20"/>
      <c r="G69" s="20"/>
      <c r="H69" s="20"/>
      <c r="I69" s="20"/>
      <c r="J69" s="20"/>
      <c r="K69" s="20"/>
      <c r="L69" s="1"/>
      <c r="M69" s="1"/>
      <c r="N69" s="1"/>
      <c r="O69" s="1"/>
      <c r="P69" s="1"/>
      <c r="Q69" s="1"/>
      <c r="R69" s="1"/>
      <c r="S69" s="1"/>
      <c r="T69" s="104"/>
      <c r="U69" s="105"/>
      <c r="V69" s="105"/>
      <c r="W69" s="103"/>
      <c r="X69" s="110"/>
      <c r="Y69" s="103"/>
    </row>
    <row r="70" spans="2:25" ht="15.75">
      <c r="B70" s="1"/>
      <c r="C70" s="1"/>
      <c r="D70" s="1"/>
      <c r="E70" s="1"/>
      <c r="F70" s="20"/>
      <c r="G70" s="20"/>
      <c r="H70" s="20"/>
      <c r="I70" s="20"/>
      <c r="J70" s="20"/>
      <c r="K70" s="20"/>
      <c r="L70" s="1"/>
      <c r="M70" s="1"/>
      <c r="N70" s="1"/>
      <c r="O70" s="1"/>
      <c r="P70" s="1"/>
      <c r="Q70" s="1"/>
      <c r="R70" s="1"/>
      <c r="S70" s="1"/>
      <c r="T70" s="104"/>
      <c r="U70" s="105"/>
      <c r="V70" s="104"/>
      <c r="W70" s="105"/>
      <c r="X70" s="105"/>
      <c r="Y70" s="106"/>
    </row>
    <row r="71" spans="2:25" ht="15.75">
      <c r="B71" s="1"/>
      <c r="C71" s="1"/>
      <c r="D71" s="1"/>
      <c r="E71" s="1"/>
      <c r="F71" s="20"/>
      <c r="G71" s="20"/>
      <c r="H71" s="20"/>
      <c r="I71" s="20"/>
      <c r="J71" s="20"/>
      <c r="K71" s="20"/>
      <c r="L71" s="1"/>
      <c r="M71" s="1"/>
      <c r="N71" s="1"/>
      <c r="O71" s="1"/>
      <c r="P71" s="1"/>
      <c r="Q71" s="1"/>
      <c r="R71" s="1"/>
      <c r="S71" s="1"/>
      <c r="T71" s="104"/>
      <c r="U71" s="105"/>
      <c r="V71" s="105"/>
      <c r="W71" s="105"/>
      <c r="X71" s="105"/>
      <c r="Y71" s="105"/>
    </row>
    <row r="72" spans="2:25" ht="15.75">
      <c r="B72" s="1"/>
      <c r="C72" s="1"/>
      <c r="D72" s="1"/>
      <c r="E72" s="1"/>
      <c r="F72" s="20"/>
      <c r="G72" s="20"/>
      <c r="H72" s="20"/>
      <c r="I72" s="20"/>
      <c r="J72" s="20"/>
      <c r="K72" s="20"/>
      <c r="L72" s="1"/>
      <c r="M72" s="1"/>
      <c r="N72" s="1"/>
      <c r="O72" s="1"/>
      <c r="P72" s="1"/>
      <c r="Q72" s="1"/>
      <c r="R72" s="1"/>
      <c r="S72" s="1"/>
      <c r="T72" s="104"/>
      <c r="U72" s="105"/>
      <c r="V72" s="105"/>
      <c r="W72" s="103"/>
      <c r="X72" s="106"/>
      <c r="Y72" s="105"/>
    </row>
    <row r="73" spans="2:25" ht="15.75">
      <c r="B73" s="1"/>
      <c r="C73" s="1"/>
      <c r="D73" s="1"/>
      <c r="E73" s="1"/>
      <c r="F73" s="20"/>
      <c r="G73" s="20"/>
      <c r="H73" s="20"/>
      <c r="I73" s="20"/>
      <c r="J73" s="20"/>
      <c r="K73" s="20"/>
      <c r="L73" s="1"/>
      <c r="M73" s="1"/>
      <c r="N73" s="1"/>
      <c r="O73" s="1"/>
      <c r="P73" s="1"/>
      <c r="Q73" s="1"/>
      <c r="R73" s="1"/>
      <c r="S73" s="1"/>
      <c r="T73" s="104"/>
      <c r="U73" s="585"/>
      <c r="V73" s="585"/>
      <c r="W73" s="106"/>
      <c r="X73" s="103"/>
      <c r="Y73" s="106"/>
    </row>
    <row r="74" spans="2:25" ht="15.75">
      <c r="B74" s="1"/>
      <c r="C74" s="1"/>
      <c r="D74" s="1"/>
      <c r="E74" s="1"/>
      <c r="F74" s="20"/>
      <c r="G74" s="20"/>
      <c r="H74" s="20"/>
      <c r="I74" s="20"/>
      <c r="J74" s="20"/>
      <c r="K74" s="20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05"/>
      <c r="Y74" s="103"/>
    </row>
    <row r="75" spans="2:25" ht="15.75">
      <c r="B75" s="1"/>
      <c r="C75" s="1"/>
      <c r="D75" s="1"/>
      <c r="E75" s="1"/>
      <c r="X75" s="105"/>
      <c r="Y75" s="105"/>
    </row>
    <row r="76" spans="2:25" ht="15.75">
      <c r="B76" s="1"/>
      <c r="C76" s="1"/>
      <c r="D76" s="1"/>
      <c r="X76" s="105"/>
      <c r="Y76" s="105"/>
    </row>
    <row r="77" spans="2:25" ht="15.75">
      <c r="B77" s="1"/>
      <c r="C77" s="1"/>
      <c r="D77" s="1"/>
      <c r="X77" s="103"/>
      <c r="Y77" s="105"/>
    </row>
    <row r="78" spans="2:25" ht="15.75">
      <c r="B78" s="1"/>
      <c r="C78" s="1"/>
      <c r="D78" s="1"/>
      <c r="X78" s="105"/>
      <c r="Y78" s="103"/>
    </row>
    <row r="79" spans="2:25" ht="15.75">
      <c r="B79" s="1"/>
      <c r="C79" s="1"/>
      <c r="D79" s="1"/>
      <c r="X79" s="105"/>
      <c r="Y79" s="105"/>
    </row>
    <row r="80" spans="2:25" ht="15.75">
      <c r="B80" s="1"/>
      <c r="C80" s="1"/>
      <c r="D80" s="1"/>
      <c r="X80" s="103"/>
      <c r="Y80" s="105"/>
    </row>
    <row r="81" spans="2:25" ht="15.75">
      <c r="B81" s="1"/>
      <c r="C81" s="1"/>
      <c r="D81" s="1"/>
      <c r="X81" s="106"/>
      <c r="Y81" s="103"/>
    </row>
    <row r="82" spans="2:25" ht="15.75">
      <c r="B82" s="1"/>
      <c r="C82" s="1"/>
      <c r="D82" s="1"/>
      <c r="X82" s="1"/>
      <c r="Y82" s="106"/>
    </row>
    <row r="83" spans="2:25" ht="15.75">
      <c r="B83" s="1"/>
      <c r="C83" s="1"/>
      <c r="D83" s="1"/>
      <c r="Y83" s="1"/>
    </row>
    <row r="84" spans="2:25" ht="15.75">
      <c r="B84" s="1"/>
      <c r="C84" s="1"/>
      <c r="D84" s="1"/>
    </row>
  </sheetData>
  <mergeCells count="18">
    <mergeCell ref="W18:X18"/>
    <mergeCell ref="U17:V17"/>
    <mergeCell ref="W17:X17"/>
    <mergeCell ref="G18:T18"/>
    <mergeCell ref="G8:T8"/>
    <mergeCell ref="G4:T4"/>
    <mergeCell ref="C23:E23"/>
    <mergeCell ref="C33:E33"/>
    <mergeCell ref="U66:V66"/>
    <mergeCell ref="U18:V18"/>
    <mergeCell ref="F27:I27"/>
    <mergeCell ref="Z29:AA29"/>
    <mergeCell ref="AB29:AC29"/>
    <mergeCell ref="U73:V73"/>
    <mergeCell ref="P27:T27"/>
    <mergeCell ref="U38:V38"/>
    <mergeCell ref="U48:V48"/>
    <mergeCell ref="U54:V5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4B8127-2810-44C9-93B5-DC983F08148F}">
  <sheetPr codeName="Sheet10">
    <tabColor rgb="FF92D050"/>
  </sheetPr>
  <dimension ref="A1:AE97"/>
  <sheetViews>
    <sheetView workbookViewId="0"/>
  </sheetViews>
  <sheetFormatPr defaultColWidth="8.85546875" defaultRowHeight="15"/>
  <cols>
    <col min="1" max="1" width="7.42578125" style="6" customWidth="1"/>
    <col min="2" max="2" width="14.42578125" style="6" customWidth="1"/>
    <col min="3" max="4" width="13" style="6" customWidth="1"/>
    <col min="5" max="5" width="18" style="6" bestFit="1" customWidth="1"/>
    <col min="6" max="6" width="13.5703125" style="6" customWidth="1"/>
    <col min="7" max="7" width="15" style="6" bestFit="1" customWidth="1"/>
    <col min="8" max="8" width="14.140625" style="6" customWidth="1"/>
    <col min="9" max="10" width="15.5703125" style="6" customWidth="1"/>
    <col min="11" max="11" width="15" style="6" bestFit="1" customWidth="1"/>
    <col min="12" max="17" width="15.5703125" style="6" customWidth="1"/>
    <col min="18" max="18" width="15" style="6" customWidth="1"/>
    <col min="19" max="19" width="14" style="6" customWidth="1"/>
    <col min="20" max="20" width="15.5703125" style="6" customWidth="1"/>
    <col min="21" max="21" width="16.5703125" style="6" customWidth="1"/>
    <col min="22" max="23" width="14" style="6" customWidth="1"/>
    <col min="24" max="24" width="29.140625" style="6" bestFit="1" customWidth="1"/>
    <col min="25" max="25" width="14.85546875" style="6" bestFit="1" customWidth="1"/>
    <col min="26" max="26" width="12.85546875" style="6" customWidth="1"/>
    <col min="27" max="27" width="14.7109375" style="6" customWidth="1"/>
    <col min="28" max="28" width="8.85546875" style="6"/>
    <col min="29" max="31" width="16.28515625" style="6" customWidth="1"/>
    <col min="32" max="16384" width="8.85546875" style="6"/>
  </cols>
  <sheetData>
    <row r="1" spans="1:31" s="172" customFormat="1" ht="25.5" customHeight="1">
      <c r="A1" s="399"/>
      <c r="B1" s="399"/>
      <c r="C1" s="399"/>
      <c r="D1" s="399"/>
      <c r="E1" s="399"/>
      <c r="F1" s="399"/>
      <c r="G1" s="399"/>
      <c r="H1" s="399"/>
      <c r="I1" s="399"/>
      <c r="J1" s="399"/>
      <c r="K1" s="399"/>
      <c r="L1" s="399"/>
      <c r="M1" s="399"/>
      <c r="N1" s="399"/>
      <c r="O1" s="399"/>
      <c r="P1" s="399"/>
      <c r="Q1" s="399"/>
      <c r="R1" s="399"/>
      <c r="S1" s="399"/>
      <c r="T1" s="399"/>
      <c r="U1" s="399"/>
      <c r="V1" s="399"/>
      <c r="W1" s="399"/>
      <c r="X1" s="399"/>
      <c r="Y1" s="399"/>
      <c r="Z1" s="399"/>
      <c r="AA1" s="399"/>
    </row>
    <row r="2" spans="1:31">
      <c r="A2" s="88"/>
      <c r="B2" s="609"/>
      <c r="C2" s="609"/>
      <c r="D2" s="609"/>
      <c r="F2" s="88"/>
    </row>
    <row r="3" spans="1:31">
      <c r="E3" s="610" t="s">
        <v>212</v>
      </c>
      <c r="F3" s="610"/>
      <c r="G3" s="610"/>
      <c r="H3" s="610"/>
      <c r="I3" s="610"/>
      <c r="J3" s="255"/>
      <c r="K3" s="255"/>
      <c r="M3" s="111"/>
      <c r="N3" s="111"/>
      <c r="O3" s="111"/>
      <c r="P3" s="610" t="s">
        <v>213</v>
      </c>
      <c r="Q3" s="610"/>
      <c r="R3" s="610"/>
      <c r="S3" s="610"/>
      <c r="T3" s="610"/>
      <c r="U3" s="255"/>
      <c r="V3" s="255"/>
    </row>
    <row r="4" spans="1:31" ht="15.75" customHeight="1">
      <c r="D4" s="1"/>
      <c r="E4" s="149">
        <f>'Res Bill Impact'!E4</f>
        <v>2025</v>
      </c>
      <c r="F4" s="179">
        <f>'Res Bill Impact'!F4</f>
        <v>45809</v>
      </c>
      <c r="G4" s="179">
        <f>'Res Bill Impact'!G4</f>
        <v>45809</v>
      </c>
      <c r="H4" s="112" t="s">
        <v>178</v>
      </c>
      <c r="I4" s="112" t="s">
        <v>178</v>
      </c>
      <c r="J4" s="112"/>
      <c r="K4" s="112"/>
      <c r="L4" s="20"/>
      <c r="O4" s="1"/>
      <c r="P4" s="149">
        <f>'Res Bill Impact'!P4</f>
        <v>2025</v>
      </c>
      <c r="Q4" s="179">
        <f>'Res Bill Impact'!Q4</f>
        <v>45809</v>
      </c>
      <c r="R4" s="179">
        <f>'Res Bill Impact'!R4</f>
        <v>45809</v>
      </c>
      <c r="S4" s="112" t="s">
        <v>178</v>
      </c>
      <c r="T4" s="112" t="s">
        <v>178</v>
      </c>
      <c r="U4" s="112"/>
      <c r="V4" s="112"/>
    </row>
    <row r="5" spans="1:31" ht="30.75" customHeight="1">
      <c r="D5" s="1"/>
      <c r="E5" s="112" t="s">
        <v>130</v>
      </c>
      <c r="F5" s="112" t="s">
        <v>179</v>
      </c>
      <c r="G5" s="112" t="s">
        <v>180</v>
      </c>
      <c r="H5" s="112" t="s">
        <v>179</v>
      </c>
      <c r="I5" s="112" t="s">
        <v>180</v>
      </c>
      <c r="J5" s="112"/>
      <c r="K5" s="112"/>
      <c r="L5" s="84"/>
      <c r="M5" s="113"/>
      <c r="N5" s="113"/>
      <c r="O5" s="84"/>
      <c r="P5" s="112" t="s">
        <v>130</v>
      </c>
      <c r="Q5" s="112" t="s">
        <v>179</v>
      </c>
      <c r="R5" s="112" t="s">
        <v>180</v>
      </c>
      <c r="S5" s="112" t="s">
        <v>179</v>
      </c>
      <c r="T5" s="112" t="s">
        <v>180</v>
      </c>
      <c r="U5" s="112"/>
      <c r="V5" s="112"/>
      <c r="AD5" s="48"/>
      <c r="AE5" s="48"/>
    </row>
    <row r="6" spans="1:31" ht="42" customHeight="1">
      <c r="B6" s="114"/>
      <c r="D6" s="114"/>
      <c r="E6" s="1"/>
      <c r="F6" s="1"/>
      <c r="G6" s="1"/>
      <c r="J6" s="20"/>
      <c r="K6" s="20"/>
      <c r="L6" s="20"/>
      <c r="O6" s="114"/>
      <c r="P6" s="1"/>
      <c r="Q6" s="1"/>
      <c r="R6" s="1"/>
      <c r="U6" s="20"/>
      <c r="V6" s="20"/>
      <c r="Y6" s="274" t="s">
        <v>113</v>
      </c>
      <c r="Z6" s="274" t="s">
        <v>329</v>
      </c>
      <c r="AA6" s="274" t="s">
        <v>3</v>
      </c>
      <c r="AC6" s="113"/>
      <c r="AD6" s="113"/>
      <c r="AE6" s="113"/>
    </row>
    <row r="7" spans="1:31" ht="15.75">
      <c r="D7" s="115" t="s">
        <v>185</v>
      </c>
      <c r="E7" s="253">
        <f>'Res Bill Impact'!E7</f>
        <v>91334373.98568216</v>
      </c>
      <c r="F7" s="116">
        <f>'Res Bill Impact'!F7</f>
        <v>0.42515831115732605</v>
      </c>
      <c r="G7" s="117">
        <f t="shared" ref="G7:G12" si="0">F7*E7</f>
        <v>38831568.194364242</v>
      </c>
      <c r="H7" s="174">
        <f>F7+(F7*$AD$12)</f>
        <v>0.42515831115732605</v>
      </c>
      <c r="I7" s="117">
        <f t="shared" ref="I7:I12" si="1">E7*H7</f>
        <v>38831568.194364242</v>
      </c>
      <c r="J7" s="174"/>
      <c r="K7" s="279"/>
      <c r="L7" s="118"/>
      <c r="O7" s="115" t="s">
        <v>185</v>
      </c>
      <c r="P7" s="253">
        <f>'Res Bill Impact'!P7</f>
        <v>67894669.90258716</v>
      </c>
      <c r="Q7" s="116">
        <f>'Res Bill Impact'!Q7</f>
        <v>0.26449</v>
      </c>
      <c r="R7" s="117">
        <f>'Res Bill Impact'!R7</f>
        <v>17957461.242535278</v>
      </c>
      <c r="S7" s="174">
        <f t="shared" ref="S7:S12" si="2">H7*(1+(Q7/F7-1))</f>
        <v>0.26449</v>
      </c>
      <c r="T7" s="117">
        <f t="shared" ref="T7:T12" si="3">P7*S7</f>
        <v>17957461.242535278</v>
      </c>
      <c r="U7" s="174"/>
      <c r="V7" s="279"/>
      <c r="W7" s="118"/>
      <c r="X7" s="6" t="s">
        <v>186</v>
      </c>
      <c r="AC7" s="313"/>
      <c r="AD7" s="285"/>
      <c r="AE7" s="285"/>
    </row>
    <row r="8" spans="1:31" ht="15.75">
      <c r="D8" s="119" t="s">
        <v>187</v>
      </c>
      <c r="E8" s="253">
        <f>'Res Bill Impact'!E8</f>
        <v>141884586.52569643</v>
      </c>
      <c r="F8" s="116">
        <f>'Res Bill Impact'!F8</f>
        <v>0.42515831115732605</v>
      </c>
      <c r="G8" s="117">
        <f t="shared" si="0"/>
        <v>60323411.186520591</v>
      </c>
      <c r="H8" s="174">
        <f>H7</f>
        <v>0.42515831115732605</v>
      </c>
      <c r="I8" s="117">
        <f t="shared" si="1"/>
        <v>60323411.186520591</v>
      </c>
      <c r="J8" s="174"/>
      <c r="K8" s="279"/>
      <c r="L8" s="118"/>
      <c r="O8" s="119" t="s">
        <v>187</v>
      </c>
      <c r="P8" s="253">
        <f>'Res Bill Impact'!P8</f>
        <v>103335801.68831357</v>
      </c>
      <c r="Q8" s="116">
        <f>'Res Bill Impact'!Q8</f>
        <v>0.26449</v>
      </c>
      <c r="R8" s="117">
        <f>'Res Bill Impact'!R8</f>
        <v>27331286.188542057</v>
      </c>
      <c r="S8" s="174">
        <f t="shared" si="2"/>
        <v>0.26449</v>
      </c>
      <c r="T8" s="117">
        <f t="shared" si="3"/>
        <v>27331286.188542057</v>
      </c>
      <c r="U8" s="174"/>
      <c r="V8" s="279"/>
      <c r="W8" s="118"/>
      <c r="X8" s="6" t="s">
        <v>188</v>
      </c>
      <c r="Y8" s="120">
        <f>'Res Bill Impact'!Y8</f>
        <v>1844593982</v>
      </c>
      <c r="Z8" s="120">
        <f>'Res Bill Impact'!Z8</f>
        <v>1605526970</v>
      </c>
      <c r="AA8" s="120">
        <f>'Res Bill Impact'!AA8</f>
        <v>239067012</v>
      </c>
    </row>
    <row r="9" spans="1:31" ht="15.75">
      <c r="D9" s="115" t="s">
        <v>214</v>
      </c>
      <c r="E9" s="253">
        <f>'Res Bill Impact'!E9</f>
        <v>97621050.269968837</v>
      </c>
      <c r="F9" s="116">
        <f>'Res Bill Impact'!F9</f>
        <v>0.53532716454975682</v>
      </c>
      <c r="G9" s="117">
        <f t="shared" si="0"/>
        <v>52259200.041391693</v>
      </c>
      <c r="H9" s="174">
        <f>F9/F$7*H$7</f>
        <v>0.53532716454975682</v>
      </c>
      <c r="I9" s="117">
        <f t="shared" si="1"/>
        <v>52259200.041391693</v>
      </c>
      <c r="J9" s="174"/>
      <c r="K9" s="279"/>
      <c r="L9" s="118"/>
      <c r="O9" s="115" t="s">
        <v>189</v>
      </c>
      <c r="P9" s="253">
        <f>'Res Bill Impact'!P9</f>
        <v>45483203.515582025</v>
      </c>
      <c r="Q9" s="116">
        <f>'Res Bill Impact'!Q9</f>
        <v>0.33610000000000001</v>
      </c>
      <c r="R9" s="117">
        <f>'Res Bill Impact'!R9</f>
        <v>15286904.701587118</v>
      </c>
      <c r="S9" s="174">
        <f t="shared" si="2"/>
        <v>0.33610000000000001</v>
      </c>
      <c r="T9" s="117">
        <f t="shared" si="3"/>
        <v>15286904.701587118</v>
      </c>
      <c r="U9" s="174"/>
      <c r="V9" s="279"/>
      <c r="W9" s="118"/>
      <c r="X9" s="6" t="s">
        <v>267</v>
      </c>
      <c r="Y9" s="205">
        <f>('Hypothetical SAR and RAR'!V20+'Hypothetical SAR and RAR'!X20)*1000</f>
        <v>0</v>
      </c>
      <c r="Z9" s="205">
        <f>('Hypothetical SAR and RAR'!V20)*1000</f>
        <v>0</v>
      </c>
      <c r="AA9" s="173">
        <f>('Hypothetical SAR and RAR'!X20)*1000</f>
        <v>0</v>
      </c>
    </row>
    <row r="10" spans="1:31" ht="15.75">
      <c r="D10" s="119" t="s">
        <v>187</v>
      </c>
      <c r="E10" s="253">
        <f>'Res Bill Impact'!E10</f>
        <v>87253759.623688459</v>
      </c>
      <c r="F10" s="116">
        <f>'Res Bill Impact'!F10</f>
        <v>0.53532716454975682</v>
      </c>
      <c r="G10" s="117">
        <f t="shared" si="0"/>
        <v>46709307.735655196</v>
      </c>
      <c r="H10" s="174">
        <f>H9</f>
        <v>0.53532716454975682</v>
      </c>
      <c r="I10" s="117">
        <f t="shared" si="1"/>
        <v>46709307.735655196</v>
      </c>
      <c r="J10" s="174"/>
      <c r="K10" s="279"/>
      <c r="L10" s="118"/>
      <c r="O10" s="119" t="s">
        <v>187</v>
      </c>
      <c r="P10" s="253">
        <f>'Res Bill Impact'!P10</f>
        <v>40015542.791026749</v>
      </c>
      <c r="Q10" s="116">
        <f>'Res Bill Impact'!Q10</f>
        <v>0.33610000000000001</v>
      </c>
      <c r="R10" s="117">
        <f>'Res Bill Impact'!R10</f>
        <v>13449223.93206409</v>
      </c>
      <c r="S10" s="174">
        <f t="shared" si="2"/>
        <v>0.33610000000000001</v>
      </c>
      <c r="T10" s="117">
        <f t="shared" si="3"/>
        <v>13449223.93206409</v>
      </c>
      <c r="U10" s="174"/>
      <c r="V10" s="279"/>
      <c r="W10" s="118"/>
      <c r="X10" s="6" t="s">
        <v>268</v>
      </c>
      <c r="Y10" s="120">
        <f>Y8+Y9</f>
        <v>1844593982</v>
      </c>
      <c r="Z10" s="120">
        <f>Z8+Z9</f>
        <v>1605526970</v>
      </c>
      <c r="AA10" s="120">
        <f>AA8+AA9</f>
        <v>239067012</v>
      </c>
      <c r="AD10" s="48" t="s">
        <v>331</v>
      </c>
      <c r="AE10" s="48"/>
    </row>
    <row r="11" spans="1:31" ht="15.75">
      <c r="D11" s="115" t="s">
        <v>192</v>
      </c>
      <c r="E11" s="253">
        <f>'Res Bill Impact'!E11</f>
        <v>0</v>
      </c>
      <c r="F11" s="116">
        <f>'Res Bill Impact'!F11</f>
        <v>0.53532716454975682</v>
      </c>
      <c r="G11" s="117">
        <f t="shared" si="0"/>
        <v>0</v>
      </c>
      <c r="H11" s="174">
        <f>F11/F$7*H$7</f>
        <v>0.53532716454975682</v>
      </c>
      <c r="I11" s="117">
        <f t="shared" si="1"/>
        <v>0</v>
      </c>
      <c r="J11" s="174"/>
      <c r="K11" s="279"/>
      <c r="L11" s="118"/>
      <c r="O11" s="115" t="s">
        <v>192</v>
      </c>
      <c r="P11" s="253">
        <f>'Res Bill Impact'!P11</f>
        <v>0</v>
      </c>
      <c r="Q11" s="116">
        <f>'Res Bill Impact'!Q11</f>
        <v>0.33610000000000001</v>
      </c>
      <c r="R11" s="117">
        <f>'Res Bill Impact'!R11</f>
        <v>0</v>
      </c>
      <c r="S11" s="174">
        <f t="shared" si="2"/>
        <v>0.33610000000000001</v>
      </c>
      <c r="T11" s="117">
        <f t="shared" si="3"/>
        <v>0</v>
      </c>
      <c r="U11" s="174"/>
      <c r="V11" s="279"/>
      <c r="W11" s="118"/>
      <c r="Y11" s="120"/>
      <c r="AC11" s="134" t="s">
        <v>330</v>
      </c>
      <c r="AD11" s="274" t="s">
        <v>332</v>
      </c>
      <c r="AE11" s="48"/>
    </row>
    <row r="12" spans="1:31" ht="15.75">
      <c r="D12" s="119" t="s">
        <v>187</v>
      </c>
      <c r="E12" s="253">
        <f>'Res Bill Impact'!E12</f>
        <v>0</v>
      </c>
      <c r="F12" s="116">
        <f>'Res Bill Impact'!F12</f>
        <v>0.53532716454975682</v>
      </c>
      <c r="G12" s="117">
        <f t="shared" si="0"/>
        <v>0</v>
      </c>
      <c r="H12" s="174">
        <f>H11</f>
        <v>0.53532716454975682</v>
      </c>
      <c r="I12" s="117">
        <f t="shared" si="1"/>
        <v>0</v>
      </c>
      <c r="J12" s="174"/>
      <c r="K12" s="279"/>
      <c r="L12" s="118"/>
      <c r="O12" s="119" t="s">
        <v>187</v>
      </c>
      <c r="P12" s="253">
        <f>'Res Bill Impact'!P12</f>
        <v>0</v>
      </c>
      <c r="Q12" s="116">
        <f>'Res Bill Impact'!Q12</f>
        <v>0.33610000000000001</v>
      </c>
      <c r="R12" s="117">
        <f>'Res Bill Impact'!R12</f>
        <v>0</v>
      </c>
      <c r="S12" s="174">
        <f t="shared" si="2"/>
        <v>0.33610000000000001</v>
      </c>
      <c r="T12" s="117">
        <f t="shared" si="3"/>
        <v>0</v>
      </c>
      <c r="U12" s="174"/>
      <c r="V12" s="279"/>
      <c r="W12" s="118"/>
      <c r="X12" s="6" t="s">
        <v>375</v>
      </c>
      <c r="Y12" s="274" t="s">
        <v>113</v>
      </c>
      <c r="Z12" s="274" t="s">
        <v>329</v>
      </c>
      <c r="AA12" s="274" t="s">
        <v>3</v>
      </c>
      <c r="AC12" s="6">
        <v>0.43184</v>
      </c>
      <c r="AD12" s="168">
        <f>Y14/100/AC12</f>
        <v>0</v>
      </c>
      <c r="AE12" s="282"/>
    </row>
    <row r="13" spans="1:31" ht="15.75">
      <c r="D13" s="119"/>
      <c r="E13" s="121"/>
      <c r="F13" s="122"/>
      <c r="G13" s="123"/>
      <c r="H13" s="1"/>
      <c r="I13" s="124"/>
      <c r="J13" s="1"/>
      <c r="K13" s="124"/>
      <c r="L13" s="118"/>
      <c r="O13" s="119"/>
      <c r="P13" s="123"/>
      <c r="Q13" s="122"/>
      <c r="R13" s="123"/>
      <c r="S13" s="1"/>
      <c r="T13" s="124"/>
      <c r="U13" s="1"/>
      <c r="V13" s="124"/>
      <c r="X13" s="6" t="s">
        <v>376</v>
      </c>
      <c r="Y13" s="309">
        <f>+Z13+AA13</f>
        <v>41.541999999999994</v>
      </c>
      <c r="Z13" s="309">
        <f>'Res Bill Impact'!Z15</f>
        <v>25.764999999999997</v>
      </c>
      <c r="AA13" s="309">
        <f>'Res Bill Impact'!AA15</f>
        <v>15.776999999999999</v>
      </c>
      <c r="AC13" s="281"/>
      <c r="AD13" s="99"/>
      <c r="AE13" s="275"/>
    </row>
    <row r="14" spans="1:31" ht="15.75">
      <c r="D14" s="119"/>
      <c r="E14" s="121"/>
      <c r="F14" s="122"/>
      <c r="G14" s="123"/>
      <c r="H14" s="123"/>
      <c r="I14" s="123"/>
      <c r="J14" s="123"/>
      <c r="K14" s="123"/>
      <c r="L14" s="118"/>
      <c r="O14" s="119"/>
      <c r="P14" s="123"/>
      <c r="Q14" s="122"/>
      <c r="R14" s="123"/>
      <c r="S14" s="123"/>
      <c r="T14" s="123"/>
      <c r="U14" s="123"/>
      <c r="V14" s="123"/>
      <c r="X14" s="6" t="s">
        <v>267</v>
      </c>
      <c r="Y14" s="309">
        <f>+Z14+AA14</f>
        <v>0</v>
      </c>
      <c r="Z14" s="309">
        <f>+Z9/(IF('Hypothetical Summary'!$H$3=2025,'Hypothetical SAR and RAR'!$C$25,'Hypothetical SAR and RAR'!$C$35)*1000)*100</f>
        <v>0</v>
      </c>
      <c r="AA14" s="309">
        <f>+AA9/(IF('Hypothetical Summary'!$H$3=2025,'Hypothetical SAR and RAR'!$E$25,'Hypothetical SAR and RAR'!$E$35)*1000)*100</f>
        <v>0</v>
      </c>
      <c r="AD14" s="48"/>
      <c r="AE14" s="48"/>
    </row>
    <row r="15" spans="1:31" ht="15.75">
      <c r="D15" s="119"/>
      <c r="E15" s="121"/>
      <c r="F15" s="122"/>
      <c r="G15" s="123"/>
      <c r="H15" s="123"/>
      <c r="I15" s="123"/>
      <c r="J15" s="123"/>
      <c r="K15" s="123"/>
      <c r="L15" s="118"/>
      <c r="O15" s="125"/>
      <c r="P15" s="123"/>
      <c r="Q15" s="122"/>
      <c r="R15" s="123"/>
      <c r="S15" s="123"/>
      <c r="T15" s="123"/>
      <c r="U15" s="123"/>
      <c r="V15" s="123"/>
      <c r="X15" s="6" t="s">
        <v>268</v>
      </c>
      <c r="Y15" s="309">
        <f>+Y14+Y13</f>
        <v>41.541999999999994</v>
      </c>
      <c r="Z15" s="309">
        <f>+Z14+Z13</f>
        <v>25.764999999999997</v>
      </c>
      <c r="AA15" s="309">
        <f>+AA14+AA13</f>
        <v>15.776999999999999</v>
      </c>
      <c r="AC15" s="48"/>
      <c r="AD15" s="48"/>
      <c r="AE15" s="48"/>
    </row>
    <row r="16" spans="1:31" ht="15.75">
      <c r="P16" s="123"/>
      <c r="Q16" s="122"/>
      <c r="R16" s="123"/>
      <c r="AC16" s="277"/>
      <c r="AD16" s="276"/>
      <c r="AE16" s="277"/>
    </row>
    <row r="17" spans="1:31" ht="15.75">
      <c r="O17" s="126"/>
      <c r="R17" s="123"/>
      <c r="Y17" s="48"/>
      <c r="Z17" s="307"/>
      <c r="AA17" s="307"/>
    </row>
    <row r="18" spans="1:31" ht="15.75">
      <c r="Y18" s="48"/>
      <c r="Z18" s="307"/>
      <c r="AA18" s="307"/>
    </row>
    <row r="19" spans="1:31">
      <c r="B19" s="7"/>
      <c r="P19" s="6" t="str">
        <f>'Res Bill Impact'!P19</f>
        <v>2024 Recorded Data - Average Monthly Usage - BASIC kWh</v>
      </c>
      <c r="AD19" s="48"/>
      <c r="AE19" s="48"/>
    </row>
    <row r="20" spans="1:31">
      <c r="B20" s="127" t="s">
        <v>215</v>
      </c>
      <c r="C20" s="127"/>
      <c r="E20" s="128"/>
      <c r="F20" s="128"/>
      <c r="H20" s="127" t="s">
        <v>276</v>
      </c>
      <c r="I20" s="127"/>
      <c r="J20" s="127"/>
      <c r="K20" s="127" t="s">
        <v>275</v>
      </c>
      <c r="L20" s="127"/>
      <c r="M20" s="127"/>
      <c r="N20" s="127"/>
      <c r="P20" s="129" t="s">
        <v>195</v>
      </c>
      <c r="Q20" s="130" t="s">
        <v>196</v>
      </c>
      <c r="R20" s="130" t="s">
        <v>197</v>
      </c>
      <c r="S20" s="130" t="s">
        <v>196</v>
      </c>
      <c r="T20" s="130" t="s">
        <v>197</v>
      </c>
      <c r="U20" s="606" t="s">
        <v>200</v>
      </c>
      <c r="V20" s="607"/>
      <c r="AD20" s="48"/>
      <c r="AE20" s="48"/>
    </row>
    <row r="21" spans="1:31">
      <c r="B21" s="131" t="s">
        <v>179</v>
      </c>
      <c r="C21" s="132" t="str">
        <f>'Res Bill Impact'!C21</f>
        <v>2/1/2025</v>
      </c>
      <c r="D21" s="132" t="str">
        <f>'Res Bill Impact'!D21</f>
        <v>6/1/25</v>
      </c>
      <c r="E21" s="133" t="s">
        <v>178</v>
      </c>
      <c r="F21" s="128"/>
      <c r="H21" s="134" t="s">
        <v>195</v>
      </c>
      <c r="I21" s="134" t="s">
        <v>196</v>
      </c>
      <c r="J21" s="134" t="s">
        <v>197</v>
      </c>
      <c r="K21" s="134" t="s">
        <v>195</v>
      </c>
      <c r="L21" s="134" t="s">
        <v>196</v>
      </c>
      <c r="M21" s="134" t="s">
        <v>197</v>
      </c>
      <c r="P21" s="53"/>
      <c r="Q21" s="597" t="s">
        <v>153</v>
      </c>
      <c r="R21" s="599"/>
      <c r="S21" s="597" t="s">
        <v>154</v>
      </c>
      <c r="T21" s="599"/>
      <c r="U21" s="48" t="s">
        <v>153</v>
      </c>
      <c r="V21" s="48" t="s">
        <v>154</v>
      </c>
      <c r="AD21" s="282"/>
      <c r="AE21" s="282"/>
    </row>
    <row r="22" spans="1:31">
      <c r="A22" s="6" t="s">
        <v>196</v>
      </c>
      <c r="B22" s="135" t="s">
        <v>198</v>
      </c>
      <c r="C22" s="138">
        <f>'Res Bill Impact'!C22</f>
        <v>0.40691504507329246</v>
      </c>
      <c r="D22" s="138">
        <f>'Res Bill Impact'!D22</f>
        <v>0.42515831115732605</v>
      </c>
      <c r="E22" s="138">
        <f>H7</f>
        <v>0.42515831115732605</v>
      </c>
      <c r="F22" s="256"/>
      <c r="H22" s="6" t="s">
        <v>129</v>
      </c>
      <c r="I22" s="156">
        <f>'Res Bill Impact'!I22</f>
        <v>351</v>
      </c>
      <c r="J22" s="156">
        <f>'Res Bill Impact'!J22</f>
        <v>359</v>
      </c>
      <c r="K22" s="6" t="s">
        <v>129</v>
      </c>
      <c r="L22" s="156">
        <f>'Res Bill Impact'!L22</f>
        <v>235</v>
      </c>
      <c r="M22" s="156">
        <f>'Res Bill Impact'!M22</f>
        <v>343</v>
      </c>
      <c r="N22" s="120"/>
      <c r="P22" s="139" t="s">
        <v>129</v>
      </c>
      <c r="Q22" s="140">
        <f>'Res Bill Impact'!Q22</f>
        <v>342.91891800000002</v>
      </c>
      <c r="R22" s="140">
        <f>'Res Bill Impact'!R22</f>
        <v>303.58623299999999</v>
      </c>
      <c r="S22" s="140">
        <f>'Res Bill Impact'!S22</f>
        <v>335.11797200000001</v>
      </c>
      <c r="T22" s="140">
        <f>'Res Bill Impact'!T22</f>
        <v>296.54197699999997</v>
      </c>
      <c r="U22" s="206">
        <f>'Res Bill Impact'!U22</f>
        <v>0.59459555720182788</v>
      </c>
      <c r="V22" s="206">
        <f>'Res Bill Impact'!V22</f>
        <v>0.50313208363509809</v>
      </c>
    </row>
    <row r="23" spans="1:31">
      <c r="B23" s="135" t="s">
        <v>199</v>
      </c>
      <c r="C23" s="138">
        <f>'Res Bill Impact'!C23</f>
        <v>0.51235662475645471</v>
      </c>
      <c r="D23" s="138">
        <f>'Res Bill Impact'!D23</f>
        <v>0.53532716454975682</v>
      </c>
      <c r="E23" s="138">
        <f>H9</f>
        <v>0.53532716454975682</v>
      </c>
      <c r="F23" s="256"/>
      <c r="H23" s="6" t="s">
        <v>201</v>
      </c>
      <c r="I23" s="156">
        <f>'Res Bill Impact'!I23</f>
        <v>530</v>
      </c>
      <c r="J23" s="156">
        <f>'Res Bill Impact'!J23</f>
        <v>503</v>
      </c>
      <c r="K23" s="6" t="s">
        <v>201</v>
      </c>
      <c r="L23" s="156">
        <f>'Res Bill Impact'!L23</f>
        <v>593</v>
      </c>
      <c r="M23" s="156">
        <f>'Res Bill Impact'!M23</f>
        <v>863</v>
      </c>
      <c r="N23" s="120"/>
      <c r="P23" s="142" t="s">
        <v>201</v>
      </c>
      <c r="Q23" s="140">
        <f>'Res Bill Impact'!Q23</f>
        <v>456.57375300000001</v>
      </c>
      <c r="R23" s="140">
        <f>'Res Bill Impact'!R23</f>
        <v>159.07604699999999</v>
      </c>
      <c r="S23" s="140">
        <f>'Res Bill Impact'!S23</f>
        <v>723.10526300000004</v>
      </c>
      <c r="T23" s="140">
        <f>'Res Bill Impact'!T23</f>
        <v>319.79216300000002</v>
      </c>
      <c r="U23" s="206">
        <f>'Res Bill Impact'!U23</f>
        <v>8.4517877685926866E-3</v>
      </c>
      <c r="V23" s="206">
        <f>'Res Bill Impact'!V23</f>
        <v>8.1500014108484842E-3</v>
      </c>
    </row>
    <row r="24" spans="1:31">
      <c r="B24" s="135"/>
      <c r="C24" s="138"/>
      <c r="D24" s="138"/>
      <c r="E24" s="138"/>
      <c r="F24" s="256"/>
      <c r="H24" s="6" t="s">
        <v>202</v>
      </c>
      <c r="I24" s="156">
        <f>'Res Bill Impact'!I24</f>
        <v>620</v>
      </c>
      <c r="J24" s="156">
        <f>'Res Bill Impact'!J24</f>
        <v>425</v>
      </c>
      <c r="K24" s="6" t="s">
        <v>202</v>
      </c>
      <c r="L24" s="156">
        <f>'Res Bill Impact'!L24</f>
        <v>662</v>
      </c>
      <c r="M24" s="156">
        <f>'Res Bill Impact'!M24</f>
        <v>667</v>
      </c>
      <c r="N24" s="120"/>
      <c r="P24" s="142" t="s">
        <v>202</v>
      </c>
      <c r="Q24" s="140">
        <f>'Res Bill Impact'!Q24</f>
        <v>349.89450699999998</v>
      </c>
      <c r="R24" s="140">
        <f>'Res Bill Impact'!R24</f>
        <v>266.04762099999999</v>
      </c>
      <c r="S24" s="140">
        <f>'Res Bill Impact'!S24</f>
        <v>443.258692</v>
      </c>
      <c r="T24" s="140">
        <f>'Res Bill Impact'!T24</f>
        <v>336.52605199999999</v>
      </c>
      <c r="U24" s="206">
        <f>'Res Bill Impact'!U24</f>
        <v>1.1409141797468145E-3</v>
      </c>
      <c r="V24" s="206">
        <f>'Res Bill Impact'!V24</f>
        <v>1.5566361609872176E-3</v>
      </c>
    </row>
    <row r="25" spans="1:31">
      <c r="A25" s="202" t="s">
        <v>197</v>
      </c>
      <c r="B25" s="207" t="s">
        <v>198</v>
      </c>
      <c r="C25" s="208">
        <f>'Res Bill Impact'!C25</f>
        <v>0.4069150450732924</v>
      </c>
      <c r="D25" s="208">
        <f>'Res Bill Impact'!D25</f>
        <v>0.42515831115732605</v>
      </c>
      <c r="E25" s="208">
        <f>H8</f>
        <v>0.42515831115732605</v>
      </c>
      <c r="F25" s="256"/>
      <c r="H25" s="6" t="s">
        <v>203</v>
      </c>
      <c r="I25" s="156">
        <f>'Res Bill Impact'!I25</f>
        <v>406</v>
      </c>
      <c r="J25" s="156">
        <f>'Res Bill Impact'!J25</f>
        <v>374</v>
      </c>
      <c r="K25" s="6" t="s">
        <v>203</v>
      </c>
      <c r="L25" s="156">
        <f>'Res Bill Impact'!L25</f>
        <v>341</v>
      </c>
      <c r="M25" s="156">
        <f>'Res Bill Impact'!M25</f>
        <v>475</v>
      </c>
      <c r="N25" s="120"/>
      <c r="P25" s="145" t="s">
        <v>203</v>
      </c>
      <c r="Q25" s="146">
        <f>'Res Bill Impact'!Q25</f>
        <v>428.26417600000002</v>
      </c>
      <c r="R25" s="146">
        <f>'Res Bill Impact'!R25</f>
        <v>326.89865500000002</v>
      </c>
      <c r="S25" s="146">
        <f>'Res Bill Impact'!S25</f>
        <v>653.23481800000002</v>
      </c>
      <c r="T25" s="146">
        <f>'Res Bill Impact'!T25</f>
        <v>575.31525799999997</v>
      </c>
      <c r="U25" s="206">
        <f>'Res Bill Impact'!U25</f>
        <v>0.39581174084983267</v>
      </c>
      <c r="V25" s="206">
        <f>'Res Bill Impact'!V25</f>
        <v>0.48716127879306614</v>
      </c>
    </row>
    <row r="26" spans="1:31">
      <c r="A26" s="202"/>
      <c r="B26" s="207" t="s">
        <v>199</v>
      </c>
      <c r="C26" s="208">
        <f>'Res Bill Impact'!C26</f>
        <v>0.51235662475645471</v>
      </c>
      <c r="D26" s="208">
        <f>'Res Bill Impact'!D26</f>
        <v>0.53532716454975682</v>
      </c>
      <c r="E26" s="208">
        <f>H10</f>
        <v>0.53532716454975682</v>
      </c>
      <c r="F26" s="256"/>
      <c r="I26" s="120"/>
      <c r="J26" s="120"/>
      <c r="M26" s="120"/>
      <c r="N26" s="120"/>
      <c r="Q26" s="150"/>
      <c r="R26" s="150"/>
      <c r="S26" s="150"/>
      <c r="T26" s="150"/>
      <c r="U26" s="209"/>
      <c r="V26" s="209"/>
    </row>
    <row r="27" spans="1:31">
      <c r="A27" s="202"/>
      <c r="B27" s="207"/>
      <c r="C27" s="208"/>
      <c r="D27" s="208"/>
      <c r="E27" s="208"/>
      <c r="F27" s="256"/>
      <c r="I27" s="120"/>
      <c r="J27" s="120"/>
      <c r="M27" s="120"/>
      <c r="N27" s="120"/>
      <c r="Q27" s="150"/>
      <c r="R27" s="150"/>
      <c r="S27" s="150"/>
      <c r="T27" s="150"/>
      <c r="U27" s="209"/>
      <c r="V27" s="209"/>
    </row>
    <row r="28" spans="1:31">
      <c r="I28" s="120"/>
      <c r="J28" s="120"/>
      <c r="M28" s="120"/>
      <c r="N28" s="120"/>
      <c r="P28" s="6" t="str">
        <f>'Res Bill Impact'!P28</f>
        <v>2024 Recorded Data - Average Monthly Usage - ALL-ELECTRIC kWh</v>
      </c>
    </row>
    <row r="29" spans="1:31">
      <c r="B29" s="127" t="s">
        <v>216</v>
      </c>
      <c r="C29" s="127"/>
      <c r="D29" s="127"/>
      <c r="E29" s="128"/>
      <c r="F29" s="128"/>
      <c r="H29" s="127" t="s">
        <v>272</v>
      </c>
      <c r="I29" s="127"/>
      <c r="J29" s="127"/>
      <c r="K29" s="127" t="s">
        <v>271</v>
      </c>
      <c r="L29" s="127"/>
      <c r="M29" s="127"/>
      <c r="N29" s="120"/>
      <c r="P29" s="129" t="s">
        <v>195</v>
      </c>
      <c r="Q29" s="130" t="s">
        <v>196</v>
      </c>
      <c r="R29" s="130" t="s">
        <v>197</v>
      </c>
      <c r="S29" s="130" t="s">
        <v>196</v>
      </c>
      <c r="T29" s="130" t="s">
        <v>197</v>
      </c>
      <c r="U29" s="606" t="s">
        <v>200</v>
      </c>
      <c r="V29" s="607"/>
    </row>
    <row r="30" spans="1:31">
      <c r="B30" s="131" t="s">
        <v>179</v>
      </c>
      <c r="C30" s="132" t="str">
        <f>C21</f>
        <v>2/1/2025</v>
      </c>
      <c r="D30" s="132" t="str">
        <f>D21</f>
        <v>6/1/25</v>
      </c>
      <c r="E30" s="133" t="s">
        <v>178</v>
      </c>
      <c r="F30" s="128"/>
      <c r="H30" s="134" t="s">
        <v>195</v>
      </c>
      <c r="I30" s="134" t="s">
        <v>196</v>
      </c>
      <c r="J30" s="134" t="s">
        <v>197</v>
      </c>
      <c r="K30" s="134" t="s">
        <v>195</v>
      </c>
      <c r="L30" s="134" t="s">
        <v>196</v>
      </c>
      <c r="M30" s="134" t="s">
        <v>197</v>
      </c>
      <c r="N30" s="120"/>
      <c r="P30" s="53"/>
      <c r="Q30" s="597" t="s">
        <v>153</v>
      </c>
      <c r="R30" s="599"/>
      <c r="S30" s="597" t="s">
        <v>154</v>
      </c>
      <c r="T30" s="599"/>
      <c r="U30" s="48" t="s">
        <v>153</v>
      </c>
      <c r="V30" s="48" t="s">
        <v>154</v>
      </c>
    </row>
    <row r="31" spans="1:31">
      <c r="A31" s="6" t="s">
        <v>196</v>
      </c>
      <c r="B31" s="135" t="s">
        <v>198</v>
      </c>
      <c r="C31" s="137">
        <f>'Res Bill Impact'!C31</f>
        <v>0.25263999999999998</v>
      </c>
      <c r="D31" s="138">
        <f>'Res Bill Impact'!D31</f>
        <v>0.26449</v>
      </c>
      <c r="E31" s="138">
        <f>S7</f>
        <v>0.26449</v>
      </c>
      <c r="F31" s="256"/>
      <c r="H31" s="6" t="s">
        <v>129</v>
      </c>
      <c r="I31" s="156">
        <f>'Res Bill Impact'!I31</f>
        <v>270</v>
      </c>
      <c r="J31" s="156">
        <f>'Res Bill Impact'!J31</f>
        <v>276</v>
      </c>
      <c r="K31" s="6" t="s">
        <v>129</v>
      </c>
      <c r="L31" s="156">
        <f>'Res Bill Impact'!L31</f>
        <v>181</v>
      </c>
      <c r="M31" s="156">
        <f>'Res Bill Impact'!M31</f>
        <v>264</v>
      </c>
      <c r="N31" s="120"/>
      <c r="P31" s="139" t="s">
        <v>129</v>
      </c>
      <c r="Q31" s="140">
        <f>'Res Bill Impact'!Q31</f>
        <v>293.18844799999999</v>
      </c>
      <c r="R31" s="140">
        <f>'Res Bill Impact'!R31</f>
        <v>272.42403400000001</v>
      </c>
      <c r="S31" s="140">
        <f>'Res Bill Impact'!S31</f>
        <v>300.67371600000001</v>
      </c>
      <c r="T31" s="140">
        <f>'Res Bill Impact'!T31</f>
        <v>283.19878299999999</v>
      </c>
      <c r="U31" s="206">
        <f>'Res Bill Impact'!U31</f>
        <v>0.58715024846943753</v>
      </c>
      <c r="V31" s="206">
        <f>'Res Bill Impact'!V31</f>
        <v>0.4449864204236828</v>
      </c>
    </row>
    <row r="32" spans="1:31">
      <c r="B32" s="135" t="s">
        <v>199</v>
      </c>
      <c r="C32" s="137">
        <f>'Res Bill Impact'!C32</f>
        <v>0.32117000000000001</v>
      </c>
      <c r="D32" s="138">
        <f>'Res Bill Impact'!D32</f>
        <v>0.33610000000000001</v>
      </c>
      <c r="E32" s="138">
        <f>S9</f>
        <v>0.33610000000000001</v>
      </c>
      <c r="F32" s="256"/>
      <c r="H32" s="6" t="s">
        <v>201</v>
      </c>
      <c r="I32" s="156">
        <f>'Res Bill Impact'!I32</f>
        <v>408</v>
      </c>
      <c r="J32" s="156">
        <f>'Res Bill Impact'!J32</f>
        <v>387</v>
      </c>
      <c r="K32" s="6" t="s">
        <v>201</v>
      </c>
      <c r="L32" s="156">
        <f>'Res Bill Impact'!L32</f>
        <v>456</v>
      </c>
      <c r="M32" s="156">
        <f>'Res Bill Impact'!M32</f>
        <v>664</v>
      </c>
      <c r="N32" s="120"/>
      <c r="P32" s="142" t="s">
        <v>201</v>
      </c>
      <c r="Q32" s="140">
        <f>'Res Bill Impact'!Q32</f>
        <v>409.32504399999999</v>
      </c>
      <c r="R32" s="140">
        <f>'Res Bill Impact'!R32</f>
        <v>204.766988</v>
      </c>
      <c r="S32" s="140">
        <f>'Res Bill Impact'!S32</f>
        <v>794.02488100000005</v>
      </c>
      <c r="T32" s="140">
        <f>'Res Bill Impact'!T32</f>
        <v>451.99078700000001</v>
      </c>
      <c r="U32" s="206">
        <f>'Res Bill Impact'!U32</f>
        <v>2.1304685357270696E-2</v>
      </c>
      <c r="V32" s="206">
        <f>'Res Bill Impact'!V32</f>
        <v>1.416621401412276E-2</v>
      </c>
    </row>
    <row r="33" spans="1:27">
      <c r="B33" s="135"/>
      <c r="C33" s="137"/>
      <c r="D33" s="138"/>
      <c r="E33" s="138"/>
      <c r="F33" s="256"/>
      <c r="H33" s="6" t="s">
        <v>202</v>
      </c>
      <c r="I33" s="156">
        <f>'Res Bill Impact'!I33</f>
        <v>477</v>
      </c>
      <c r="J33" s="156">
        <f>'Res Bill Impact'!J33</f>
        <v>327</v>
      </c>
      <c r="K33" s="6" t="s">
        <v>202</v>
      </c>
      <c r="L33" s="156">
        <f>'Res Bill Impact'!L33</f>
        <v>509</v>
      </c>
      <c r="M33" s="156">
        <f>'Res Bill Impact'!M33</f>
        <v>513</v>
      </c>
      <c r="N33" s="120"/>
      <c r="P33" s="142" t="s">
        <v>202</v>
      </c>
      <c r="Q33" s="140">
        <f>'Res Bill Impact'!Q33</f>
        <v>355.03963099999999</v>
      </c>
      <c r="R33" s="140">
        <f>'Res Bill Impact'!R33</f>
        <v>334.63756999999998</v>
      </c>
      <c r="S33" s="140">
        <f>'Res Bill Impact'!S33</f>
        <v>413.14660300000003</v>
      </c>
      <c r="T33" s="140">
        <f>'Res Bill Impact'!T33</f>
        <v>348.72256900000002</v>
      </c>
      <c r="U33" s="206">
        <f>'Res Bill Impact'!U33</f>
        <v>5.8665749336407631E-3</v>
      </c>
      <c r="V33" s="206">
        <f>'Res Bill Impact'!V33</f>
        <v>3.6827810972297663E-3</v>
      </c>
    </row>
    <row r="34" spans="1:27">
      <c r="A34" s="202" t="s">
        <v>197</v>
      </c>
      <c r="B34" s="207" t="s">
        <v>198</v>
      </c>
      <c r="C34" s="208">
        <f>'Res Bill Impact'!C34</f>
        <v>0.25263999999999998</v>
      </c>
      <c r="D34" s="208">
        <f>'Res Bill Impact'!D34</f>
        <v>0.26449</v>
      </c>
      <c r="E34" s="208">
        <f>S8</f>
        <v>0.26449</v>
      </c>
      <c r="F34" s="256"/>
      <c r="H34" s="6" t="s">
        <v>203</v>
      </c>
      <c r="I34" s="156">
        <f>'Res Bill Impact'!I34</f>
        <v>312</v>
      </c>
      <c r="J34" s="156">
        <f>'Res Bill Impact'!J34</f>
        <v>288</v>
      </c>
      <c r="K34" s="6" t="s">
        <v>203</v>
      </c>
      <c r="L34" s="156">
        <f>'Res Bill Impact'!L34</f>
        <v>262</v>
      </c>
      <c r="M34" s="156">
        <f>'Res Bill Impact'!M34</f>
        <v>365</v>
      </c>
      <c r="N34" s="120"/>
      <c r="P34" s="145" t="s">
        <v>203</v>
      </c>
      <c r="Q34" s="146">
        <f>'Res Bill Impact'!Q34</f>
        <v>429.33569299999999</v>
      </c>
      <c r="R34" s="146">
        <f>'Res Bill Impact'!R34</f>
        <v>484.06809399999997</v>
      </c>
      <c r="S34" s="146">
        <f>'Res Bill Impact'!S34</f>
        <v>665.59984699999995</v>
      </c>
      <c r="T34" s="146">
        <f>'Res Bill Impact'!T34</f>
        <v>739.13461700000005</v>
      </c>
      <c r="U34" s="206">
        <f>'Res Bill Impact'!U34</f>
        <v>0.38567849123965098</v>
      </c>
      <c r="V34" s="206">
        <f>'Res Bill Impact'!V34</f>
        <v>0.53716458446496473</v>
      </c>
    </row>
    <row r="35" spans="1:27">
      <c r="A35" s="202"/>
      <c r="B35" s="207" t="s">
        <v>199</v>
      </c>
      <c r="C35" s="208">
        <f>'Res Bill Impact'!C35</f>
        <v>0.32117000000000001</v>
      </c>
      <c r="D35" s="208">
        <f>'Res Bill Impact'!D35</f>
        <v>0.33610000000000001</v>
      </c>
      <c r="E35" s="208">
        <f>S10</f>
        <v>0.33610000000000001</v>
      </c>
      <c r="F35" s="256"/>
      <c r="I35" s="120"/>
      <c r="J35" s="120"/>
      <c r="M35" s="120"/>
      <c r="N35" s="120"/>
      <c r="Q35" s="150"/>
      <c r="R35" s="150"/>
      <c r="S35" s="150"/>
      <c r="T35" s="150"/>
      <c r="U35" s="209"/>
      <c r="V35" s="209"/>
    </row>
    <row r="36" spans="1:27">
      <c r="A36" s="202"/>
      <c r="B36" s="207"/>
      <c r="C36" s="208"/>
      <c r="D36" s="208"/>
      <c r="E36" s="208"/>
      <c r="F36" s="256"/>
      <c r="I36" s="120"/>
      <c r="J36" s="120"/>
      <c r="M36" s="120"/>
      <c r="N36" s="120"/>
      <c r="Q36" s="150"/>
      <c r="R36" s="150"/>
      <c r="S36" s="150"/>
      <c r="T36" s="150"/>
      <c r="U36" s="209"/>
      <c r="V36" s="209"/>
    </row>
    <row r="37" spans="1:27">
      <c r="B37" s="7"/>
      <c r="C37" s="210"/>
      <c r="D37" s="210"/>
      <c r="E37" s="211"/>
      <c r="F37" s="211"/>
      <c r="I37" s="120"/>
      <c r="J37" s="120"/>
      <c r="M37" s="120"/>
      <c r="N37" s="120"/>
      <c r="Q37" s="150"/>
      <c r="R37" s="150"/>
      <c r="S37" s="150"/>
      <c r="T37" s="150"/>
      <c r="U37" s="209"/>
      <c r="V37" s="209"/>
    </row>
    <row r="38" spans="1:27">
      <c r="B38" s="7"/>
      <c r="C38" s="210"/>
      <c r="D38" s="210"/>
      <c r="E38" s="211"/>
      <c r="F38" s="211"/>
    </row>
    <row r="39" spans="1:27" ht="18.75">
      <c r="A39" s="249"/>
      <c r="B39" s="620" t="s">
        <v>265</v>
      </c>
      <c r="C39" s="620"/>
      <c r="D39" s="620"/>
      <c r="E39" s="620"/>
      <c r="F39" s="620"/>
      <c r="G39" s="620"/>
      <c r="H39" s="620"/>
      <c r="I39" s="249"/>
      <c r="J39" s="249"/>
      <c r="N39" s="52"/>
    </row>
    <row r="40" spans="1:27">
      <c r="B40" s="7"/>
      <c r="C40" s="601" t="s">
        <v>486</v>
      </c>
      <c r="D40" s="601"/>
      <c r="E40" s="601"/>
      <c r="F40" s="601"/>
      <c r="G40" s="601"/>
      <c r="H40" s="601"/>
      <c r="L40" s="601" t="s">
        <v>487</v>
      </c>
      <c r="M40" s="601"/>
      <c r="N40" s="601"/>
      <c r="O40" s="601"/>
      <c r="P40" s="601"/>
      <c r="Q40" s="601"/>
      <c r="R40" s="467"/>
      <c r="S40" s="467"/>
      <c r="T40" s="467"/>
      <c r="U40" s="467"/>
    </row>
    <row r="41" spans="1:27">
      <c r="B41" s="7"/>
      <c r="C41" s="618" t="str">
        <f>C30</f>
        <v>2/1/2025</v>
      </c>
      <c r="D41" s="618"/>
      <c r="E41" s="619" t="str">
        <f>D30</f>
        <v>6/1/25</v>
      </c>
      <c r="F41" s="618"/>
      <c r="G41" s="618" t="str">
        <f>E30</f>
        <v>Proposed</v>
      </c>
      <c r="H41" s="618"/>
      <c r="I41" s="619"/>
      <c r="J41" s="618"/>
      <c r="K41" s="7"/>
      <c r="L41" s="265" t="str">
        <f>C41</f>
        <v>2/1/2025</v>
      </c>
      <c r="M41" s="265"/>
      <c r="N41" s="266" t="str">
        <f>E41</f>
        <v>6/1/25</v>
      </c>
      <c r="O41" s="265"/>
      <c r="P41" s="265" t="str">
        <f>G41</f>
        <v>Proposed</v>
      </c>
      <c r="Q41" s="265"/>
      <c r="R41" s="467"/>
      <c r="S41" s="467"/>
      <c r="T41" s="467"/>
      <c r="U41" s="467"/>
    </row>
    <row r="42" spans="1:27">
      <c r="B42" s="7"/>
      <c r="C42" s="210" t="s">
        <v>196</v>
      </c>
      <c r="D42" s="210" t="s">
        <v>197</v>
      </c>
      <c r="E42" s="210" t="s">
        <v>196</v>
      </c>
      <c r="F42" s="210" t="s">
        <v>197</v>
      </c>
      <c r="G42" s="210" t="s">
        <v>196</v>
      </c>
      <c r="H42" s="210" t="s">
        <v>197</v>
      </c>
      <c r="I42" s="210"/>
      <c r="J42" s="210"/>
      <c r="K42" s="7"/>
      <c r="L42" s="210" t="s">
        <v>196</v>
      </c>
      <c r="M42" s="210" t="s">
        <v>197</v>
      </c>
      <c r="N42" s="210" t="s">
        <v>196</v>
      </c>
      <c r="O42" s="210" t="s">
        <v>197</v>
      </c>
      <c r="P42" s="210" t="s">
        <v>196</v>
      </c>
      <c r="Q42" s="210" t="s">
        <v>197</v>
      </c>
    </row>
    <row r="43" spans="1:27">
      <c r="B43" s="139" t="s">
        <v>129</v>
      </c>
      <c r="C43" s="212">
        <f>IF($Q22&gt;$I22,C$22*$I22+C$23*($Q22-$I22),$Q22*C$22)+('Hypothetical SAR and RAR'!$C$21*$Q22)</f>
        <v>139.81320210885468</v>
      </c>
      <c r="D43" s="212">
        <f>IF($R22&gt;$J22,C$25*$J22+C$26*($R22-$J22),$R22*C$25)+('Hypothetical SAR and RAR'!$C$21*$R22)</f>
        <v>123.77667467122605</v>
      </c>
      <c r="E43" s="212">
        <f>IF($Q22&gt;$I22,D$22*$I22+D$23*($Q22-$I22),$Q22*D$22)+('Hypothetical SAR and RAR'!$C$21*$Q22)</f>
        <v>146.06916317517758</v>
      </c>
      <c r="F43" s="212">
        <f>IF($R22&gt;$J22,D$25*$J22+D$26*($R22-$J22),$R22*D$25)+('Hypothetical SAR and RAR'!$C$21*$R22)</f>
        <v>129.31507909929448</v>
      </c>
      <c r="G43" s="212">
        <f>IF($Q22&gt;$I22,E$22*$I22+E$23*($Q22-$I22),$Q22*E$22)+('Hypothetical SAR and RAR'!$C$21*$Q22)</f>
        <v>146.06916317517758</v>
      </c>
      <c r="H43" s="212">
        <f>IF($R22&gt;$J22,E$25*$J22+E$26*($R22-$J22),$R22*E$25)+('Hypothetical SAR and RAR'!$C$21*$R22)</f>
        <v>129.31507909929448</v>
      </c>
      <c r="I43" s="257"/>
      <c r="J43" s="257"/>
      <c r="K43" s="139" t="s">
        <v>129</v>
      </c>
      <c r="L43" s="212">
        <f>IF($Q31&gt;$L22,C$22*$L22+C$23*($Q31-$L22),$Q31*C$22)+('Hypothetical SAR and RAR'!$C$21*$Q31)</f>
        <v>125.67282316772021</v>
      </c>
      <c r="M43" s="212">
        <f>IF($R31&gt;$M22,C$25*$M22+C$26*($R31-$M22),$R31*C$25)+('Hypothetical SAR and RAR'!$C$21*$R31)</f>
        <v>111.07137730135815</v>
      </c>
      <c r="N43" s="212">
        <f>IF($Q31&gt;$L22,D$22*$L22+D$23*($Q31-$L22),$Q31*D$22)+('Hypothetical SAR and RAR'!$C$21*$Q31)</f>
        <v>131.29661075776258</v>
      </c>
      <c r="O43" s="212">
        <f>IF($R31&gt;$M22,D$22*$M22+D$23*($R31-$M22),$R31*D$22)+('Hypothetical SAR and RAR'!$C$21*$R31)</f>
        <v>116.04128144130598</v>
      </c>
      <c r="P43" s="212">
        <f>IF($Q31&gt;$L22,E$22*$L22+E$23*($Q31-$L22),$Q31*E$22)+('Hypothetical SAR and RAR'!$C$21*$Q31)</f>
        <v>131.29661075776258</v>
      </c>
      <c r="Q43" s="212">
        <f>IF($R31&gt;$M22,E$25*$M22+E$26*($R31-$M22),$R31*E$25)+('Hypothetical SAR and RAR'!$C$21*$R31)</f>
        <v>116.04128144130598</v>
      </c>
      <c r="R43" s="466"/>
      <c r="S43" s="466"/>
      <c r="T43" s="466"/>
      <c r="U43" s="466"/>
      <c r="W43" s="466"/>
      <c r="X43" s="466"/>
      <c r="Y43" s="466"/>
      <c r="Z43" s="466"/>
    </row>
    <row r="44" spans="1:27">
      <c r="B44" s="142" t="s">
        <v>201</v>
      </c>
      <c r="C44" s="212">
        <f>IF($Q23&gt;$I23,C$22*$I23+C$23*($Q23-$I23),$Q23*C$22)+('Hypothetical SAR and RAR'!$C$21*$Q23)</f>
        <v>186.1519882836773</v>
      </c>
      <c r="D44" s="212">
        <f>IF($R23&gt;$J23,C$25*$J23+C$26*($R23-$J23),$R23*C$25)+('Hypothetical SAR and RAR'!$C$21*$R23)</f>
        <v>64.857697672686186</v>
      </c>
      <c r="E44" s="212">
        <f>IF($Q23&gt;$I23,D$22*$I23+D$23*($Q23-$I23),$Q23*D$22)+('Hypothetical SAR and RAR'!$C$21*$Q23)</f>
        <v>194.48138474664214</v>
      </c>
      <c r="F44" s="212">
        <f>IF($R23&gt;$J23,D$25*$J23+D$26*($R23-$J23),$R23*D$25)+('Hypothetical SAR and RAR'!$C$21*$R23)</f>
        <v>67.759764325703429</v>
      </c>
      <c r="G44" s="212">
        <f>IF($Q23&gt;$I23,E$22*$I23+E$23*($Q23-$I23),$Q23*E$22)+('Hypothetical SAR and RAR'!$C$21*$Q23)</f>
        <v>194.48138474664214</v>
      </c>
      <c r="H44" s="212">
        <f>IF($R23&gt;$J23,E$25*$J23+E$26*($R23-$J23),$R23*E$25)+('Hypothetical SAR and RAR'!$C$21*$R23)</f>
        <v>67.759764325703429</v>
      </c>
      <c r="I44" s="257"/>
      <c r="J44" s="257"/>
      <c r="K44" s="142" t="s">
        <v>201</v>
      </c>
      <c r="L44" s="212">
        <f>IF($Q32&gt;$L23,C$22*$L23+C$23*($Q32-$L23),$Q32*C$22)+('Hypothetical SAR and RAR'!$C$21*$Q32)</f>
        <v>166.88797876408742</v>
      </c>
      <c r="M44" s="212">
        <f>IF($R32&gt;$M23,C$25*$M23+C$26*($R32-$M23),$R32*C$25)+('Hypothetical SAR and RAR'!$C$21*$R32)</f>
        <v>83.486581741942317</v>
      </c>
      <c r="N44" s="212">
        <f>IF($Q32&gt;$L23,D$22*$L23+D$23*($Q32-$L23),$Q32*D$22)+('Hypothetical SAR and RAR'!$C$21*$Q32)</f>
        <v>174.35540445663818</v>
      </c>
      <c r="O44" s="212">
        <f>IF($R32&gt;$M23,D$22*$M23+D$23*($R32-$M23),$R32*D$22)+('Hypothetical SAR and RAR'!$C$21*$R32)</f>
        <v>87.22220038925245</v>
      </c>
      <c r="P44" s="212">
        <f>IF($Q32&gt;$L23,E$22*$L23+E$23*($Q32-$L23),$Q32*E$22)+('Hypothetical SAR and RAR'!$C$21*$Q32)</f>
        <v>174.35540445663818</v>
      </c>
      <c r="Q44" s="212">
        <f>IF($R32&gt;$M23,E$25*$M23+E$26*($R32-$M23),$R32*E$25)+('Hypothetical SAR and RAR'!$C$21*$R32)</f>
        <v>87.22220038925245</v>
      </c>
      <c r="R44" s="466"/>
      <c r="S44" s="466"/>
      <c r="T44" s="466"/>
      <c r="U44" s="466"/>
      <c r="W44" s="466"/>
      <c r="X44" s="466"/>
      <c r="Y44" s="466"/>
      <c r="Z44" s="466"/>
    </row>
    <row r="45" spans="1:27">
      <c r="B45" s="142" t="s">
        <v>202</v>
      </c>
      <c r="C45" s="212">
        <f>IF($Q24&gt;$I24,C$22*$I24+C$23*($Q24-$I24),$Q24*C$22)+('Hypothetical SAR and RAR'!$C$21*$Q24)</f>
        <v>142.65725469240243</v>
      </c>
      <c r="D45" s="212">
        <f>IF($R24&gt;$J24,C$25*$J24+C$26*($R24-$J24),$R24*C$25)+('Hypothetical SAR and RAR'!$C$21*$R24)</f>
        <v>108.47161778765721</v>
      </c>
      <c r="E45" s="212">
        <f>IF($Q24&gt;$I24,D$22*$I24+D$23*($Q24-$I24),$Q24*D$22)+('Hypothetical SAR and RAR'!$C$21*$Q24)</f>
        <v>149.04047328494519</v>
      </c>
      <c r="F45" s="212">
        <f>IF($R24&gt;$J24,D$25*$J24+D$26*($R24-$J24),$R24*D$25)+('Hypothetical SAR and RAR'!$C$21*$R24)</f>
        <v>113.32519532858434</v>
      </c>
      <c r="G45" s="212">
        <f>IF($Q24&gt;$I24,E$22*$I24+E$23*($Q24-$I24),$Q24*E$22)+('Hypothetical SAR and RAR'!$C$21*$Q24)</f>
        <v>149.04047328494519</v>
      </c>
      <c r="H45" s="212">
        <f>IF($R24&gt;$J24,E$25*$J24+E$26*($R24-$J24),$R24*E$25)+('Hypothetical SAR and RAR'!$C$21*$R24)</f>
        <v>113.32519532858434</v>
      </c>
      <c r="I45" s="257"/>
      <c r="J45" s="257"/>
      <c r="K45" s="142" t="s">
        <v>202</v>
      </c>
      <c r="L45" s="212">
        <f>IF($Q33&gt;$L24,C$22*$L24+C$23*($Q33-$L24),$Q33*C$22)+('Hypothetical SAR and RAR'!$C$21*$Q33)</f>
        <v>144.7549991559701</v>
      </c>
      <c r="M45" s="212">
        <f>IF($R33&gt;$M24,C$25*$M24+C$26*($R33-$M24),$R33*C$25)+('Hypothetical SAR and RAR'!$C$21*$R33)</f>
        <v>136.43677193576704</v>
      </c>
      <c r="N45" s="212">
        <f>IF($Q33&gt;$L24,D$22*$L24+D$23*($Q33-$L24),$Q33*D$22)+('Hypothetical SAR and RAR'!$C$21*$Q33)</f>
        <v>151.2320816146802</v>
      </c>
      <c r="O45" s="212">
        <f>IF($R33&gt;$M24,D$22*$M24+D$23*($R33-$M24),$R33*D$22)+('Hypothetical SAR and RAR'!$C$21*$R33)</f>
        <v>142.54165416699146</v>
      </c>
      <c r="P45" s="212">
        <f>IF($Q33&gt;$L24,E$22*$L24+E$23*($Q33-$L24),$Q33*E$22)+('Hypothetical SAR and RAR'!$C$21*$Q33)</f>
        <v>151.2320816146802</v>
      </c>
      <c r="Q45" s="212">
        <f>IF($R33&gt;$M24,E$25*$M24+E$26*($R33-$M24),$R33*E$25)+('Hypothetical SAR and RAR'!$C$21*$R33)</f>
        <v>142.54165416699146</v>
      </c>
      <c r="R45" s="466"/>
      <c r="S45" s="466"/>
      <c r="T45" s="466"/>
      <c r="U45" s="466"/>
      <c r="W45" s="466"/>
      <c r="X45" s="466"/>
      <c r="Y45" s="466"/>
      <c r="Z45" s="466"/>
      <c r="AA45" s="10"/>
    </row>
    <row r="46" spans="1:27">
      <c r="B46" s="145" t="s">
        <v>203</v>
      </c>
      <c r="C46" s="212">
        <f>IF($Q25&gt;$I25,C$22*$I25+C$23*($Q25-$I25),$Q25*C$22)+('Hypothetical SAR and RAR'!$C$21*$Q25)</f>
        <v>176.95731770890043</v>
      </c>
      <c r="D46" s="212">
        <f>IF($R25&gt;$J25,C$25*$J25+C$26*($R25-$J25),$R25*C$25)+('Hypothetical SAR and RAR'!$C$21*$R25)</f>
        <v>133.28149985772367</v>
      </c>
      <c r="E46" s="212">
        <f>IF($Q25&gt;$I25,D$22*$I25+D$23*($Q25-$I25),$Q25*D$22)+('Hypothetical SAR and RAR'!$C$21*$Q25)</f>
        <v>184.87550387979113</v>
      </c>
      <c r="F46" s="212">
        <f>IF($R25&gt;$J25,D$25*$J25+D$26*($R25-$J25),$R25*D$25)+('Hypothetical SAR and RAR'!$C$21*$R25)</f>
        <v>139.24519900340138</v>
      </c>
      <c r="G46" s="212">
        <f>IF($Q25&gt;$I25,E$22*$I25+E$23*($Q25-$I25),$Q25*E$22)+('Hypothetical SAR and RAR'!$C$21*$Q25)</f>
        <v>184.87550387979113</v>
      </c>
      <c r="H46" s="212">
        <f>IF($R25&gt;$J25,E$25*$J25+E$26*($R25-$J25),$R25*E$25)+('Hypothetical SAR and RAR'!$C$21*$R25)</f>
        <v>139.24519900340138</v>
      </c>
      <c r="I46" s="257"/>
      <c r="J46" s="257"/>
      <c r="K46" s="145" t="s">
        <v>203</v>
      </c>
      <c r="L46" s="212">
        <f>IF($Q34&gt;$L25,C$22*$L25+C$23*($Q34-$L25),$Q34*C$22)+('Hypothetical SAR and RAR'!$C$21*$Q34)</f>
        <v>184.36087643539511</v>
      </c>
      <c r="M46" s="212">
        <f>IF($R34&gt;$M25,C$25*$M25+C$26*($R34-$M25),$R34*C$25)+('Hypothetical SAR and RAR'!$C$21*$R34)</f>
        <v>198.31799891982814</v>
      </c>
      <c r="N46" s="212">
        <f>IF($Q34&gt;$L25,D$22*$L25+D$23*($Q34-$L25),$Q34*D$22)+('Hypothetical SAR and RAR'!$C$21*$Q34)</f>
        <v>192.610948721276</v>
      </c>
      <c r="O46" s="212">
        <f>IF($R34&gt;$M25,D$22*$M25+D$23*($R34-$M25),$R34*D$22)+('Hypothetical SAR and RAR'!$C$21*$R34)</f>
        <v>207.19184932382052</v>
      </c>
      <c r="P46" s="212">
        <f>IF($Q34&gt;$L25,E$22*$L25+E$23*($Q34-$L25),$Q34*E$22)+('Hypothetical SAR and RAR'!$C$21*$Q34)</f>
        <v>192.610948721276</v>
      </c>
      <c r="Q46" s="212">
        <f>IF($R34&gt;$M25,E$25*$M25+E$26*($R34-$M25),$R34*E$25)+('Hypothetical SAR and RAR'!$C$21*$R34)</f>
        <v>207.19184932382052</v>
      </c>
      <c r="R46" s="466"/>
      <c r="S46" s="466"/>
      <c r="T46" s="466"/>
      <c r="U46" s="466"/>
      <c r="W46" s="466"/>
      <c r="X46" s="466"/>
      <c r="Y46" s="466"/>
      <c r="Z46" s="466"/>
    </row>
    <row r="47" spans="1:27" s="10" customFormat="1">
      <c r="B47" s="6" t="s">
        <v>113</v>
      </c>
      <c r="C47" s="213">
        <f t="shared" ref="C47:H47" si="4">SUMPRODUCT(C43:C46,$U$22:$U$25)</f>
        <v>154.91016957296051</v>
      </c>
      <c r="D47" s="213">
        <f t="shared" si="4"/>
        <v>127.02336362921245</v>
      </c>
      <c r="E47" s="213">
        <f t="shared" si="4"/>
        <v>161.84172827744715</v>
      </c>
      <c r="F47" s="213">
        <f t="shared" si="4"/>
        <v>132.70704160376479</v>
      </c>
      <c r="G47" s="213">
        <f>SUMPRODUCT(G43:G46,$U$22:$U$25)</f>
        <v>161.84172827744715</v>
      </c>
      <c r="H47" s="213">
        <f t="shared" si="4"/>
        <v>132.70704160376479</v>
      </c>
      <c r="I47" s="258"/>
      <c r="J47" s="258"/>
      <c r="K47" s="6" t="s">
        <v>113</v>
      </c>
      <c r="L47" s="213">
        <f t="shared" ref="L47:Q47" si="5">SUMPRODUCT(L43:L46,$U$31:$U$34)</f>
        <v>149.29756594305289</v>
      </c>
      <c r="M47" s="213">
        <f t="shared" si="5"/>
        <v>144.28164529123251</v>
      </c>
      <c r="N47" s="213">
        <f t="shared" si="5"/>
        <v>155.97853910012617</v>
      </c>
      <c r="O47" s="213">
        <f t="shared" si="5"/>
        <v>150.73757990613655</v>
      </c>
      <c r="P47" s="213">
        <f t="shared" si="5"/>
        <v>155.97853910012617</v>
      </c>
      <c r="Q47" s="213">
        <f t="shared" si="5"/>
        <v>150.73757990613655</v>
      </c>
      <c r="R47" s="466"/>
      <c r="S47" s="466"/>
      <c r="T47" s="466"/>
      <c r="U47" s="466"/>
      <c r="W47" s="466"/>
      <c r="X47" s="466"/>
      <c r="Y47" s="466"/>
      <c r="Z47" s="466"/>
      <c r="AA47" s="6"/>
    </row>
    <row r="48" spans="1:27">
      <c r="B48" s="7"/>
      <c r="C48" s="377"/>
      <c r="D48" s="377"/>
      <c r="E48" s="377"/>
      <c r="F48" s="377"/>
      <c r="G48" s="148"/>
      <c r="H48" s="148"/>
      <c r="I48" s="148"/>
      <c r="J48" s="148"/>
      <c r="K48" s="7"/>
      <c r="L48" s="210"/>
      <c r="M48" s="210"/>
      <c r="N48" s="211"/>
      <c r="O48" s="147"/>
      <c r="P48" s="148"/>
      <c r="Q48" s="148"/>
    </row>
    <row r="49" spans="2:27">
      <c r="B49" s="7"/>
      <c r="C49" s="210"/>
      <c r="D49" s="210"/>
      <c r="E49" s="211"/>
      <c r="F49" s="210"/>
      <c r="G49" s="148"/>
      <c r="H49" s="148"/>
      <c r="I49" s="148"/>
      <c r="J49" s="148"/>
      <c r="K49" s="7"/>
      <c r="L49" s="210"/>
      <c r="M49" s="210"/>
      <c r="N49" s="211"/>
      <c r="O49" s="210"/>
      <c r="P49" s="148"/>
      <c r="Q49" s="148"/>
    </row>
    <row r="50" spans="2:27">
      <c r="B50" s="7"/>
      <c r="C50" s="601" t="s">
        <v>489</v>
      </c>
      <c r="D50" s="601"/>
      <c r="E50" s="601"/>
      <c r="F50" s="601"/>
      <c r="G50" s="601"/>
      <c r="H50" s="601"/>
      <c r="K50" s="7"/>
      <c r="L50" s="601" t="s">
        <v>488</v>
      </c>
      <c r="M50" s="601"/>
      <c r="N50" s="601"/>
      <c r="O50" s="601"/>
      <c r="P50" s="601"/>
      <c r="Q50" s="601"/>
    </row>
    <row r="51" spans="2:27">
      <c r="B51" s="7"/>
      <c r="C51" s="618" t="str">
        <f>C30</f>
        <v>2/1/2025</v>
      </c>
      <c r="D51" s="618"/>
      <c r="E51" s="619" t="str">
        <f>D30</f>
        <v>6/1/25</v>
      </c>
      <c r="F51" s="618"/>
      <c r="G51" s="618" t="str">
        <f>E30</f>
        <v>Proposed</v>
      </c>
      <c r="H51" s="618"/>
      <c r="I51" s="616"/>
      <c r="J51" s="617"/>
      <c r="K51" s="7"/>
      <c r="L51" s="265" t="str">
        <f>L41</f>
        <v>2/1/2025</v>
      </c>
      <c r="M51" s="265"/>
      <c r="N51" s="266" t="str">
        <f>N41</f>
        <v>6/1/25</v>
      </c>
      <c r="O51" s="265"/>
      <c r="P51" s="265" t="str">
        <f>P41</f>
        <v>Proposed</v>
      </c>
      <c r="Q51" s="265"/>
    </row>
    <row r="52" spans="2:27">
      <c r="B52" s="7"/>
      <c r="C52" s="210" t="s">
        <v>196</v>
      </c>
      <c r="D52" s="210" t="s">
        <v>197</v>
      </c>
      <c r="E52" s="210" t="s">
        <v>196</v>
      </c>
      <c r="F52" s="210" t="s">
        <v>197</v>
      </c>
      <c r="G52" s="210" t="s">
        <v>196</v>
      </c>
      <c r="H52" s="210" t="s">
        <v>197</v>
      </c>
      <c r="I52" s="257"/>
      <c r="J52" s="257"/>
      <c r="K52" s="7"/>
      <c r="L52" s="210" t="s">
        <v>196</v>
      </c>
      <c r="M52" s="210" t="s">
        <v>197</v>
      </c>
      <c r="N52" s="210" t="s">
        <v>196</v>
      </c>
      <c r="O52" s="210" t="s">
        <v>197</v>
      </c>
      <c r="P52" s="210" t="s">
        <v>196</v>
      </c>
      <c r="Q52" s="210" t="s">
        <v>197</v>
      </c>
    </row>
    <row r="53" spans="2:27">
      <c r="B53" s="139" t="s">
        <v>129</v>
      </c>
      <c r="C53" s="212">
        <f>IF($S22&gt;$I22,C$31*$I22+C$32*($S22-$I22),$S22*C$31)+('Hypothetical SAR and RAR'!$C$21*$S22)</f>
        <v>84.932298823679986</v>
      </c>
      <c r="D53" s="212">
        <f>IF($T22&gt;$J22,C$34*$J22+C$35*($T22-$J22),$T22*C$34)+('Hypothetical SAR and RAR'!$C$21*$T22)</f>
        <v>75.15559865087998</v>
      </c>
      <c r="E53" s="212">
        <f>IF($S22&gt;$I22,D$31*$I22+D$32*($S22-$I22),$S22*D$31)+('Hypothetical SAR and RAR'!$C$21*$S22)</f>
        <v>88.90344679188</v>
      </c>
      <c r="F53" s="212">
        <f>IF($T22&gt;$J22,D$34*$J22+D$35*($T22-$J22),$T22*D$34)+('Hypothetical SAR and RAR'!$C$21*$T22)</f>
        <v>78.669621078329982</v>
      </c>
      <c r="G53" s="212">
        <f>IF($S22&gt;$I22,E$31*$I22+E$32*($S22-$I22),$S22*E$31)+('Hypothetical SAR and RAR'!$C$21*$S22)</f>
        <v>88.90344679188</v>
      </c>
      <c r="H53" s="212">
        <f>IF($T22&gt;$J22,E$34*$J22+E$35*($T22-$J22),$T22*E$34)+('Hypothetical SAR and RAR'!$C$21*$T22)</f>
        <v>78.669621078329982</v>
      </c>
      <c r="I53" s="257"/>
      <c r="J53" s="257"/>
      <c r="K53" s="139" t="s">
        <v>129</v>
      </c>
      <c r="L53" s="212">
        <f>IF($S31&gt;$L22,C$31*$L22+C$32*($S31-$L22),$S31*C$31)+('Hypothetical SAR and RAR'!$C$21*$S31)</f>
        <v>80.703366340519992</v>
      </c>
      <c r="M53" s="212">
        <f>IF($T31&gt;$M22,C$34*$M22+C$35*($T31-$M22),$T31*C$34)+('Hypothetical SAR and RAR'!$C$21*$T31)</f>
        <v>71.77389956351999</v>
      </c>
      <c r="N53" s="212">
        <f>IF($S31&gt;$L22,D$31*$L22+D$32*($S31-$L22),$S31*D$31)+('Hypothetical SAR and RAR'!$C$21*$S31)</f>
        <v>84.468624920400003</v>
      </c>
      <c r="O53" s="212">
        <f>IF($T31&gt;$M22,D$34*$M22+D$35*($T31-$M22),$T31*D$34)+('Hypothetical SAR and RAR'!$C$21*$T31)</f>
        <v>75.129805142069998</v>
      </c>
      <c r="P53" s="212">
        <f>IF($S31&gt;$L22,E$31*$L22+E$32*($S31-$L22),$S31*E$31)+('Hypothetical SAR and RAR'!$C$21*$S31)</f>
        <v>84.468624920400003</v>
      </c>
      <c r="Q53" s="212">
        <f>IF($T31&gt;$M22,E$34*$M22+E$35*($T31-$M22),$T31*E$34)+('Hypothetical SAR and RAR'!$C$21*$T31)</f>
        <v>75.129805142069998</v>
      </c>
      <c r="R53" s="466"/>
      <c r="S53" s="466"/>
      <c r="T53" s="466"/>
      <c r="U53" s="466"/>
      <c r="W53" s="466"/>
      <c r="X53" s="466"/>
      <c r="Y53" s="466"/>
      <c r="Z53" s="466"/>
    </row>
    <row r="54" spans="2:27">
      <c r="B54" s="142" t="s">
        <v>201</v>
      </c>
      <c r="C54" s="212">
        <f>IF($S23&gt;$I23,C$31*$I23+C$32*($S23-$I23),$S23*C$31)+('Hypothetical SAR and RAR'!$C$21*$S23)</f>
        <v>196.49730152811</v>
      </c>
      <c r="D54" s="212">
        <f>IF($T23&gt;$J23,C$34*$J23+C$35*($T23-$J23),$T23*C$34)+('Hypothetical SAR and RAR'!$C$21*$T23)</f>
        <v>81.048125790719993</v>
      </c>
      <c r="E54" s="212">
        <f>IF($S23&gt;$I23,D$31*$I23+D$32*($S23-$I23),$S23*D$31)+('Hypothetical SAR and RAR'!$C$21*$S23)</f>
        <v>205.66086310470001</v>
      </c>
      <c r="F54" s="212">
        <f>IF($T23&gt;$J23,D$34*$J23+D$35*($T23-$J23),$T23*D$34)+('Hypothetical SAR and RAR'!$C$21*$T23)</f>
        <v>84.837662922269999</v>
      </c>
      <c r="G54" s="212">
        <f>IF($S23&gt;$I23,E$31*$I23+E$32*($S23-$I23),$S23*E$31)+('Hypothetical SAR and RAR'!$C$21*$S23)</f>
        <v>205.66086310470001</v>
      </c>
      <c r="H54" s="212">
        <f>IF($T23&gt;$J23,E$34*$J23+E$35*($T23-$J23),$T23*E$34)+('Hypothetical SAR and RAR'!$C$21*$T23)</f>
        <v>84.837662922269999</v>
      </c>
      <c r="I54" s="257"/>
      <c r="J54" s="257"/>
      <c r="K54" s="142" t="s">
        <v>201</v>
      </c>
      <c r="L54" s="212">
        <f>IF($S32&gt;$L23,C$31*$L23+C$32*($S32-$L23),$S32*C$31)+('Hypothetical SAR and RAR'!$C$21*$S32)</f>
        <v>215.01390093557001</v>
      </c>
      <c r="M54" s="212">
        <f>IF($T32&gt;$M23,C$34*$M23+C$35*($T32-$M23),$T32*C$34)+('Hypothetical SAR and RAR'!$C$21*$T32)</f>
        <v>114.55254505727999</v>
      </c>
      <c r="N54" s="212">
        <f>IF($S32&gt;$L23,D$31*$L23+D$32*($S32-$L23),$S32*D$31)+('Hypothetical SAR and RAR'!$C$21*$S32)</f>
        <v>225.04225240890003</v>
      </c>
      <c r="O54" s="212">
        <f>IF($T32&gt;$M23,D$34*$M23+D$35*($T32-$M23),$T32*D$34)+('Hypothetical SAR and RAR'!$C$21*$T32)</f>
        <v>119.90863588323</v>
      </c>
      <c r="P54" s="212">
        <f>IF($S32&gt;$L23,E$31*$L23+E$32*($S32-$L23),$S32*E$31)+('Hypothetical SAR and RAR'!$C$21*$S32)</f>
        <v>225.04225240890003</v>
      </c>
      <c r="Q54" s="212">
        <f>IF($T32&gt;$M23,E$34*$M23+E$35*($T32-$M23),$T32*E$34)+('Hypothetical SAR and RAR'!$C$21*$T32)</f>
        <v>119.90863588323</v>
      </c>
      <c r="R54" s="466"/>
      <c r="S54" s="466"/>
      <c r="T54" s="466"/>
      <c r="U54" s="466"/>
      <c r="W54" s="466"/>
      <c r="X54" s="466"/>
      <c r="Y54" s="466"/>
      <c r="Z54" s="466"/>
    </row>
    <row r="55" spans="2:27">
      <c r="B55" s="142" t="s">
        <v>202</v>
      </c>
      <c r="C55" s="212">
        <f>IF($S24&gt;$I24,C$31*$I24+C$32*($S24-$I24),$S24*C$31)+('Hypothetical SAR and RAR'!$C$21*$S24)</f>
        <v>112.33948290047998</v>
      </c>
      <c r="D55" s="212">
        <f>IF($T24&gt;$J24,C$34*$J24+C$35*($T24-$J24),$T24*C$34)+('Hypothetical SAR and RAR'!$C$21*$T24)</f>
        <v>85.289162618879999</v>
      </c>
      <c r="E55" s="212">
        <f>IF($S24&gt;$I24,D$31*$I24+D$32*($S24-$I24),$S24*D$31)+('Hypothetical SAR and RAR'!$C$21*$S24)</f>
        <v>117.59209840068</v>
      </c>
      <c r="F55" s="212">
        <f>IF($T24&gt;$J24,D$34*$J24+D$35*($T24-$J24),$T24*D$34)+('Hypothetical SAR and RAR'!$C$21*$T24)</f>
        <v>89.27699633508</v>
      </c>
      <c r="G55" s="212">
        <f>IF($S24&gt;$I24,E$31*$I24+E$32*($S24-$I24),$S24*E$31)+('Hypothetical SAR and RAR'!$C$21*$S24)</f>
        <v>117.59209840068</v>
      </c>
      <c r="H55" s="212">
        <f>IF($T24&gt;$J24,E$34*$J24+E$35*($T24-$J24),$T24*E$34)+('Hypothetical SAR and RAR'!$C$21*$T24)</f>
        <v>89.27699633508</v>
      </c>
      <c r="I55" s="257"/>
      <c r="J55" s="257"/>
      <c r="K55" s="142" t="s">
        <v>202</v>
      </c>
      <c r="L55" s="212">
        <f>IF($S33&gt;$L24,C$31*$L24+C$32*($S33-$L24),$S33*C$31)+('Hypothetical SAR and RAR'!$C$21*$S33)</f>
        <v>104.70787506431999</v>
      </c>
      <c r="M55" s="212">
        <f>IF($T33&gt;$M24,C$34*$M24+C$35*($T33-$M24),$T33*C$34)+('Hypothetical SAR and RAR'!$C$21*$T33)</f>
        <v>88.380247887359999</v>
      </c>
      <c r="N55" s="212">
        <f>IF($S33&gt;$L24,D$31*$L24+D$32*($S33-$L24),$S33*D$31)+('Hypothetical SAR and RAR'!$C$21*$S33)</f>
        <v>109.60366230987</v>
      </c>
      <c r="O55" s="212">
        <f>IF($T33&gt;$M24,D$34*$M24+D$35*($T33-$M24),$T33*D$34)+('Hypothetical SAR and RAR'!$C$21*$T33)</f>
        <v>92.512610330010006</v>
      </c>
      <c r="P55" s="212">
        <f>IF($S33&gt;$L24,E$31*$L24+E$32*($S33-$L24),$S33*E$31)+('Hypothetical SAR and RAR'!$C$21*$S33)</f>
        <v>109.60366230987</v>
      </c>
      <c r="Q55" s="212">
        <f>IF($T33&gt;$M24,E$34*$M24+E$35*($T33-$M24),$T33*E$34)+('Hypothetical SAR and RAR'!$C$21*$T33)</f>
        <v>92.512610330010006</v>
      </c>
      <c r="R55" s="466"/>
      <c r="S55" s="466"/>
      <c r="T55" s="466"/>
      <c r="U55" s="466"/>
      <c r="W55" s="466"/>
      <c r="X55" s="466"/>
      <c r="Y55" s="466"/>
      <c r="Z55" s="466"/>
    </row>
    <row r="56" spans="2:27">
      <c r="B56" s="145" t="s">
        <v>203</v>
      </c>
      <c r="C56" s="212">
        <f>IF($S25&gt;$I25,C$31*$I25+C$32*($S25-$I25),$S25*C$31)+('Hypothetical SAR and RAR'!$C$21*$S25)</f>
        <v>182.49883435146</v>
      </c>
      <c r="D56" s="212">
        <f>IF($T25&gt;$J25,C$34*$J25+C$35*($T25-$J25),$T25*C$34)+('Hypothetical SAR and RAR'!$C$21*$T25)</f>
        <v>159.60403361826002</v>
      </c>
      <c r="E56" s="212">
        <f>IF($S25&gt;$I25,D$31*$I25+D$32*($S25-$I25),$S25*D$31)+('Hypothetical SAR and RAR'!$C$21*$S25)</f>
        <v>191.00115018420001</v>
      </c>
      <c r="F56" s="212">
        <f>IF($T25&gt;$J25,D$34*$J25+D$35*($T25-$J25),$T25*D$34)+('Hypothetical SAR and RAR'!$C$21*$T25)</f>
        <v>167.0415704202</v>
      </c>
      <c r="G56" s="212">
        <f>IF($S25&gt;$I25,E$31*$I25+E$32*($S25-$I25),$S25*E$31)+('Hypothetical SAR and RAR'!$C$21*$S25)</f>
        <v>191.00115018420001</v>
      </c>
      <c r="H56" s="212">
        <f>IF($T25&gt;$J25,E$34*$J25+E$35*($T25-$J25),$T25*E$34)+('Hypothetical SAR and RAR'!$C$21*$T25)</f>
        <v>167.0415704202</v>
      </c>
      <c r="I56" s="257"/>
      <c r="J56" s="257"/>
      <c r="K56" s="145" t="s">
        <v>203</v>
      </c>
      <c r="L56" s="212">
        <f>IF($S34&gt;$L25,C$31*$L25+C$32*($S34-$L25),$S34*C$31)+('Hypothetical SAR and RAR'!$C$21*$S34)</f>
        <v>190.93445273858998</v>
      </c>
      <c r="M56" s="212">
        <f>IF($T34&gt;$M25,C$34*$M25+C$35*($T34-$M25),$T34*C$34)+('Hypothetical SAR and RAR'!$C$21*$T34)</f>
        <v>205.42742263548999</v>
      </c>
      <c r="N56" s="212">
        <f>IF($S34&gt;$L25,D$31*$L25+D$32*($S34-$L25),$S34*D$31)+('Hypothetical SAR and RAR'!$C$21*$S34)</f>
        <v>199.82157845429998</v>
      </c>
      <c r="O56" s="212">
        <f>IF($T34&gt;$M25,D$34*$M25+D$35*($T34-$M25),$T34*D$34)+('Hypothetical SAR and RAR'!$C$21*$T34)</f>
        <v>214.99970246730001</v>
      </c>
      <c r="P56" s="212">
        <f>IF($S34&gt;$L25,E$31*$L25+E$32*($S34-$L25),$S34*E$31)+('Hypothetical SAR and RAR'!$C$21*$S34)</f>
        <v>199.82157845429998</v>
      </c>
      <c r="Q56" s="212">
        <f>IF($T34&gt;$M25,E$34*$M25+E$35*($T34-$M25),$T34*E$34)+('Hypothetical SAR and RAR'!$C$21*$T34)</f>
        <v>214.99970246730001</v>
      </c>
      <c r="R56" s="466"/>
      <c r="S56" s="466"/>
      <c r="T56" s="466"/>
      <c r="U56" s="466"/>
      <c r="W56" s="466"/>
      <c r="X56" s="466"/>
      <c r="Y56" s="466"/>
      <c r="Z56" s="466"/>
    </row>
    <row r="57" spans="2:27">
      <c r="B57" s="6" t="s">
        <v>113</v>
      </c>
      <c r="C57" s="213">
        <f t="shared" ref="C57:H57" si="6">SUMPRODUCT(C53:C56,$V$22:$V$25)</f>
        <v>133.4148549820496</v>
      </c>
      <c r="D57" s="213">
        <f t="shared" si="6"/>
        <v>116.35940459827734</v>
      </c>
      <c r="E57" s="213">
        <f t="shared" si="6"/>
        <v>139.63772543849851</v>
      </c>
      <c r="F57" s="213">
        <f t="shared" si="6"/>
        <v>121.78779430277953</v>
      </c>
      <c r="G57" s="213">
        <f t="shared" si="6"/>
        <v>139.63772543849851</v>
      </c>
      <c r="H57" s="213">
        <f t="shared" si="6"/>
        <v>121.78779430277953</v>
      </c>
      <c r="I57" s="213"/>
      <c r="J57" s="213"/>
      <c r="K57" s="6" t="s">
        <v>113</v>
      </c>
      <c r="L57" s="213">
        <f>SUMPRODUCT(L53:L56,$V$31:$V$34)</f>
        <v>141.9066771890619</v>
      </c>
      <c r="M57" s="213">
        <f t="shared" ref="M57:Q57" si="7">SUMPRODUCT(M53:M56,$V$31:$V$34)</f>
        <v>144.23500773975329</v>
      </c>
      <c r="N57" s="213">
        <f t="shared" si="7"/>
        <v>148.51610920456355</v>
      </c>
      <c r="O57" s="213">
        <f t="shared" si="7"/>
        <v>150.96132398387888</v>
      </c>
      <c r="P57" s="213">
        <f t="shared" si="7"/>
        <v>148.51610920456355</v>
      </c>
      <c r="Q57" s="213">
        <f t="shared" si="7"/>
        <v>150.96132398387888</v>
      </c>
      <c r="R57" s="466"/>
      <c r="S57" s="466"/>
      <c r="T57" s="466"/>
      <c r="U57" s="466"/>
      <c r="W57" s="466"/>
      <c r="X57" s="466"/>
      <c r="Y57" s="466"/>
      <c r="Z57" s="466"/>
    </row>
    <row r="58" spans="2:27">
      <c r="B58" s="7"/>
      <c r="C58" s="377"/>
      <c r="D58" s="377"/>
      <c r="E58" s="377"/>
      <c r="F58" s="377"/>
      <c r="G58" s="148"/>
      <c r="H58" s="148"/>
      <c r="I58" s="148"/>
      <c r="J58" s="148"/>
      <c r="K58" s="7"/>
      <c r="L58" s="210"/>
      <c r="M58" s="210"/>
      <c r="N58" s="211"/>
      <c r="O58" s="210"/>
      <c r="P58" s="148"/>
      <c r="Q58" s="148"/>
    </row>
    <row r="59" spans="2:27">
      <c r="B59" s="7"/>
      <c r="C59" s="210"/>
      <c r="D59" s="210"/>
      <c r="E59" s="211"/>
      <c r="G59" s="148"/>
      <c r="H59" s="148"/>
      <c r="I59" s="148"/>
      <c r="K59" s="7"/>
      <c r="L59" s="210"/>
      <c r="M59" s="210"/>
      <c r="N59" s="211"/>
      <c r="P59" s="148"/>
      <c r="Q59" s="148"/>
    </row>
    <row r="60" spans="2:27">
      <c r="B60" s="7"/>
      <c r="C60" s="601" t="s">
        <v>273</v>
      </c>
      <c r="D60" s="601"/>
      <c r="E60" s="601"/>
      <c r="F60" s="601"/>
      <c r="G60" s="601"/>
      <c r="H60" s="601"/>
      <c r="K60" s="7"/>
      <c r="L60" s="601" t="s">
        <v>278</v>
      </c>
      <c r="M60" s="601"/>
      <c r="N60" s="601"/>
      <c r="O60" s="601"/>
      <c r="P60" s="601"/>
      <c r="Q60" s="601"/>
    </row>
    <row r="61" spans="2:27">
      <c r="B61" s="7"/>
      <c r="C61" s="618" t="str">
        <f>C51</f>
        <v>2/1/2025</v>
      </c>
      <c r="D61" s="618"/>
      <c r="E61" s="619" t="str">
        <f>D30</f>
        <v>6/1/25</v>
      </c>
      <c r="F61" s="618"/>
      <c r="G61" s="618" t="str">
        <f>G51</f>
        <v>Proposed</v>
      </c>
      <c r="H61" s="618"/>
      <c r="I61" s="616"/>
      <c r="J61" s="617"/>
      <c r="K61" s="7"/>
      <c r="L61" s="265" t="str">
        <f>L51</f>
        <v>2/1/2025</v>
      </c>
      <c r="M61" s="265"/>
      <c r="N61" s="266" t="str">
        <f>N51</f>
        <v>6/1/25</v>
      </c>
      <c r="O61" s="265"/>
      <c r="P61" s="265" t="str">
        <f>P51</f>
        <v>Proposed</v>
      </c>
      <c r="Q61" s="265"/>
    </row>
    <row r="62" spans="2:27" ht="15" customHeight="1">
      <c r="B62" s="7"/>
      <c r="C62" s="210" t="s">
        <v>196</v>
      </c>
      <c r="D62" s="210" t="s">
        <v>197</v>
      </c>
      <c r="E62" s="210" t="s">
        <v>196</v>
      </c>
      <c r="F62" s="210" t="s">
        <v>197</v>
      </c>
      <c r="G62" s="210" t="s">
        <v>196</v>
      </c>
      <c r="H62" s="210" t="s">
        <v>197</v>
      </c>
      <c r="I62" s="257"/>
      <c r="J62" s="257"/>
      <c r="K62" s="7"/>
      <c r="L62" s="210" t="s">
        <v>196</v>
      </c>
      <c r="M62" s="210" t="s">
        <v>197</v>
      </c>
      <c r="N62" s="210" t="s">
        <v>196</v>
      </c>
      <c r="O62" s="210" t="s">
        <v>197</v>
      </c>
      <c r="P62" s="210" t="s">
        <v>196</v>
      </c>
      <c r="Q62" s="210" t="s">
        <v>197</v>
      </c>
    </row>
    <row r="63" spans="2:27" ht="15" customHeight="1">
      <c r="B63" s="139" t="s">
        <v>129</v>
      </c>
      <c r="C63" s="212">
        <f>($C$22*$I31)+('Hypothetical SAR and RAR'!$C$21*$I31)</f>
        <v>110.08306216978896</v>
      </c>
      <c r="D63" s="212">
        <f>($C$25*$J31)+('Hypothetical SAR and RAR'!$C$21*$J31)</f>
        <v>112.52935244022871</v>
      </c>
      <c r="E63" s="212">
        <f>($D$22*$I31)+('Hypothetical SAR and RAR'!$C$21*$I31)</f>
        <v>115.00874401247803</v>
      </c>
      <c r="F63" s="212">
        <f>($D$25*$J31)+('Hypothetical SAR and RAR'!$C$21*$J31)</f>
        <v>117.56449387942199</v>
      </c>
      <c r="G63" s="212">
        <f>($E$22*$I31)+('Hypothetical SAR and RAR'!$C$21*$I31)</f>
        <v>115.00874401247803</v>
      </c>
      <c r="H63" s="212">
        <f>($E$25*$J31)+('Hypothetical SAR and RAR'!$C$21*$J31)</f>
        <v>117.56449387942199</v>
      </c>
      <c r="I63" s="257"/>
      <c r="J63" s="257"/>
      <c r="K63" s="139" t="s">
        <v>129</v>
      </c>
      <c r="L63" s="212">
        <f>($C$22*$L31)+('Hypothetical SAR and RAR'!$C$21*$L31)</f>
        <v>73.796423158265938</v>
      </c>
      <c r="M63" s="212">
        <f>($C$25*$M31)+('Hypothetical SAR and RAR'!$C$21*$M31)</f>
        <v>107.6367718993492</v>
      </c>
      <c r="N63" s="212">
        <f>($D$22*$L31)+('Hypothetical SAR and RAR'!$C$21*$L31)</f>
        <v>77.098454319476019</v>
      </c>
      <c r="O63" s="212">
        <f>($D$25*$M31)+('Hypothetical SAR and RAR'!$C$21*$M31)</f>
        <v>112.45299414553408</v>
      </c>
      <c r="P63" s="212">
        <f>($E$22*$L31)+('Hypothetical SAR and RAR'!$C$21*$L31)</f>
        <v>77.098454319476019</v>
      </c>
      <c r="Q63" s="212">
        <f>($E$25*$M31)+('Hypothetical SAR and RAR'!$C$21*$M31)</f>
        <v>112.45299414553408</v>
      </c>
      <c r="R63" s="466"/>
      <c r="S63" s="466"/>
      <c r="T63" s="466"/>
      <c r="U63" s="466"/>
      <c r="W63" s="466"/>
      <c r="X63" s="466"/>
      <c r="Y63" s="466"/>
      <c r="Z63" s="466"/>
      <c r="AA63" s="10"/>
    </row>
    <row r="64" spans="2:27">
      <c r="B64" s="142" t="s">
        <v>201</v>
      </c>
      <c r="C64" s="212">
        <f>($C$22*$I32)+('Hypothetical SAR and RAR'!$C$21*$I32)</f>
        <v>166.34773838990333</v>
      </c>
      <c r="D64" s="212">
        <f>($C$25*$J32)+('Hypothetical SAR and RAR'!$C$21*$J32)</f>
        <v>157.78572244336414</v>
      </c>
      <c r="E64" s="212">
        <f>($D$22*$I32)+('Hypothetical SAR and RAR'!$C$21*$I32)</f>
        <v>173.79099095218905</v>
      </c>
      <c r="F64" s="212">
        <f>($D$25*$J32)+('Hypothetical SAR and RAR'!$C$21*$J32)</f>
        <v>164.84586641788516</v>
      </c>
      <c r="G64" s="212">
        <f>($E$22*$I32)+('Hypothetical SAR and RAR'!$C$21*$I32)</f>
        <v>173.79099095218905</v>
      </c>
      <c r="H64" s="212">
        <f>($E$25*$J32)+('Hypothetical SAR and RAR'!$C$21*$J32)</f>
        <v>164.84586641788516</v>
      </c>
      <c r="I64" s="257"/>
      <c r="J64" s="257"/>
      <c r="K64" s="142" t="s">
        <v>201</v>
      </c>
      <c r="L64" s="212">
        <f>($C$22*$L32)+('Hypothetical SAR and RAR'!$C$21*$L32)</f>
        <v>185.91806055342136</v>
      </c>
      <c r="M64" s="212">
        <f>($C$25*$M32)+('Hypothetical SAR and RAR'!$C$21*$M32)</f>
        <v>270.72278992866615</v>
      </c>
      <c r="N64" s="212">
        <f>($D$22*$L32)+('Hypothetical SAR and RAR'!$C$21*$L32)</f>
        <v>194.23698988774069</v>
      </c>
      <c r="O64" s="212">
        <f>($D$25*$M32)+('Hypothetical SAR and RAR'!$C$21*$M32)</f>
        <v>282.83631860846452</v>
      </c>
      <c r="P64" s="212">
        <f>($E$22*$L32)+('Hypothetical SAR and RAR'!$C$21*$L32)</f>
        <v>194.23698988774069</v>
      </c>
      <c r="Q64" s="212">
        <f>($E$25*$M32)+('Hypothetical SAR and RAR'!$C$21*$M32)</f>
        <v>282.83631860846452</v>
      </c>
      <c r="R64" s="466"/>
      <c r="S64" s="466"/>
      <c r="T64" s="466"/>
      <c r="U64" s="466"/>
      <c r="W64" s="466"/>
      <c r="X64" s="466"/>
      <c r="Y64" s="466"/>
      <c r="Z64" s="466"/>
    </row>
    <row r="65" spans="2:27" s="10" customFormat="1" ht="15" customHeight="1">
      <c r="B65" s="142" t="s">
        <v>202</v>
      </c>
      <c r="C65" s="212">
        <f>($C$22*$I33)+('Hypothetical SAR and RAR'!$C$21*$I33)</f>
        <v>194.48007649996049</v>
      </c>
      <c r="D65" s="212">
        <f>($C$25*$J33)+('Hypothetical SAR and RAR'!$C$21*$J33)</f>
        <v>133.32281973896661</v>
      </c>
      <c r="E65" s="212">
        <f>($D$22*$I33)+('Hypothetical SAR and RAR'!$C$21*$I33)</f>
        <v>203.18211442204452</v>
      </c>
      <c r="F65" s="212">
        <f>($D$25*$J33)+('Hypothetical SAR and RAR'!$C$21*$J33)</f>
        <v>139.28836774844561</v>
      </c>
      <c r="G65" s="212">
        <f>($E$22*$I33)+('Hypothetical SAR and RAR'!$C$21*$I33)</f>
        <v>203.18211442204452</v>
      </c>
      <c r="H65" s="212">
        <f>($E$25*$J33)+('Hypothetical SAR and RAR'!$C$21*$J33)</f>
        <v>139.28836774844561</v>
      </c>
      <c r="I65" s="257"/>
      <c r="J65" s="257"/>
      <c r="K65" s="142" t="s">
        <v>202</v>
      </c>
      <c r="L65" s="212">
        <f>($C$22*$L33)+('Hypothetical SAR and RAR'!$C$21*$L33)</f>
        <v>207.52695794230584</v>
      </c>
      <c r="M65" s="212">
        <f>($C$25*$M33)+('Hypothetical SAR and RAR'!$C$21*$M33)</f>
        <v>209.15781812259902</v>
      </c>
      <c r="N65" s="212">
        <f>($D$22*$L33)+('Hypothetical SAR and RAR'!$C$21*$L33)</f>
        <v>216.81278037907896</v>
      </c>
      <c r="O65" s="212">
        <f>($D$25*$M33)+('Hypothetical SAR and RAR'!$C$21*$M33)</f>
        <v>218.51661362370828</v>
      </c>
      <c r="P65" s="212">
        <f>($E$22*$L33)+('Hypothetical SAR and RAR'!$C$21*$L33)</f>
        <v>216.81278037907896</v>
      </c>
      <c r="Q65" s="212">
        <f>($E$25*$M33)+('Hypothetical SAR and RAR'!$C$21*$M33)</f>
        <v>218.51661362370828</v>
      </c>
      <c r="R65" s="466"/>
      <c r="S65" s="466"/>
      <c r="T65" s="466"/>
      <c r="U65" s="466"/>
      <c r="W65" s="466"/>
      <c r="X65" s="466"/>
      <c r="Y65" s="466"/>
      <c r="Z65" s="466"/>
      <c r="AA65" s="6"/>
    </row>
    <row r="66" spans="2:27">
      <c r="B66" s="145" t="s">
        <v>203</v>
      </c>
      <c r="C66" s="212">
        <f>($C$22*$I34)+('Hypothetical SAR and RAR'!$C$21*$I34)</f>
        <v>127.20709406286724</v>
      </c>
      <c r="D66" s="212">
        <f>($C$25*$J34)+('Hypothetical SAR and RAR'!$C$21*$J34)</f>
        <v>117.42193298110821</v>
      </c>
      <c r="E66" s="212">
        <f>($D$22*$I34)+('Hypothetical SAR and RAR'!$C$21*$I34)</f>
        <v>132.89899308108571</v>
      </c>
      <c r="F66" s="212">
        <f>($D$25*$J34)+('Hypothetical SAR and RAR'!$C$21*$J34)</f>
        <v>122.67599361330991</v>
      </c>
      <c r="G66" s="212">
        <f>($E$22*$I34)+('Hypothetical SAR and RAR'!$C$21*$I34)</f>
        <v>132.89899308108571</v>
      </c>
      <c r="H66" s="212">
        <f>($E$25*$J34)+('Hypothetical SAR and RAR'!$C$21*$J34)</f>
        <v>122.67599361330991</v>
      </c>
      <c r="I66" s="257"/>
      <c r="J66" s="257"/>
      <c r="K66" s="145" t="s">
        <v>203</v>
      </c>
      <c r="L66" s="212">
        <f>($C$22*$L34)+('Hypothetical SAR and RAR'!$C$21*$L34)</f>
        <v>106.82134180920262</v>
      </c>
      <c r="M66" s="212">
        <f>($C$25*$M34)+('Hypothetical SAR and RAR'!$C$21*$M34)</f>
        <v>148.81599145175173</v>
      </c>
      <c r="N66" s="212">
        <f>($D$22*$L34)+('Hypothetical SAR and RAR'!$C$21*$L34)</f>
        <v>111.60107752321942</v>
      </c>
      <c r="O66" s="212">
        <f>($D$25*$M34)+('Hypothetical SAR and RAR'!$C$21*$M34)</f>
        <v>155.474783572424</v>
      </c>
      <c r="P66" s="212">
        <f>($E$22*$L34)+('Hypothetical SAR and RAR'!$C$21*$L34)</f>
        <v>111.60107752321942</v>
      </c>
      <c r="Q66" s="212">
        <f>($E$25*$M34)+('Hypothetical SAR and RAR'!$C$21*$M34)</f>
        <v>155.474783572424</v>
      </c>
      <c r="R66" s="466"/>
      <c r="S66" s="466"/>
      <c r="T66" s="466"/>
      <c r="U66" s="466"/>
      <c r="W66" s="466"/>
      <c r="X66" s="466"/>
      <c r="Y66" s="466"/>
      <c r="Z66" s="466"/>
    </row>
    <row r="67" spans="2:27">
      <c r="B67" s="6" t="s">
        <v>113</v>
      </c>
      <c r="C67" s="213">
        <f t="shared" ref="C67:H67" si="8">SUMPRODUCT(C63:C66,$U$22:$U$25)</f>
        <v>117.43278189641492</v>
      </c>
      <c r="D67" s="213">
        <f t="shared" si="8"/>
        <v>114.87211405749289</v>
      </c>
      <c r="E67" s="213">
        <f t="shared" si="8"/>
        <v>122.68732796483253</v>
      </c>
      <c r="F67" s="213">
        <f t="shared" si="8"/>
        <v>120.01208268928468</v>
      </c>
      <c r="G67" s="213">
        <f t="shared" si="8"/>
        <v>122.68732796483253</v>
      </c>
      <c r="H67" s="213">
        <f t="shared" si="8"/>
        <v>120.01208268928468</v>
      </c>
      <c r="I67" s="258"/>
      <c r="J67" s="258"/>
      <c r="K67" s="6" t="s">
        <v>113</v>
      </c>
      <c r="L67" s="213">
        <f>SUMPRODUCT(L63:L66,$U$31:$U$34)</f>
        <v>89.706680366543608</v>
      </c>
      <c r="M67" s="213">
        <f t="shared" ref="M67:Q67" si="9">SUMPRODUCT(M63:M66,$U$31:$U$34)</f>
        <v>127.58878829204122</v>
      </c>
      <c r="N67" s="213">
        <f t="shared" si="9"/>
        <v>93.720618187131066</v>
      </c>
      <c r="O67" s="213">
        <f t="shared" si="9"/>
        <v>133.29776627133731</v>
      </c>
      <c r="P67" s="213">
        <f t="shared" si="9"/>
        <v>93.720618187131066</v>
      </c>
      <c r="Q67" s="213">
        <f t="shared" si="9"/>
        <v>133.29776627133731</v>
      </c>
      <c r="R67" s="466"/>
      <c r="S67" s="466"/>
      <c r="T67" s="466"/>
      <c r="U67" s="466"/>
      <c r="W67" s="466"/>
      <c r="X67" s="466"/>
      <c r="Y67" s="466"/>
      <c r="Z67" s="466"/>
    </row>
    <row r="68" spans="2:27">
      <c r="B68" s="7"/>
      <c r="C68" s="377"/>
      <c r="D68" s="377"/>
      <c r="E68" s="377"/>
      <c r="F68" s="377"/>
      <c r="G68" s="148"/>
      <c r="H68" s="148"/>
      <c r="I68" s="148"/>
      <c r="J68" s="148"/>
      <c r="K68" s="7"/>
      <c r="L68" s="210"/>
      <c r="M68" s="210"/>
      <c r="N68" s="211"/>
      <c r="O68" s="147"/>
      <c r="P68" s="148"/>
      <c r="Q68" s="148"/>
    </row>
    <row r="69" spans="2:27">
      <c r="B69" s="7"/>
      <c r="C69" s="210"/>
      <c r="D69" s="210"/>
      <c r="E69" s="211"/>
      <c r="F69" s="210"/>
      <c r="G69" s="148"/>
      <c r="H69" s="148"/>
      <c r="I69" s="148"/>
      <c r="J69" s="148"/>
      <c r="K69" s="7"/>
      <c r="L69" s="210"/>
      <c r="M69" s="210"/>
      <c r="N69" s="211"/>
      <c r="O69" s="210"/>
      <c r="P69" s="148"/>
      <c r="Q69" s="148"/>
    </row>
    <row r="70" spans="2:27">
      <c r="B70" s="7"/>
      <c r="C70" s="601" t="s">
        <v>274</v>
      </c>
      <c r="D70" s="601"/>
      <c r="E70" s="601"/>
      <c r="F70" s="601"/>
      <c r="G70" s="601"/>
      <c r="H70" s="601"/>
      <c r="K70" s="7"/>
      <c r="L70" s="601" t="s">
        <v>279</v>
      </c>
      <c r="M70" s="601"/>
      <c r="N70" s="601"/>
      <c r="O70" s="601"/>
      <c r="P70" s="601"/>
      <c r="Q70" s="601"/>
    </row>
    <row r="71" spans="2:27">
      <c r="B71" s="7"/>
      <c r="C71" s="618" t="str">
        <f>C51</f>
        <v>2/1/2025</v>
      </c>
      <c r="D71" s="618"/>
      <c r="E71" s="619" t="str">
        <f>E61</f>
        <v>6/1/25</v>
      </c>
      <c r="F71" s="618"/>
      <c r="G71" s="618" t="str">
        <f>G61</f>
        <v>Proposed</v>
      </c>
      <c r="H71" s="618"/>
      <c r="I71" s="619"/>
      <c r="J71" s="618"/>
      <c r="K71" s="7"/>
      <c r="L71" s="265" t="str">
        <f>L51</f>
        <v>2/1/2025</v>
      </c>
      <c r="M71" s="265"/>
      <c r="N71" s="266" t="str">
        <f>N61</f>
        <v>6/1/25</v>
      </c>
      <c r="O71" s="265"/>
      <c r="P71" s="265" t="str">
        <f>P61</f>
        <v>Proposed</v>
      </c>
      <c r="Q71" s="265"/>
    </row>
    <row r="72" spans="2:27">
      <c r="B72" s="7"/>
      <c r="C72" s="210" t="s">
        <v>196</v>
      </c>
      <c r="D72" s="210" t="s">
        <v>197</v>
      </c>
      <c r="E72" s="210" t="s">
        <v>196</v>
      </c>
      <c r="F72" s="210" t="s">
        <v>197</v>
      </c>
      <c r="G72" s="210" t="s">
        <v>196</v>
      </c>
      <c r="H72" s="210" t="s">
        <v>197</v>
      </c>
      <c r="I72" s="210"/>
      <c r="J72" s="210"/>
      <c r="K72" s="7"/>
      <c r="L72" s="210" t="s">
        <v>196</v>
      </c>
      <c r="M72" s="210" t="s">
        <v>197</v>
      </c>
      <c r="N72" s="210" t="s">
        <v>196</v>
      </c>
      <c r="O72" s="210" t="s">
        <v>197</v>
      </c>
      <c r="P72" s="210" t="s">
        <v>196</v>
      </c>
      <c r="Q72" s="210" t="s">
        <v>197</v>
      </c>
    </row>
    <row r="73" spans="2:27">
      <c r="B73" s="139" t="s">
        <v>129</v>
      </c>
      <c r="C73" s="212">
        <f>($C$31*$I31)+('Hypothetical SAR and RAR'!$C$21*$I31)</f>
        <v>68.428799999999981</v>
      </c>
      <c r="D73" s="212">
        <f>($C$34*$J31)+('Hypothetical SAR and RAR'!$C$21*$J31)</f>
        <v>69.949439999999996</v>
      </c>
      <c r="E73" s="212">
        <f>($D$31*$I31)+('Hypothetical SAR and RAR'!$C$21*$I31)</f>
        <v>71.628299999999996</v>
      </c>
      <c r="F73" s="212">
        <f>($D$34*$J31)+('Hypothetical SAR and RAR'!$C$21*$J31)</f>
        <v>73.220039999999997</v>
      </c>
      <c r="G73" s="212">
        <f>($E$31*$I31)+('Hypothetical SAR and RAR'!$C$21*$I31)</f>
        <v>71.628299999999996</v>
      </c>
      <c r="H73" s="212">
        <f>($E$34*$J31)+('Hypothetical SAR and RAR'!$C$21*$J31)</f>
        <v>73.220039999999997</v>
      </c>
      <c r="I73" s="257"/>
      <c r="J73" s="257"/>
      <c r="K73" s="139" t="s">
        <v>129</v>
      </c>
      <c r="L73" s="212">
        <f>($C$31*$L31)+('Hypothetical SAR and RAR'!$C$21*$L31)</f>
        <v>45.87263999999999</v>
      </c>
      <c r="M73" s="212">
        <f>($C$34*$M31)+('Hypothetical SAR and RAR'!$C$21*$M31)</f>
        <v>66.908159999999995</v>
      </c>
      <c r="N73" s="212">
        <f>($D$31*$L31)+('Hypothetical SAR and RAR'!$C$21*$L31)</f>
        <v>48.017489999999995</v>
      </c>
      <c r="O73" s="212">
        <f>($D$34*$M31)+('Hypothetical SAR and RAR'!$C$21*$M31)</f>
        <v>70.036560000000009</v>
      </c>
      <c r="P73" s="212">
        <f>($E$31*$L31)+('Hypothetical SAR and RAR'!$C$21*$L31)</f>
        <v>48.017489999999995</v>
      </c>
      <c r="Q73" s="212">
        <f>($E$34*$M31)+('Hypothetical SAR and RAR'!$C$21*$M31)</f>
        <v>70.036560000000009</v>
      </c>
      <c r="R73" s="466"/>
      <c r="S73" s="466"/>
      <c r="T73" s="466"/>
      <c r="U73" s="466"/>
      <c r="W73" s="466"/>
      <c r="X73" s="466"/>
      <c r="Y73" s="466"/>
      <c r="Z73" s="466"/>
    </row>
    <row r="74" spans="2:27">
      <c r="B74" s="142" t="s">
        <v>201</v>
      </c>
      <c r="C74" s="212">
        <f>($C$31*$I32)+('Hypothetical SAR and RAR'!$C$21*$I32)</f>
        <v>103.40352</v>
      </c>
      <c r="D74" s="212">
        <f>($C$34*$J32)+('Hypothetical SAR and RAR'!$C$21*$J32)</f>
        <v>98.081279999999992</v>
      </c>
      <c r="E74" s="212">
        <f>($D$31*$I32)+('Hypothetical SAR and RAR'!$C$21*$I32)</f>
        <v>108.23832</v>
      </c>
      <c r="F74" s="212">
        <f>($D$34*$J32)+('Hypothetical SAR and RAR'!$C$21*$J32)</f>
        <v>102.66723</v>
      </c>
      <c r="G74" s="212">
        <f>($E$31*$I32)+('Hypothetical SAR and RAR'!$C$21*$I32)</f>
        <v>108.23832</v>
      </c>
      <c r="H74" s="212">
        <f>($E$34*$J32)+('Hypothetical SAR and RAR'!$C$21*$J32)</f>
        <v>102.66723</v>
      </c>
      <c r="I74" s="257"/>
      <c r="J74" s="257"/>
      <c r="K74" s="142" t="s">
        <v>201</v>
      </c>
      <c r="L74" s="212">
        <f>($C$31*$L32)+('Hypothetical SAR and RAR'!$C$21*$L32)</f>
        <v>115.56863999999999</v>
      </c>
      <c r="M74" s="212">
        <f>($C$34*$M32)+('Hypothetical SAR and RAR'!$C$21*$M32)</f>
        <v>168.28415999999999</v>
      </c>
      <c r="N74" s="212">
        <f>($D$31*$L32)+('Hypothetical SAR and RAR'!$C$21*$L32)</f>
        <v>120.97224</v>
      </c>
      <c r="O74" s="212">
        <f>($D$34*$M32)+('Hypothetical SAR and RAR'!$C$21*$M32)</f>
        <v>176.15256000000002</v>
      </c>
      <c r="P74" s="212">
        <f>($E$31*$L32)+('Hypothetical SAR and RAR'!$C$21*$L32)</f>
        <v>120.97224</v>
      </c>
      <c r="Q74" s="212">
        <f>($E$34*$M32)+('Hypothetical SAR and RAR'!$C$21*$M32)</f>
        <v>176.15256000000002</v>
      </c>
      <c r="R74" s="466"/>
      <c r="S74" s="466"/>
      <c r="T74" s="466"/>
      <c r="U74" s="466"/>
      <c r="W74" s="466"/>
      <c r="X74" s="466"/>
      <c r="Y74" s="466"/>
      <c r="Z74" s="466"/>
    </row>
    <row r="75" spans="2:27">
      <c r="B75" s="142" t="s">
        <v>202</v>
      </c>
      <c r="C75" s="212">
        <f>($C$31*$I33)+('Hypothetical SAR and RAR'!$C$21*$I33)</f>
        <v>120.89088</v>
      </c>
      <c r="D75" s="212">
        <f>($C$34*$J33)+('Hypothetical SAR and RAR'!$C$21*$J33)</f>
        <v>82.87487999999999</v>
      </c>
      <c r="E75" s="212">
        <f>($D$31*$I33)+('Hypothetical SAR and RAR'!$C$21*$I33)</f>
        <v>126.54333000000001</v>
      </c>
      <c r="F75" s="212">
        <f>($D$34*$J33)+('Hypothetical SAR and RAR'!$C$21*$J33)</f>
        <v>86.749830000000003</v>
      </c>
      <c r="G75" s="212">
        <f>($E$31*$I33)+('Hypothetical SAR and RAR'!$C$21*$I33)</f>
        <v>126.54333000000001</v>
      </c>
      <c r="H75" s="212">
        <f>($E$34*$J33)+('Hypothetical SAR and RAR'!$C$21*$J33)</f>
        <v>86.749830000000003</v>
      </c>
      <c r="I75" s="257"/>
      <c r="J75" s="257"/>
      <c r="K75" s="142" t="s">
        <v>202</v>
      </c>
      <c r="L75" s="212">
        <f>($C$31*$L33)+('Hypothetical SAR and RAR'!$C$21*$L33)</f>
        <v>129.00095999999996</v>
      </c>
      <c r="M75" s="212">
        <f>($C$34*$M33)+('Hypothetical SAR and RAR'!$C$21*$M33)</f>
        <v>130.01472000000001</v>
      </c>
      <c r="N75" s="212">
        <f>($D$31*$L33)+('Hypothetical SAR and RAR'!$C$21*$L33)</f>
        <v>135.03260999999998</v>
      </c>
      <c r="O75" s="212">
        <f>($D$34*$M33)+('Hypothetical SAR and RAR'!$C$21*$M33)</f>
        <v>136.09377000000001</v>
      </c>
      <c r="P75" s="212">
        <f>($E$31*$L33)+('Hypothetical SAR and RAR'!$C$21*$L33)</f>
        <v>135.03260999999998</v>
      </c>
      <c r="Q75" s="212">
        <f>($E$34*$M33)+('Hypothetical SAR and RAR'!$C$21*$M33)</f>
        <v>136.09377000000001</v>
      </c>
      <c r="R75" s="466"/>
      <c r="S75" s="466"/>
      <c r="T75" s="466"/>
      <c r="U75" s="466"/>
      <c r="W75" s="466"/>
      <c r="X75" s="466"/>
      <c r="Y75" s="466"/>
      <c r="Z75" s="466"/>
    </row>
    <row r="76" spans="2:27">
      <c r="B76" s="145" t="s">
        <v>203</v>
      </c>
      <c r="C76" s="212">
        <f>($C$31*$I34)+('Hypothetical SAR and RAR'!$C$21*$I34)</f>
        <v>79.073279999999997</v>
      </c>
      <c r="D76" s="212">
        <f>($C$34*$J34)+('Hypothetical SAR and RAR'!$C$21*$J34)</f>
        <v>72.990719999999996</v>
      </c>
      <c r="E76" s="212">
        <f>($D$31*$I34)+('Hypothetical SAR and RAR'!$C$21*$I34)</f>
        <v>82.770480000000006</v>
      </c>
      <c r="F76" s="212">
        <f>($D$34*$J34)+('Hypothetical SAR and RAR'!$C$21*$J34)</f>
        <v>76.40352</v>
      </c>
      <c r="G76" s="212">
        <f>($E$31*$I34)+('Hypothetical SAR and RAR'!$C$21*$I34)</f>
        <v>82.770480000000006</v>
      </c>
      <c r="H76" s="212">
        <f>($E$34*$J34)+('Hypothetical SAR and RAR'!$C$21*$J34)</f>
        <v>76.40352</v>
      </c>
      <c r="I76" s="257"/>
      <c r="J76" s="257"/>
      <c r="K76" s="145" t="s">
        <v>203</v>
      </c>
      <c r="L76" s="212">
        <f>($C$31*$L34)+('Hypothetical SAR and RAR'!$C$21*$L34)</f>
        <v>66.401279999999986</v>
      </c>
      <c r="M76" s="212">
        <f>($C$34*$M34)+('Hypothetical SAR and RAR'!$C$21*$M34)</f>
        <v>92.505599999999987</v>
      </c>
      <c r="N76" s="212">
        <f>($D$31*$L34)+('Hypothetical SAR and RAR'!$C$21*$L34)</f>
        <v>69.505979999999994</v>
      </c>
      <c r="O76" s="212">
        <f>($D$34*$M34)+('Hypothetical SAR and RAR'!$C$21*$M34)</f>
        <v>96.830849999999998</v>
      </c>
      <c r="P76" s="212">
        <f>($E$31*$L34)+('Hypothetical SAR and RAR'!$C$21*$L34)</f>
        <v>69.505979999999994</v>
      </c>
      <c r="Q76" s="212">
        <f>($E$34*$M34)+('Hypothetical SAR and RAR'!$C$21*$M34)</f>
        <v>96.830849999999998</v>
      </c>
      <c r="R76" s="466"/>
      <c r="S76" s="466"/>
      <c r="T76" s="466"/>
      <c r="U76" s="466"/>
      <c r="W76" s="466"/>
      <c r="X76" s="466"/>
      <c r="Y76" s="466"/>
      <c r="Z76" s="466"/>
    </row>
    <row r="77" spans="2:27">
      <c r="B77" s="6" t="s">
        <v>113</v>
      </c>
      <c r="C77" s="213">
        <f t="shared" ref="C77:H77" si="10">SUMPRODUCT(C73:C76,$V$22:$V$25)</f>
        <v>73.981086877039843</v>
      </c>
      <c r="D77" s="213">
        <f t="shared" si="10"/>
        <v>71.680428596958194</v>
      </c>
      <c r="E77" s="213">
        <f t="shared" si="10"/>
        <v>77.440193093473411</v>
      </c>
      <c r="F77" s="213">
        <f t="shared" si="10"/>
        <v>75.031963788222242</v>
      </c>
      <c r="G77" s="213">
        <f t="shared" si="10"/>
        <v>77.440193093473411</v>
      </c>
      <c r="H77" s="213">
        <f t="shared" si="10"/>
        <v>75.031963788222242</v>
      </c>
      <c r="I77" s="258"/>
      <c r="J77" s="258"/>
      <c r="K77" s="6" t="s">
        <v>113</v>
      </c>
      <c r="L77" s="213">
        <f>SUMPRODUCT(L73:L76,$V$31:$V$34)</f>
        <v>58.193370232699607</v>
      </c>
      <c r="M77" s="213">
        <f t="shared" ref="M77:Q77" si="11">SUMPRODUCT(M73:M76,$V$31:$V$34)</f>
        <v>82.326719979141757</v>
      </c>
      <c r="N77" s="213">
        <f t="shared" si="11"/>
        <v>60.914296042585548</v>
      </c>
      <c r="O77" s="213">
        <f t="shared" si="11"/>
        <v>86.176039864530154</v>
      </c>
      <c r="P77" s="213">
        <f t="shared" si="11"/>
        <v>60.914296042585548</v>
      </c>
      <c r="Q77" s="213">
        <f t="shared" si="11"/>
        <v>86.176039864530154</v>
      </c>
      <c r="R77" s="466"/>
      <c r="S77" s="466"/>
      <c r="T77" s="466"/>
      <c r="U77" s="466"/>
      <c r="W77" s="466"/>
      <c r="X77" s="466"/>
      <c r="Y77" s="466"/>
      <c r="Z77" s="466"/>
    </row>
    <row r="78" spans="2:27">
      <c r="B78" s="7"/>
      <c r="C78" s="377"/>
      <c r="D78" s="377"/>
      <c r="E78" s="377"/>
      <c r="F78" s="377"/>
      <c r="G78" s="148"/>
      <c r="H78" s="148"/>
      <c r="I78" s="148"/>
      <c r="K78" s="7"/>
      <c r="L78" s="210"/>
      <c r="M78" s="210"/>
      <c r="N78" s="211"/>
      <c r="P78" s="148"/>
      <c r="Q78" s="148"/>
    </row>
    <row r="79" spans="2:27" ht="15.75" thickBot="1"/>
    <row r="80" spans="2:27" ht="15.75" thickBot="1">
      <c r="B80" s="517">
        <f>IF('Hypothetical Summary'!$H$9="",400,'Hypothetical Summary'!$H$9)</f>
        <v>400</v>
      </c>
      <c r="C80" s="621" t="s">
        <v>280</v>
      </c>
      <c r="D80" s="601"/>
      <c r="E80" s="601"/>
      <c r="F80" s="601"/>
      <c r="G80" s="601"/>
      <c r="H80" s="601"/>
      <c r="K80" s="517">
        <f>IF('Hypothetical Summary'!$H$9="",400,'Hypothetical Summary'!$H$9)</f>
        <v>400</v>
      </c>
      <c r="L80" s="621" t="s">
        <v>282</v>
      </c>
      <c r="M80" s="601"/>
      <c r="N80" s="601"/>
      <c r="O80" s="601"/>
      <c r="P80" s="601"/>
      <c r="Q80" s="601"/>
    </row>
    <row r="81" spans="2:26">
      <c r="B81" s="7"/>
      <c r="C81" s="618" t="str">
        <f>C71</f>
        <v>2/1/2025</v>
      </c>
      <c r="D81" s="618"/>
      <c r="E81" s="619" t="str">
        <f>E71</f>
        <v>6/1/25</v>
      </c>
      <c r="F81" s="618"/>
      <c r="G81" s="618" t="str">
        <f>G71</f>
        <v>Proposed</v>
      </c>
      <c r="H81" s="618"/>
      <c r="I81" s="616"/>
      <c r="J81" s="617"/>
      <c r="K81" s="7"/>
      <c r="L81" s="265" t="str">
        <f>L71</f>
        <v>2/1/2025</v>
      </c>
      <c r="M81" s="265"/>
      <c r="N81" s="266" t="str">
        <f>N71</f>
        <v>6/1/25</v>
      </c>
      <c r="O81" s="265"/>
      <c r="P81" s="265" t="str">
        <f>P71</f>
        <v>Proposed</v>
      </c>
      <c r="Q81" s="265"/>
    </row>
    <row r="82" spans="2:26">
      <c r="B82" s="7"/>
      <c r="C82" s="210" t="s">
        <v>196</v>
      </c>
      <c r="D82" s="210" t="s">
        <v>197</v>
      </c>
      <c r="E82" s="210" t="s">
        <v>196</v>
      </c>
      <c r="F82" s="210" t="s">
        <v>197</v>
      </c>
      <c r="G82" s="210" t="s">
        <v>196</v>
      </c>
      <c r="H82" s="210" t="s">
        <v>197</v>
      </c>
      <c r="I82" s="257"/>
      <c r="J82" s="257"/>
      <c r="K82" s="7"/>
      <c r="L82" s="210" t="s">
        <v>196</v>
      </c>
      <c r="M82" s="210" t="s">
        <v>197</v>
      </c>
      <c r="N82" s="210" t="s">
        <v>196</v>
      </c>
      <c r="O82" s="210" t="s">
        <v>197</v>
      </c>
      <c r="P82" s="210" t="s">
        <v>196</v>
      </c>
      <c r="Q82" s="210" t="s">
        <v>197</v>
      </c>
    </row>
    <row r="83" spans="2:26">
      <c r="B83" s="139" t="s">
        <v>129</v>
      </c>
      <c r="C83" s="212">
        <f>$C$22*MIN(I22,$B$80)+IF($B$80-I22&gt;0,$C$23*($B$80-I22))+('Hypothetical SAR and RAR'!$C$21*$B$80)</f>
        <v>168.25265543379194</v>
      </c>
      <c r="D83" s="212">
        <f>$C$25*MIN(J22,$B$80)+IF($B$80-J22&gt;0,$C$26*($B$80-J22))+('Hypothetical SAR and RAR'!$C$21*$B$80)</f>
        <v>167.40912279632661</v>
      </c>
      <c r="E83" s="212">
        <f>$D$22*MIN(I22,$B$80)+IF($B$80-I22&gt;0,$D$23*($B$80-I22))+('Hypothetical SAR and RAR'!$C$21*$B$80)</f>
        <v>175.78159827915951</v>
      </c>
      <c r="F83" s="212">
        <f>$D$25*MIN(J22,$B$80)+IF($B$80-J22&gt;0,$D$26*($B$80-J22))+('Hypothetical SAR and RAR'!$C$21*$B$80)</f>
        <v>174.9002474520201</v>
      </c>
      <c r="G83" s="212">
        <f>$E$22*MIN(I22,$B$80)+IF($B$80-I22&gt;0,$E$23*($B$80-I22))+('Hypothetical SAR and RAR'!$C$21*$B$80)</f>
        <v>175.78159827915951</v>
      </c>
      <c r="H83" s="212">
        <f>$E$25*MIN(J22,$B$80)+IF($B$80-J22&gt;0,$E$26*($B$80-J22))+('Hypothetical SAR and RAR'!$C$21*$B$80)</f>
        <v>174.9002474520201</v>
      </c>
      <c r="I83" s="257"/>
      <c r="J83" s="257"/>
      <c r="K83" s="139" t="s">
        <v>129</v>
      </c>
      <c r="L83" s="212">
        <f>$C$22*MIN($L22,$K$80)+IF($K$80-$L22&gt;0,$C$23*($K$80-$L22))+('Hypothetical SAR and RAR'!$C$21*$K$80)</f>
        <v>180.48387867703875</v>
      </c>
      <c r="M83" s="212">
        <f>$C$25*MIN($M22,$K$80)+IF($K$80-$M22&gt;0,$C$26*($K$80-$M22))+('Hypothetical SAR and RAR'!$C$21*$K$80)</f>
        <v>169.09618807125722</v>
      </c>
      <c r="N83" s="212">
        <f>$D$22*MIN($L22,$B$80)+IF($B$80-$L22&gt;0,$D$23*($B$80-$L22))+('Hypothetical SAR and RAR'!$C$21*$B$80)</f>
        <v>188.56118527268148</v>
      </c>
      <c r="O83" s="212">
        <f>$D$25*MIN($M22,$B$80)+IF($B$80-$M22&gt;0,$D$26*($B$80-$M22))+('Hypothetical SAR and RAR'!$C$21*$B$80)</f>
        <v>176.66294910629895</v>
      </c>
      <c r="P83" s="212">
        <f>$E$22*MIN($L22,$K$80)+IF($K$80-$L22&gt;0,$E$23*($K$80-$L22))+('Hypothetical SAR and RAR'!$C$21*$K$80)</f>
        <v>188.56118527268148</v>
      </c>
      <c r="Q83" s="212">
        <f>$E$25*MIN($M22,$K$80)+IF($K$80-$M22&gt;0,$E$26*($K$80-$M22))+('Hypothetical SAR and RAR'!$C$21*$K$80)</f>
        <v>176.66294910629895</v>
      </c>
      <c r="R83" s="466"/>
      <c r="S83" s="466"/>
      <c r="T83" s="466"/>
      <c r="U83" s="466"/>
      <c r="W83" s="466"/>
      <c r="X83" s="466"/>
      <c r="Y83" s="466"/>
      <c r="Z83" s="466"/>
    </row>
    <row r="84" spans="2:26">
      <c r="B84" s="142" t="s">
        <v>201</v>
      </c>
      <c r="C84" s="212">
        <f>$C$22*MIN(I23,$B$80)+IF($B$80-I23&gt;0,$C$23*($B$80-I23))+('Hypothetical SAR and RAR'!$C$21*$B$80)</f>
        <v>163.08601802931699</v>
      </c>
      <c r="D84" s="212">
        <f>$C$25*MIN(J23,$B$80)+IF($B$80-J23&gt;0,$C$26*($B$80-J23))+('Hypothetical SAR and RAR'!$C$21*$B$80)</f>
        <v>163.08601802931696</v>
      </c>
      <c r="E84" s="212">
        <f>$D$22*MIN(I23,$B$80)+IF($B$80-I23&gt;0,$D$23*($B$80-I23))+('Hypothetical SAR and RAR'!$C$21*$B$80)</f>
        <v>170.3833244629304</v>
      </c>
      <c r="F84" s="212">
        <f>$D$25*MIN(J23,$B$80)+IF($B$80-J23&gt;0,$D$26*($B$80-J23))+('Hypothetical SAR and RAR'!$C$21*$B$80)</f>
        <v>170.3833244629304</v>
      </c>
      <c r="G84" s="212">
        <f>$E$22*MIN(I23,$B$80)+IF($B$80-I23&gt;0,$E$23*($B$80-I23))+('Hypothetical SAR and RAR'!$C$21*$B$80)</f>
        <v>170.3833244629304</v>
      </c>
      <c r="H84" s="212">
        <f>$E$25*MIN(J23,$B$80)+IF($B$80-J23&gt;0,$E$26*($B$80-J23))+('Hypothetical SAR and RAR'!$C$21*$B$80)</f>
        <v>170.3833244629304</v>
      </c>
      <c r="I84" s="257"/>
      <c r="J84" s="257"/>
      <c r="K84" s="142" t="s">
        <v>201</v>
      </c>
      <c r="L84" s="212">
        <f>$C$22*MIN($L23,$K$80)+IF($K$80-$L23&gt;0,$C$23*($K$80-$L23))+('Hypothetical SAR and RAR'!$C$21*$K$80)</f>
        <v>163.08601802931699</v>
      </c>
      <c r="M84" s="212">
        <f>$C$25*MIN($M23,$K$80)+IF($K$80-$M23&gt;0,$C$26*($K$80-$M23))+('Hypothetical SAR and RAR'!$C$21*$K$80)</f>
        <v>163.08601802931696</v>
      </c>
      <c r="N84" s="212">
        <f>$D$22*MIN($L23,$B$80)+IF($B$80-$L23&gt;0,$D$23*($B$80-$L23))+('Hypothetical SAR and RAR'!$C$21*$B$80)</f>
        <v>170.3833244629304</v>
      </c>
      <c r="O84" s="212">
        <f>$D$25*MIN($M23,$B$80)+IF($B$80-$M23&gt;0,$D$26*($B$80-$M23))+('Hypothetical SAR and RAR'!$C$21*$B$80)</f>
        <v>170.3833244629304</v>
      </c>
      <c r="P84" s="212">
        <f>$E$22*MIN($L23,$K$80)+IF($K$80-$L23&gt;0,$E$23*($K$80-$L23))+('Hypothetical SAR and RAR'!$C$21*$K$80)</f>
        <v>170.3833244629304</v>
      </c>
      <c r="Q84" s="212">
        <f>$E$25*MIN($M23,$K$80)+IF($K$80-$M23&gt;0,$E$26*($K$80-$M23))+('Hypothetical SAR and RAR'!$C$21*$K$80)</f>
        <v>170.3833244629304</v>
      </c>
      <c r="R84" s="466"/>
      <c r="S84" s="466"/>
      <c r="T84" s="466"/>
      <c r="U84" s="466"/>
      <c r="W84" s="466"/>
      <c r="X84" s="466"/>
      <c r="Y84" s="466"/>
      <c r="Z84" s="466"/>
    </row>
    <row r="85" spans="2:26">
      <c r="B85" s="142" t="s">
        <v>202</v>
      </c>
      <c r="C85" s="212">
        <f>$C$22*MIN(I24,$B$80)+IF($B$80-I24&gt;0,$C$23*($B$80-I24))+('Hypothetical SAR and RAR'!$C$21*$B$80)</f>
        <v>163.08601802931699</v>
      </c>
      <c r="D85" s="212">
        <f>$C$25*MIN(J24,$B$80)+IF($B$80-J24&gt;0,$C$26*($B$80-J24))+('Hypothetical SAR and RAR'!$C$21*$B$80)</f>
        <v>163.08601802931696</v>
      </c>
      <c r="E85" s="212">
        <f>$D$22*MIN(I24,$B$80)+IF($B$80-I24&gt;0,$D$23*($B$80-I24))+('Hypothetical SAR and RAR'!$C$21*$B$80)</f>
        <v>170.3833244629304</v>
      </c>
      <c r="F85" s="212">
        <f>$D$25*MIN(J24,$B$80)+IF($B$80-J24&gt;0,$D$26*($B$80-J24))+('Hypothetical SAR and RAR'!$C$21*$B$80)</f>
        <v>170.3833244629304</v>
      </c>
      <c r="G85" s="212">
        <f>$E$22*MIN(I24,$B$80)+IF($B$80-I24&gt;0,$E$23*($B$80-I24))+('Hypothetical SAR and RAR'!$C$21*$B$80)</f>
        <v>170.3833244629304</v>
      </c>
      <c r="H85" s="212">
        <f>$E$25*MIN(J24,$B$80)+IF($B$80-J24&gt;0,$E$26*($B$80-J24))+('Hypothetical SAR and RAR'!$C$21*$B$80)</f>
        <v>170.3833244629304</v>
      </c>
      <c r="I85" s="257"/>
      <c r="J85" s="257"/>
      <c r="K85" s="142" t="s">
        <v>202</v>
      </c>
      <c r="L85" s="212">
        <f>$C$22*MIN($L24,$K$80)+IF($K$80-$L24&gt;0,$C$23*($K$80-$L24))+('Hypothetical SAR and RAR'!$C$21*$K$80)</f>
        <v>163.08601802931699</v>
      </c>
      <c r="M85" s="212">
        <f>$C$25*MIN($M24,$K$80)+IF($K$80-$M24&gt;0,$C$26*($K$80-$M24))+('Hypothetical SAR and RAR'!$C$21*$K$80)</f>
        <v>163.08601802931696</v>
      </c>
      <c r="N85" s="212">
        <f>$D$22*MIN($L24,$B$80)+IF($B$80-$L24&gt;0,$D$23*($B$80-$L24))+('Hypothetical SAR and RAR'!$C$21*$B$80)</f>
        <v>170.3833244629304</v>
      </c>
      <c r="O85" s="212">
        <f>$D$25*MIN($M24,$B$80)+IF($B$80-$M24&gt;0,$D$26*($B$80-$M24))+('Hypothetical SAR and RAR'!$C$21*$B$80)</f>
        <v>170.3833244629304</v>
      </c>
      <c r="P85" s="212">
        <f>$E$22*MIN($L24,$K$80)+IF($K$80-$L24&gt;0,$E$23*($K$80-$L24))+('Hypothetical SAR and RAR'!$C$21*$K$80)</f>
        <v>170.3833244629304</v>
      </c>
      <c r="Q85" s="212">
        <f>$E$25*MIN($M24,$K$80)+IF($K$80-$M24&gt;0,$E$26*($K$80-$M24))+('Hypothetical SAR and RAR'!$C$21*$K$80)</f>
        <v>170.3833244629304</v>
      </c>
      <c r="R85" s="466"/>
      <c r="S85" s="466"/>
      <c r="T85" s="466"/>
      <c r="U85" s="466"/>
      <c r="W85" s="466"/>
      <c r="X85" s="466"/>
      <c r="Y85" s="466"/>
      <c r="Z85" s="466"/>
    </row>
    <row r="86" spans="2:26">
      <c r="B86" s="145" t="s">
        <v>203</v>
      </c>
      <c r="C86" s="212">
        <f>$C$22*MIN(I25,$B$80)+IF($B$80-I25&gt;0,$C$23*($B$80-I25))+('Hypothetical SAR and RAR'!$C$21*$B$80)</f>
        <v>163.08601802931699</v>
      </c>
      <c r="D86" s="212">
        <f>$C$25*MIN(J25,$B$80)+IF($B$80-J25&gt;0,$C$26*($B$80-J25))+('Hypothetical SAR and RAR'!$C$21*$B$80)</f>
        <v>165.82749910107918</v>
      </c>
      <c r="E86" s="212">
        <f>$D$22*MIN(I25,$B$80)+IF($B$80-I25&gt;0,$D$23*($B$80-I25))+('Hypothetical SAR and RAR'!$C$21*$B$80)</f>
        <v>170.3833244629304</v>
      </c>
      <c r="F86" s="212">
        <f>$D$25*MIN(J25,$B$80)+IF($B$80-J25&gt;0,$D$26*($B$80-J25))+('Hypothetical SAR and RAR'!$C$21*$B$80)</f>
        <v>173.24771465113361</v>
      </c>
      <c r="G86" s="212">
        <f>$E$22*MIN(I25,$B$80)+IF($B$80-I25&gt;0,$E$23*($B$80-I25))+('Hypothetical SAR and RAR'!$C$21*$B$80)</f>
        <v>170.3833244629304</v>
      </c>
      <c r="H86" s="212">
        <f>$E$25*MIN(J25,$B$80)+IF($B$80-J25&gt;0,$E$26*($B$80-J25))+('Hypothetical SAR and RAR'!$C$21*$B$80)</f>
        <v>173.24771465113361</v>
      </c>
      <c r="I86" s="257"/>
      <c r="J86" s="257"/>
      <c r="K86" s="145" t="s">
        <v>203</v>
      </c>
      <c r="L86" s="212">
        <f>$C$22*MIN($L25,$K$80)+IF($K$80-$L25&gt;0,$C$23*($K$80-$L25))+('Hypothetical SAR and RAR'!$C$21*$K$80)</f>
        <v>169.30707123062354</v>
      </c>
      <c r="M86" s="212">
        <f>$C$25*MIN($M25,$K$80)+IF($K$80-$M25&gt;0,$C$26*($K$80-$M25))+('Hypothetical SAR and RAR'!$C$21*$K$80)</f>
        <v>163.08601802931696</v>
      </c>
      <c r="N86" s="212">
        <f>$D$22*MIN($L25,$B$80)+IF($B$80-$L25&gt;0,$D$23*($B$80-$L25))+('Hypothetical SAR and RAR'!$C$21*$B$80)</f>
        <v>176.88328681308383</v>
      </c>
      <c r="O86" s="212">
        <f>$D$25*MIN($M25,$B$80)+IF($B$80-$M25&gt;0,$D$26*($B$80-$M25))+('Hypothetical SAR and RAR'!$C$21*$B$80)</f>
        <v>170.3833244629304</v>
      </c>
      <c r="P86" s="212">
        <f>$E$22*MIN($L25,$K$80)+IF($K$80-$L25&gt;0,$E$23*($K$80-$L25))+('Hypothetical SAR and RAR'!$C$21*$K$80)</f>
        <v>176.88328681308383</v>
      </c>
      <c r="Q86" s="212">
        <f>$E$25*MIN($M25,$K$80)+IF($K$80-$M25&gt;0,$E$26*($K$80-$M25))+('Hypothetical SAR and RAR'!$C$21*$K$80)</f>
        <v>170.3833244629304</v>
      </c>
      <c r="R86" s="466"/>
      <c r="S86" s="466"/>
      <c r="T86" s="466"/>
      <c r="U86" s="466"/>
      <c r="W86" s="466"/>
      <c r="X86" s="466"/>
      <c r="Y86" s="466"/>
      <c r="Z86" s="466"/>
    </row>
    <row r="87" spans="2:26">
      <c r="B87" s="6" t="s">
        <v>113</v>
      </c>
      <c r="C87" s="213">
        <f t="shared" ref="C87:H87" si="12">SUMPRODUCT(C83:C86,$U$22:$U$25)</f>
        <v>166.15807767569058</v>
      </c>
      <c r="D87" s="213">
        <f t="shared" si="12"/>
        <v>166.74162731262001</v>
      </c>
      <c r="E87" s="213">
        <f t="shared" si="12"/>
        <v>173.5931140906192</v>
      </c>
      <c r="F87" s="213">
        <f t="shared" si="12"/>
        <v>174.20282607133186</v>
      </c>
      <c r="G87" s="213">
        <f t="shared" si="12"/>
        <v>173.5931140906192</v>
      </c>
      <c r="H87" s="213">
        <f t="shared" si="12"/>
        <v>174.20282607133186</v>
      </c>
      <c r="I87" s="258"/>
      <c r="J87" s="258"/>
      <c r="K87" s="6" t="s">
        <v>113</v>
      </c>
      <c r="L87" s="213">
        <f>SUMPRODUCT(L83:L86,$U$31:$U$34)</f>
        <v>175.70050264406495</v>
      </c>
      <c r="M87" s="213">
        <f t="shared" ref="M87:Q87" si="13">SUMPRODUCT(M83:M86,$U$31:$U$34)</f>
        <v>166.61489086278573</v>
      </c>
      <c r="N87" s="213">
        <f t="shared" si="13"/>
        <v>183.5633556263403</v>
      </c>
      <c r="O87" s="213">
        <f t="shared" si="13"/>
        <v>174.07040763257908</v>
      </c>
      <c r="P87" s="213">
        <f t="shared" si="13"/>
        <v>183.5633556263403</v>
      </c>
      <c r="Q87" s="213">
        <f t="shared" si="13"/>
        <v>174.07040763257908</v>
      </c>
      <c r="R87" s="466"/>
      <c r="S87" s="466"/>
      <c r="T87" s="466"/>
      <c r="U87" s="466"/>
      <c r="W87" s="466"/>
      <c r="X87" s="466"/>
      <c r="Y87" s="466"/>
      <c r="Z87" s="466"/>
    </row>
    <row r="88" spans="2:26">
      <c r="C88" s="377"/>
      <c r="D88" s="377"/>
      <c r="E88" s="377"/>
      <c r="F88" s="377"/>
      <c r="G88" s="213"/>
      <c r="H88" s="213"/>
      <c r="I88" s="213"/>
      <c r="J88" s="213"/>
      <c r="L88" s="213"/>
      <c r="M88" s="213"/>
      <c r="N88" s="213"/>
      <c r="O88" s="213"/>
      <c r="P88" s="213"/>
      <c r="Q88" s="213"/>
    </row>
    <row r="89" spans="2:26" ht="15.75" thickBot="1">
      <c r="B89" s="7"/>
      <c r="C89" s="210"/>
      <c r="D89" s="210"/>
      <c r="E89" s="211"/>
      <c r="F89" s="147"/>
      <c r="G89" s="148"/>
      <c r="H89" s="148"/>
      <c r="I89" s="148"/>
      <c r="J89" s="148"/>
      <c r="K89" s="7"/>
      <c r="L89" s="210"/>
      <c r="M89" s="210"/>
      <c r="N89" s="211"/>
      <c r="O89" s="147"/>
      <c r="P89" s="148"/>
      <c r="Q89" s="148"/>
    </row>
    <row r="90" spans="2:26" ht="15.75" thickBot="1">
      <c r="B90" s="517">
        <f>IF('Hypothetical Summary'!$H$9="",400,'Hypothetical Summary'!$H$9)</f>
        <v>400</v>
      </c>
      <c r="C90" s="621" t="s">
        <v>281</v>
      </c>
      <c r="D90" s="601"/>
      <c r="E90" s="601"/>
      <c r="F90" s="601"/>
      <c r="G90" s="601"/>
      <c r="H90" s="601"/>
      <c r="K90" s="517">
        <f>IF('Hypothetical Summary'!$H$9="",400,'Hypothetical Summary'!$H$9)</f>
        <v>400</v>
      </c>
      <c r="L90" s="621" t="s">
        <v>283</v>
      </c>
      <c r="M90" s="601"/>
      <c r="N90" s="601"/>
      <c r="O90" s="601"/>
      <c r="P90" s="601"/>
      <c r="Q90" s="601"/>
    </row>
    <row r="91" spans="2:26">
      <c r="B91" s="7"/>
      <c r="C91" s="618" t="str">
        <f>C81</f>
        <v>2/1/2025</v>
      </c>
      <c r="D91" s="618"/>
      <c r="E91" s="619" t="str">
        <f>E81</f>
        <v>6/1/25</v>
      </c>
      <c r="F91" s="618"/>
      <c r="G91" s="618" t="str">
        <f>G81</f>
        <v>Proposed</v>
      </c>
      <c r="H91" s="618"/>
      <c r="I91" s="616"/>
      <c r="J91" s="617"/>
      <c r="K91" s="7"/>
      <c r="L91" s="265" t="str">
        <f>L81</f>
        <v>2/1/2025</v>
      </c>
      <c r="M91" s="265"/>
      <c r="N91" s="266" t="str">
        <f>N81</f>
        <v>6/1/25</v>
      </c>
      <c r="O91" s="265"/>
      <c r="P91" s="265" t="str">
        <f>P81</f>
        <v>Proposed</v>
      </c>
      <c r="Q91" s="265"/>
    </row>
    <row r="92" spans="2:26">
      <c r="B92" s="7"/>
      <c r="C92" s="210" t="s">
        <v>196</v>
      </c>
      <c r="D92" s="210" t="s">
        <v>197</v>
      </c>
      <c r="E92" s="210" t="s">
        <v>196</v>
      </c>
      <c r="F92" s="210" t="s">
        <v>197</v>
      </c>
      <c r="G92" s="210" t="s">
        <v>196</v>
      </c>
      <c r="H92" s="210" t="s">
        <v>197</v>
      </c>
      <c r="I92" s="257"/>
      <c r="J92" s="257"/>
      <c r="K92" s="7"/>
      <c r="L92" s="210" t="s">
        <v>196</v>
      </c>
      <c r="M92" s="210" t="s">
        <v>197</v>
      </c>
      <c r="N92" s="210" t="s">
        <v>196</v>
      </c>
      <c r="O92" s="210" t="s">
        <v>197</v>
      </c>
      <c r="P92" s="210" t="s">
        <v>196</v>
      </c>
      <c r="Q92" s="210" t="s">
        <v>197</v>
      </c>
    </row>
    <row r="93" spans="2:26">
      <c r="B93" s="139" t="s">
        <v>129</v>
      </c>
      <c r="C93" s="212">
        <f>$C$31*MIN(I22,$B$90)+IF($B$90-I22&gt;0,$C$32*($B$90-I22))+('Hypothetical SAR and RAR'!$C$21*$B$90)</f>
        <v>104.73396999999999</v>
      </c>
      <c r="D93" s="212">
        <f>$C$34*MIN(J22,$B$90)+IF($B$90-J22&gt;0,$C$35*($B$90-J22))+('Hypothetical SAR and RAR'!$C$21*$B$90)</f>
        <v>104.18572999999998</v>
      </c>
      <c r="E93" s="212">
        <f>$D$31*MIN(I22,$B$90)+IF($B$90-I22&gt;0,$D$32*($B$90-I22))+('Hypothetical SAR and RAR'!$C$21*$B$90)</f>
        <v>109.62488999999999</v>
      </c>
      <c r="F93" s="212">
        <f>$D$34*MIN(J22,$B$90)+IF($B$90-J22&gt;0,$D$35*($B$90-J22))+('Hypothetical SAR and RAR'!$C$21*$B$90)</f>
        <v>109.05201</v>
      </c>
      <c r="G93" s="212">
        <f>$E$31*MIN(I22,$B$90)+IF($B$90-I22&gt;0,$E$32*($B$90-I22))+('Hypothetical SAR and RAR'!$C$21*$B$90)</f>
        <v>109.62488999999999</v>
      </c>
      <c r="H93" s="212">
        <f>$E$34*MIN(J22,$B$90)+IF($B$90-J22&gt;0,$E$35*($B$90-J22))+('Hypothetical SAR and RAR'!$C$21*$B$90)</f>
        <v>109.05201</v>
      </c>
      <c r="I93" s="257"/>
      <c r="J93" s="257"/>
      <c r="K93" s="139" t="s">
        <v>129</v>
      </c>
      <c r="L93" s="212">
        <f>$C$31*MIN($L22,$K$90)+IF($K$90-$L22&gt;0,$C$32*($K$90-$L22))+('Hypothetical SAR and RAR'!$C$21*$K$90)</f>
        <v>112.68344999999999</v>
      </c>
      <c r="M93" s="212">
        <f>$C$34*MIN($M22,$K$90)+IF($K$90-$M22&gt;0,$C$35*($K$90-$M22))+('Hypothetical SAR and RAR'!$C$21*$K$90)</f>
        <v>105.28220999999999</v>
      </c>
      <c r="N93" s="212">
        <f>$D$31*MIN($L22,$B$90)+IF($B$90-$L22&gt;0,$D$32*($B$90-$L22))+('Hypothetical SAR and RAR'!$C$21*$B$90)</f>
        <v>117.93164999999999</v>
      </c>
      <c r="O93" s="212">
        <f>$D$34*MIN($M22,$B$90)+IF($B$90-$M22&gt;0,$D$35*($B$90-$M22))+('Hypothetical SAR and RAR'!$C$21*$B$90)</f>
        <v>110.19777000000001</v>
      </c>
      <c r="P93" s="212">
        <f>$E$31*MIN($L22,$B$90)+IF($B$90-$L22&gt;0,$E$32*($B$90-$L22))+('Hypothetical SAR and RAR'!$C$21*$B$90)</f>
        <v>117.93164999999999</v>
      </c>
      <c r="Q93" s="212">
        <f>$E$34*MIN($M22,$B$90)+IF($B$90-$M22&gt;0,$E$35*($B$90-$M22))+('Hypothetical SAR and RAR'!$C$21*$B$90)</f>
        <v>110.19777000000001</v>
      </c>
      <c r="R93" s="466"/>
      <c r="S93" s="466"/>
      <c r="T93" s="466"/>
      <c r="U93" s="466"/>
      <c r="W93" s="466"/>
      <c r="X93" s="466"/>
      <c r="Y93" s="466"/>
      <c r="Z93" s="466"/>
    </row>
    <row r="94" spans="2:26">
      <c r="B94" s="142" t="s">
        <v>201</v>
      </c>
      <c r="C94" s="212">
        <f>$C$31*MIN(I23,$B$90)+IF($B$90-I23&gt;0,$C$32*($B$90-I23))+('Hypothetical SAR and RAR'!$C$21*$B$90)</f>
        <v>101.37599999999998</v>
      </c>
      <c r="D94" s="212">
        <f>$C$34*MIN(J23,$B$90)+IF($B$90-J23&gt;0,$C$35*($B$90-J23))+('Hypothetical SAR and RAR'!$C$21*$B$90)</f>
        <v>101.37599999999998</v>
      </c>
      <c r="E94" s="212">
        <f>$D$31*MIN(I23,$B$90)+IF($B$90-I23&gt;0,$D$32*($B$90-I23))+('Hypothetical SAR and RAR'!$C$21*$B$90)</f>
        <v>106.116</v>
      </c>
      <c r="F94" s="212">
        <f>$D$34*MIN(J23,$B$90)+IF($B$90-J23&gt;0,$D$35*($B$90-J23))+('Hypothetical SAR and RAR'!$C$21*$B$90)</f>
        <v>106.116</v>
      </c>
      <c r="G94" s="212">
        <f>$E$31*MIN(I23,$B$90)+IF($B$90-I23&gt;0,$E$32*($B$90-I23))+('Hypothetical SAR and RAR'!$C$21*$B$90)</f>
        <v>106.116</v>
      </c>
      <c r="H94" s="212">
        <f>$E$34*MIN(J23,$B$90)+IF($B$90-J23&gt;0,$E$35*($B$90-J23))+('Hypothetical SAR and RAR'!$C$21*$B$90)</f>
        <v>106.116</v>
      </c>
      <c r="I94" s="257"/>
      <c r="J94" s="257"/>
      <c r="K94" s="142" t="s">
        <v>201</v>
      </c>
      <c r="L94" s="212">
        <f>$C$31*MIN($L23,$K$90)+IF($K$90-$L23&gt;0,$C$32*($K$90-$L23))+('Hypothetical SAR and RAR'!$C$21*$K$90)</f>
        <v>101.37599999999998</v>
      </c>
      <c r="M94" s="212">
        <f>$C$34*MIN($M23,$K$90)+IF($K$90-$M23&gt;0,$C$35*($K$90-$M23))+('Hypothetical SAR and RAR'!$C$21*$K$90)</f>
        <v>101.37599999999998</v>
      </c>
      <c r="N94" s="212">
        <f>$D$31*MIN($L23,$B$90)+IF($B$90-$L23&gt;0,$D$32*($B$90-$L23))+('Hypothetical SAR and RAR'!$C$21*$B$90)</f>
        <v>106.116</v>
      </c>
      <c r="O94" s="212">
        <f>$D$34*MIN($M23,$B$90)+IF($B$90-$M23&gt;0,$D$35*($B$90-$M23))+('Hypothetical SAR and RAR'!$C$21*$B$90)</f>
        <v>106.116</v>
      </c>
      <c r="P94" s="212">
        <f>$E$31*MIN($L23,$B$90)+IF($B$90-$L23&gt;0,$E$32*($B$90-$L23))+('Hypothetical SAR and RAR'!$C$21*$B$90)</f>
        <v>106.116</v>
      </c>
      <c r="Q94" s="212">
        <f>$E$34*MIN($M23,$B$90)+IF($B$90-$M23&gt;0,$E$35*($B$90-$M23))+('Hypothetical SAR and RAR'!$C$21*$B$90)</f>
        <v>106.116</v>
      </c>
      <c r="R94" s="466"/>
      <c r="S94" s="466"/>
      <c r="T94" s="466"/>
      <c r="U94" s="466"/>
      <c r="W94" s="466"/>
      <c r="X94" s="466"/>
      <c r="Y94" s="466"/>
      <c r="Z94" s="466"/>
    </row>
    <row r="95" spans="2:26">
      <c r="B95" s="142" t="s">
        <v>202</v>
      </c>
      <c r="C95" s="212">
        <f>$C$31*MIN(I24,$B$90)+IF($B$90-I24&gt;0,$C$32*($B$90-I24))+('Hypothetical SAR and RAR'!$C$21*$B$90)</f>
        <v>101.37599999999998</v>
      </c>
      <c r="D95" s="212">
        <f>$C$34*MIN(J24,$B$90)+IF($B$90-J24&gt;0,$C$35*($B$90-J24))+('Hypothetical SAR and RAR'!$C$21*$B$90)</f>
        <v>101.37599999999998</v>
      </c>
      <c r="E95" s="212">
        <f>$D$31*MIN(I24,$B$90)+IF($B$90-I24&gt;0,$D$32*($B$90-I24))+('Hypothetical SAR and RAR'!$C$21*$B$90)</f>
        <v>106.116</v>
      </c>
      <c r="F95" s="212">
        <f>$D$34*MIN(J24,$B$90)+IF($B$90-J24&gt;0,$D$35*($B$90-J24))+('Hypothetical SAR and RAR'!$C$21*$B$90)</f>
        <v>106.116</v>
      </c>
      <c r="G95" s="212">
        <f>$E$31*MIN(I24,$B$90)+IF($B$90-I24&gt;0,$E$32*($B$90-I24))+('Hypothetical SAR and RAR'!$C$21*$B$90)</f>
        <v>106.116</v>
      </c>
      <c r="H95" s="212">
        <f>$E$34*MIN(J24,$B$90)+IF($B$90-J24&gt;0,$E$35*($B$90-J24))+('Hypothetical SAR and RAR'!$C$21*$B$90)</f>
        <v>106.116</v>
      </c>
      <c r="I95" s="257"/>
      <c r="J95" s="257"/>
      <c r="K95" s="142" t="s">
        <v>202</v>
      </c>
      <c r="L95" s="212">
        <f>$C$31*MIN($L24,$K$90)+IF($K$90-$L24&gt;0,$C$32*($K$90-$L24))+('Hypothetical SAR and RAR'!$C$21*$K$90)</f>
        <v>101.37599999999998</v>
      </c>
      <c r="M95" s="212">
        <f>$C$34*MIN($M24,$K$90)+IF($K$90-$M24&gt;0,$C$35*($K$90-$M24))+('Hypothetical SAR and RAR'!$C$21*$K$90)</f>
        <v>101.37599999999998</v>
      </c>
      <c r="N95" s="212">
        <f>$D$31*MIN($L24,$B$90)+IF($B$90-$L24&gt;0,$D$32*($B$90-$L24))+('Hypothetical SAR and RAR'!$C$21*$B$90)</f>
        <v>106.116</v>
      </c>
      <c r="O95" s="212">
        <f>$D$34*MIN($M24,$B$90)+IF($B$90-$M24&gt;0,$D$35*($B$90-$M24))+('Hypothetical SAR and RAR'!$C$21*$B$90)</f>
        <v>106.116</v>
      </c>
      <c r="P95" s="212">
        <f>$E$31*MIN($L24,$B$90)+IF($B$90-$L24&gt;0,$E$32*($B$90-$L24))+('Hypothetical SAR and RAR'!$C$21*$B$90)</f>
        <v>106.116</v>
      </c>
      <c r="Q95" s="212">
        <f>$E$34*MIN($M24,$B$90)+IF($B$90-$M24&gt;0,$E$35*($B$90-$M24))+('Hypothetical SAR and RAR'!$C$21*$B$90)</f>
        <v>106.116</v>
      </c>
      <c r="R95" s="466"/>
      <c r="S95" s="466"/>
      <c r="T95" s="466"/>
      <c r="U95" s="466"/>
      <c r="W95" s="466"/>
      <c r="X95" s="466"/>
      <c r="Y95" s="466"/>
      <c r="Z95" s="466"/>
    </row>
    <row r="96" spans="2:26">
      <c r="B96" s="145" t="s">
        <v>203</v>
      </c>
      <c r="C96" s="212">
        <f>$C$31*MIN(I25,$B$90)+IF($B$90-I25&gt;0,$C$32*($B$90-I25))+('Hypothetical SAR and RAR'!$C$21*$B$90)</f>
        <v>101.37599999999998</v>
      </c>
      <c r="D96" s="212">
        <f>$C$34*MIN(J25,$B$90)+IF($B$90-J25&gt;0,$C$35*($B$90-J25))+('Hypothetical SAR and RAR'!$C$21*$B$90)</f>
        <v>103.15777999999999</v>
      </c>
      <c r="E96" s="212">
        <f>$D$31*MIN(I25,$B$90)+IF($B$90-I25&gt;0,$D$32*($B$90-I25))+('Hypothetical SAR and RAR'!$C$21*$B$90)</f>
        <v>106.116</v>
      </c>
      <c r="F96" s="212">
        <f>$D$34*MIN(J25,$B$90)+IF($B$90-J25&gt;0,$D$35*($B$90-J25))+('Hypothetical SAR and RAR'!$C$21*$B$90)</f>
        <v>107.97785999999999</v>
      </c>
      <c r="G96" s="212">
        <f>$E$31*MIN(I25,$B$90)+IF($B$90-I25&gt;0,$E$32*($B$90-I25))+('Hypothetical SAR and RAR'!$C$21*$B$90)</f>
        <v>106.116</v>
      </c>
      <c r="H96" s="212">
        <f>$E$34*MIN(J25,$B$90)+IF($B$90-J25&gt;0,$E$35*($B$90-J25))+('Hypothetical SAR and RAR'!$C$21*$B$90)</f>
        <v>107.97785999999999</v>
      </c>
      <c r="I96" s="257"/>
      <c r="J96" s="257"/>
      <c r="K96" s="145" t="s">
        <v>203</v>
      </c>
      <c r="L96" s="212">
        <f>$C$31*MIN($L25,$K$90)+IF($K$90-$L25&gt;0,$C$32*($K$90-$L25))+('Hypothetical SAR and RAR'!$C$21*$K$90)</f>
        <v>105.41926999999998</v>
      </c>
      <c r="M96" s="212">
        <f>$C$34*MIN($M25,$K$90)+IF($K$90-$M25&gt;0,$C$35*($K$90-$M25))+('Hypothetical SAR and RAR'!$C$21*$K$90)</f>
        <v>101.37599999999998</v>
      </c>
      <c r="N96" s="212">
        <f>$D$31*MIN($L25,$B$90)+IF($B$90-$L25&gt;0,$D$32*($B$90-$L25))+('Hypothetical SAR and RAR'!$C$21*$B$90)</f>
        <v>110.34099000000001</v>
      </c>
      <c r="O96" s="212">
        <f>$D$34*MIN($M25,$B$90)+IF($B$90-$M25&gt;0,$D$35*($B$90-$M25))+('Hypothetical SAR and RAR'!$C$21*$B$90)</f>
        <v>106.116</v>
      </c>
      <c r="P96" s="212">
        <f>$E$31*MIN($L25,$B$90)+IF($B$90-$L25&gt;0,$E$32*($B$90-$L25))+('Hypothetical SAR and RAR'!$C$21*$B$90)</f>
        <v>110.34099000000001</v>
      </c>
      <c r="Q96" s="212">
        <f>$E$34*MIN($M25,$B$90)+IF($B$90-$M25&gt;0,$E$35*($B$90-$M25))+('Hypothetical SAR and RAR'!$C$21*$B$90)</f>
        <v>106.116</v>
      </c>
      <c r="R96" s="466"/>
      <c r="S96" s="466"/>
      <c r="T96" s="466"/>
      <c r="U96" s="466"/>
      <c r="W96" s="466"/>
      <c r="X96" s="466"/>
      <c r="Y96" s="466"/>
      <c r="Z96" s="466"/>
    </row>
    <row r="97" spans="2:26">
      <c r="B97" s="6" t="s">
        <v>113</v>
      </c>
      <c r="C97" s="213">
        <f t="shared" ref="C97:H97" si="14">SUMPRODUCT(C93:C96,$V$22:$V$25)</f>
        <v>103.06550244288414</v>
      </c>
      <c r="D97" s="213">
        <f t="shared" si="14"/>
        <v>103.65767953267994</v>
      </c>
      <c r="E97" s="213">
        <f t="shared" si="14"/>
        <v>107.88143513694635</v>
      </c>
      <c r="F97" s="213">
        <f t="shared" si="14"/>
        <v>108.50022692740714</v>
      </c>
      <c r="G97" s="213">
        <f t="shared" si="14"/>
        <v>107.88143513694635</v>
      </c>
      <c r="H97" s="213">
        <f t="shared" si="14"/>
        <v>108.50022692740714</v>
      </c>
      <c r="I97" s="258"/>
      <c r="J97" s="258"/>
      <c r="K97" s="6" t="s">
        <v>113</v>
      </c>
      <c r="L97" s="213">
        <f>SUMPRODUCT(L93:L96,$V$31:$V$34)</f>
        <v>108.57956314904942</v>
      </c>
      <c r="M97" s="213">
        <f t="shared" ref="M97:Q97" si="15">SUMPRODUCT(M93:M96,$V$31:$V$34)</f>
        <v>103.11421040532318</v>
      </c>
      <c r="N97" s="213">
        <f t="shared" si="15"/>
        <v>113.64331879619772</v>
      </c>
      <c r="O97" s="213">
        <f t="shared" si="15"/>
        <v>107.93233222129278</v>
      </c>
      <c r="P97" s="213">
        <f t="shared" si="15"/>
        <v>113.64331879619772</v>
      </c>
      <c r="Q97" s="213">
        <f t="shared" si="15"/>
        <v>107.93233222129278</v>
      </c>
      <c r="R97" s="466"/>
      <c r="S97" s="466"/>
      <c r="T97" s="466"/>
      <c r="U97" s="466"/>
      <c r="W97" s="466"/>
      <c r="X97" s="466"/>
      <c r="Y97" s="466"/>
      <c r="Z97" s="466"/>
    </row>
  </sheetData>
  <mergeCells count="46">
    <mergeCell ref="U20:V20"/>
    <mergeCell ref="Q21:R21"/>
    <mergeCell ref="S21:T21"/>
    <mergeCell ref="I71:J71"/>
    <mergeCell ref="C70:H70"/>
    <mergeCell ref="L50:Q50"/>
    <mergeCell ref="U29:V29"/>
    <mergeCell ref="Q30:R30"/>
    <mergeCell ref="S30:T30"/>
    <mergeCell ref="L40:Q40"/>
    <mergeCell ref="L60:Q60"/>
    <mergeCell ref="L70:Q70"/>
    <mergeCell ref="L80:Q80"/>
    <mergeCell ref="L90:Q90"/>
    <mergeCell ref="C91:D91"/>
    <mergeCell ref="E91:F91"/>
    <mergeCell ref="G91:H91"/>
    <mergeCell ref="I91:J91"/>
    <mergeCell ref="C90:H90"/>
    <mergeCell ref="C81:D81"/>
    <mergeCell ref="E81:F81"/>
    <mergeCell ref="G81:H81"/>
    <mergeCell ref="I81:J81"/>
    <mergeCell ref="C80:H80"/>
    <mergeCell ref="B2:D2"/>
    <mergeCell ref="E51:F51"/>
    <mergeCell ref="G51:H51"/>
    <mergeCell ref="C40:H40"/>
    <mergeCell ref="C71:D71"/>
    <mergeCell ref="E71:F71"/>
    <mergeCell ref="G71:H71"/>
    <mergeCell ref="B39:H39"/>
    <mergeCell ref="E3:I3"/>
    <mergeCell ref="P3:T3"/>
    <mergeCell ref="I51:J51"/>
    <mergeCell ref="I61:J61"/>
    <mergeCell ref="C50:H50"/>
    <mergeCell ref="C60:H60"/>
    <mergeCell ref="C41:D41"/>
    <mergeCell ref="E41:F41"/>
    <mergeCell ref="G41:H41"/>
    <mergeCell ref="I41:J41"/>
    <mergeCell ref="C61:D61"/>
    <mergeCell ref="E61:F61"/>
    <mergeCell ref="G61:H61"/>
    <mergeCell ref="C51:D51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1611B6-392A-4CC6-9FF4-7D8D48F7E9FC}">
  <sheetPr>
    <tabColor rgb="FF92D050"/>
  </sheetPr>
  <dimension ref="A1:AC83"/>
  <sheetViews>
    <sheetView workbookViewId="0"/>
  </sheetViews>
  <sheetFormatPr defaultColWidth="8.85546875" defaultRowHeight="15"/>
  <cols>
    <col min="1" max="1" width="3.5703125" style="6" customWidth="1"/>
    <col min="2" max="2" width="19.42578125" style="6" customWidth="1"/>
    <col min="3" max="5" width="22.42578125" style="6" customWidth="1"/>
    <col min="6" max="6" width="20.85546875" style="6" customWidth="1"/>
    <col min="7" max="7" width="13.5703125" style="6" customWidth="1"/>
    <col min="8" max="8" width="14.140625" style="6" customWidth="1"/>
    <col min="9" max="9" width="13.5703125" style="6" customWidth="1"/>
    <col min="10" max="10" width="15.140625" style="6" customWidth="1"/>
    <col min="11" max="11" width="14.85546875" style="6" customWidth="1"/>
    <col min="12" max="14" width="15.42578125" style="6" customWidth="1"/>
    <col min="15" max="15" width="13" style="6" customWidth="1"/>
    <col min="16" max="16" width="17.140625" style="6" bestFit="1" customWidth="1"/>
    <col min="17" max="17" width="19.42578125" style="6" customWidth="1"/>
    <col min="18" max="18" width="13" style="6" customWidth="1"/>
    <col min="19" max="20" width="14" style="6" customWidth="1"/>
    <col min="21" max="21" width="15" style="6" customWidth="1"/>
    <col min="22" max="26" width="14.7109375" style="6" customWidth="1"/>
    <col min="27" max="27" width="20.140625" style="6" bestFit="1" customWidth="1"/>
    <col min="28" max="28" width="17.140625" style="6" bestFit="1" customWidth="1"/>
    <col min="29" max="16384" width="8.85546875" style="6"/>
  </cols>
  <sheetData>
    <row r="1" spans="1:27" s="172" customFormat="1" ht="25.5" customHeight="1">
      <c r="A1" s="398"/>
      <c r="B1" s="399"/>
      <c r="C1" s="399"/>
      <c r="D1" s="399"/>
      <c r="E1" s="399"/>
      <c r="F1" s="399"/>
      <c r="G1" s="399"/>
      <c r="H1" s="399"/>
      <c r="I1" s="399"/>
      <c r="J1" s="399"/>
      <c r="K1" s="399"/>
      <c r="L1" s="399"/>
      <c r="M1" s="399"/>
      <c r="N1" s="399"/>
      <c r="O1" s="399"/>
      <c r="P1" s="399"/>
      <c r="Q1" s="399"/>
      <c r="R1" s="399"/>
      <c r="S1" s="399"/>
      <c r="T1" s="399"/>
      <c r="U1" s="399"/>
      <c r="V1" s="399"/>
      <c r="W1" s="399"/>
      <c r="X1" s="399"/>
      <c r="Y1" s="399"/>
      <c r="Z1" s="399"/>
      <c r="AA1" s="399"/>
    </row>
    <row r="2" spans="1:27" ht="15.75">
      <c r="B2" s="79"/>
      <c r="C2" s="41"/>
      <c r="D2" s="41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</row>
    <row r="3" spans="1:27">
      <c r="B3" s="80"/>
      <c r="C3" s="42" t="s">
        <v>161</v>
      </c>
      <c r="D3" s="181"/>
      <c r="R3" s="82"/>
      <c r="S3" s="82"/>
      <c r="T3" s="82"/>
      <c r="U3" s="82"/>
      <c r="V3" s="82"/>
      <c r="W3" s="82"/>
      <c r="X3" s="82"/>
    </row>
    <row r="4" spans="1:27" ht="15.75">
      <c r="B4" s="189" t="s">
        <v>3</v>
      </c>
      <c r="C4" s="192">
        <f>'Hypothetical Summary'!D6</f>
        <v>0</v>
      </c>
      <c r="D4" s="1"/>
      <c r="G4" s="600" t="s">
        <v>163</v>
      </c>
      <c r="H4" s="600"/>
      <c r="I4" s="600"/>
      <c r="J4" s="600"/>
      <c r="K4" s="600"/>
      <c r="L4" s="600"/>
      <c r="M4" s="600"/>
      <c r="N4" s="600"/>
      <c r="O4" s="600"/>
      <c r="P4" s="600"/>
      <c r="Q4" s="600"/>
      <c r="R4" s="600"/>
      <c r="S4" s="600"/>
      <c r="T4" s="600"/>
      <c r="U4" s="42"/>
      <c r="V4" s="42"/>
      <c r="W4" s="42"/>
      <c r="X4" s="42"/>
      <c r="Y4" s="42"/>
      <c r="Z4" s="42"/>
      <c r="AA4" s="42"/>
    </row>
    <row r="5" spans="1:27" ht="31.5">
      <c r="B5" s="189" t="s">
        <v>392</v>
      </c>
      <c r="C5" s="192">
        <f>'Hypothetical Summary'!D7</f>
        <v>0</v>
      </c>
      <c r="D5" s="1"/>
      <c r="F5" s="1"/>
      <c r="G5" s="85" t="s">
        <v>3</v>
      </c>
      <c r="H5" s="85" t="s">
        <v>392</v>
      </c>
      <c r="I5" s="85" t="s">
        <v>59</v>
      </c>
      <c r="J5" s="85" t="s">
        <v>5</v>
      </c>
      <c r="K5" s="85" t="s">
        <v>98</v>
      </c>
      <c r="L5" s="85" t="s">
        <v>14</v>
      </c>
      <c r="M5" s="85" t="s">
        <v>80</v>
      </c>
      <c r="N5" s="85" t="s">
        <v>100</v>
      </c>
      <c r="O5" s="85" t="s">
        <v>97</v>
      </c>
      <c r="P5" s="85" t="s">
        <v>78</v>
      </c>
      <c r="Q5" s="85" t="s">
        <v>10</v>
      </c>
      <c r="R5" s="85" t="s">
        <v>225</v>
      </c>
      <c r="S5" s="85" t="s">
        <v>87</v>
      </c>
      <c r="T5" s="85" t="s">
        <v>256</v>
      </c>
    </row>
    <row r="6" spans="1:27" ht="15.75">
      <c r="B6" s="190" t="s">
        <v>59</v>
      </c>
      <c r="C6" s="192">
        <f>'Hypothetical Summary'!D8</f>
        <v>0</v>
      </c>
      <c r="D6" s="1"/>
      <c r="F6" s="1" t="s">
        <v>401</v>
      </c>
      <c r="G6" s="86">
        <f>'SAR and RAR (TOU-A)'!H6</f>
        <v>0.14073541835963316</v>
      </c>
      <c r="H6" s="86">
        <f>'SAR and RAR (TOU-A)'!I6</f>
        <v>0.13851677628572273</v>
      </c>
      <c r="I6" s="86">
        <f>'SAR and RAR (TOU-A)'!J6</f>
        <v>0.12314002343000453</v>
      </c>
      <c r="J6" s="86">
        <f>'SAR and RAR (TOU-A)'!K6</f>
        <v>0.17612272398724904</v>
      </c>
      <c r="K6" s="86">
        <f>'SAR and RAR (TOU-A)'!L6</f>
        <v>6.3877354985922646E-2</v>
      </c>
      <c r="L6" s="86">
        <f>'SAR and RAR (TOU-A)'!M6</f>
        <v>0.13346462848468227</v>
      </c>
      <c r="M6" s="86">
        <f>'SAR and RAR (TOU-A)'!N6</f>
        <v>0.12731378681507657</v>
      </c>
      <c r="N6" s="86">
        <f>'SAR and RAR (TOU-A)'!O6</f>
        <v>0.13012679378381697</v>
      </c>
      <c r="O6" s="86">
        <f>'SAR and RAR (TOU-A)'!P6</f>
        <v>0</v>
      </c>
      <c r="P6" s="86">
        <f>'SAR and RAR (TOU-A)'!Q6</f>
        <v>0</v>
      </c>
      <c r="Q6" s="86">
        <f>'SAR and RAR (TOU-A)'!R6</f>
        <v>0.11297745746232328</v>
      </c>
      <c r="R6" s="86">
        <f>'SAR and RAR (TOU-A)'!S6</f>
        <v>0.16257569189656407</v>
      </c>
      <c r="S6" s="86">
        <f>'SAR and RAR (TOU-A)'!T6</f>
        <v>0.14009695092218111</v>
      </c>
      <c r="T6" s="86">
        <f>'SAR and RAR (TOU-A)'!U6</f>
        <v>0.14092538688734535</v>
      </c>
    </row>
    <row r="7" spans="1:27" ht="15.75">
      <c r="B7" s="190" t="s">
        <v>5</v>
      </c>
      <c r="C7" s="192">
        <f>'Hypothetical Summary'!D9</f>
        <v>0</v>
      </c>
      <c r="D7" s="1"/>
      <c r="F7" s="1"/>
      <c r="G7" s="153"/>
      <c r="H7" s="153"/>
      <c r="I7" s="153"/>
      <c r="J7" s="153"/>
      <c r="K7" s="153"/>
      <c r="L7" s="153"/>
      <c r="M7" s="153"/>
      <c r="N7" s="153"/>
      <c r="O7" s="87"/>
      <c r="P7" s="87"/>
      <c r="Q7" s="87"/>
      <c r="R7" s="87"/>
      <c r="S7" s="87"/>
      <c r="T7" s="154"/>
    </row>
    <row r="8" spans="1:27" ht="15.6" customHeight="1">
      <c r="B8" s="190" t="s">
        <v>98</v>
      </c>
      <c r="C8" s="192"/>
      <c r="D8" s="1"/>
      <c r="F8" s="88"/>
      <c r="G8" s="600" t="s">
        <v>164</v>
      </c>
      <c r="H8" s="600"/>
      <c r="I8" s="600"/>
      <c r="J8" s="600"/>
      <c r="K8" s="600"/>
      <c r="L8" s="600"/>
      <c r="M8" s="600"/>
      <c r="N8" s="600"/>
      <c r="O8" s="600"/>
      <c r="P8" s="600"/>
      <c r="Q8" s="600"/>
      <c r="R8" s="600"/>
      <c r="S8" s="600"/>
      <c r="T8" s="600"/>
    </row>
    <row r="9" spans="1:27" ht="15.75" customHeight="1">
      <c r="B9" s="190" t="s">
        <v>14</v>
      </c>
      <c r="C9" s="192">
        <f>'Hypothetical Summary'!D11</f>
        <v>0</v>
      </c>
      <c r="D9" s="1"/>
      <c r="F9" s="89" t="s">
        <v>221</v>
      </c>
      <c r="G9" s="85" t="s">
        <v>3</v>
      </c>
      <c r="H9" s="85" t="s">
        <v>392</v>
      </c>
      <c r="I9" s="85" t="s">
        <v>59</v>
      </c>
      <c r="J9" s="85" t="s">
        <v>5</v>
      </c>
      <c r="K9" s="85" t="s">
        <v>98</v>
      </c>
      <c r="L9" s="85" t="s">
        <v>14</v>
      </c>
      <c r="M9" s="85" t="s">
        <v>80</v>
      </c>
      <c r="N9" s="85" t="s">
        <v>100</v>
      </c>
      <c r="O9" s="85" t="s">
        <v>97</v>
      </c>
      <c r="P9" s="85" t="s">
        <v>78</v>
      </c>
      <c r="Q9" s="85" t="s">
        <v>10</v>
      </c>
      <c r="R9" s="85" t="s">
        <v>225</v>
      </c>
      <c r="S9" s="85" t="s">
        <v>87</v>
      </c>
      <c r="T9" s="85" t="s">
        <v>256</v>
      </c>
    </row>
    <row r="10" spans="1:27" ht="15.75">
      <c r="B10" s="190" t="s">
        <v>80</v>
      </c>
      <c r="C10" s="192">
        <f>'Hypothetical Summary'!D12</f>
        <v>0</v>
      </c>
      <c r="D10" s="1"/>
      <c r="F10" s="1" t="s">
        <v>401</v>
      </c>
      <c r="G10" s="90">
        <f>G6*G11</f>
        <v>0</v>
      </c>
      <c r="H10" s="90">
        <f>H6*H11</f>
        <v>0</v>
      </c>
      <c r="I10" s="90">
        <f t="shared" ref="I10:T10" si="0">I6*I11</f>
        <v>0</v>
      </c>
      <c r="J10" s="90">
        <f>J6*J11</f>
        <v>0</v>
      </c>
      <c r="K10" s="90">
        <f t="shared" si="0"/>
        <v>0</v>
      </c>
      <c r="L10" s="90">
        <f t="shared" si="0"/>
        <v>0</v>
      </c>
      <c r="M10" s="90">
        <f t="shared" si="0"/>
        <v>0</v>
      </c>
      <c r="N10" s="90">
        <f t="shared" si="0"/>
        <v>0</v>
      </c>
      <c r="O10" s="90">
        <f t="shared" si="0"/>
        <v>0</v>
      </c>
      <c r="P10" s="90">
        <f t="shared" si="0"/>
        <v>0</v>
      </c>
      <c r="Q10" s="90">
        <f t="shared" si="0"/>
        <v>0</v>
      </c>
      <c r="R10" s="90">
        <f>R6*R11</f>
        <v>0</v>
      </c>
      <c r="S10" s="90">
        <f t="shared" si="0"/>
        <v>0</v>
      </c>
      <c r="T10" s="90">
        <f t="shared" si="0"/>
        <v>0</v>
      </c>
      <c r="U10" s="90">
        <f>SUM(G10:T10)</f>
        <v>0</v>
      </c>
      <c r="V10" s="178"/>
    </row>
    <row r="11" spans="1:27" ht="15.75">
      <c r="B11" s="191" t="s">
        <v>100</v>
      </c>
      <c r="C11" s="192">
        <f>'Hypothetical Summary'!D13</f>
        <v>0</v>
      </c>
      <c r="D11" s="1"/>
      <c r="F11" s="1" t="s">
        <v>165</v>
      </c>
      <c r="G11" s="109">
        <f>C4</f>
        <v>0</v>
      </c>
      <c r="H11" s="109">
        <f>C5</f>
        <v>0</v>
      </c>
      <c r="I11" s="109">
        <f>C6</f>
        <v>0</v>
      </c>
      <c r="J11" s="109">
        <f>C7</f>
        <v>0</v>
      </c>
      <c r="K11" s="109">
        <f>C8</f>
        <v>0</v>
      </c>
      <c r="L11" s="109">
        <f>C9</f>
        <v>0</v>
      </c>
      <c r="M11" s="109">
        <f>C10</f>
        <v>0</v>
      </c>
      <c r="N11" s="109">
        <f>C11</f>
        <v>0</v>
      </c>
      <c r="O11" s="109">
        <f>C12</f>
        <v>0</v>
      </c>
      <c r="P11" s="109">
        <f>C17</f>
        <v>0</v>
      </c>
      <c r="Q11" s="109">
        <f>C14</f>
        <v>0</v>
      </c>
      <c r="R11" s="109">
        <f>C16</f>
        <v>0</v>
      </c>
      <c r="S11" s="109">
        <f>C15</f>
        <v>0</v>
      </c>
      <c r="T11" s="109">
        <f>C13</f>
        <v>0</v>
      </c>
      <c r="U11" s="90">
        <f>SUM(G11:T11)</f>
        <v>0</v>
      </c>
      <c r="V11" s="177"/>
    </row>
    <row r="12" spans="1:27" ht="15.75">
      <c r="B12" s="190" t="s">
        <v>97</v>
      </c>
      <c r="C12" s="192">
        <f>'Hypothetical Summary'!D14</f>
        <v>0</v>
      </c>
      <c r="D12" s="1"/>
      <c r="F12" s="89"/>
      <c r="U12" s="90"/>
    </row>
    <row r="13" spans="1:27" ht="15.75" customHeight="1">
      <c r="B13" s="190" t="s">
        <v>256</v>
      </c>
      <c r="C13" s="192">
        <f>'Hypothetical Summary'!D15</f>
        <v>0</v>
      </c>
      <c r="D13" s="1"/>
      <c r="F13" s="1"/>
      <c r="G13" s="90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178"/>
    </row>
    <row r="14" spans="1:27" ht="15.75" customHeight="1">
      <c r="B14" s="190" t="s">
        <v>10</v>
      </c>
      <c r="C14" s="192">
        <f>'Hypothetical Summary'!D16</f>
        <v>0</v>
      </c>
      <c r="D14" s="1"/>
      <c r="F14" s="1"/>
      <c r="G14" s="109"/>
      <c r="H14" s="109"/>
      <c r="I14" s="109"/>
      <c r="J14" s="109"/>
      <c r="K14" s="109"/>
      <c r="L14" s="109"/>
      <c r="M14" s="109"/>
      <c r="N14" s="109"/>
      <c r="O14" s="109"/>
      <c r="P14" s="109"/>
      <c r="Q14" s="109"/>
      <c r="R14" s="109"/>
      <c r="S14" s="109"/>
      <c r="T14" s="109"/>
      <c r="U14" s="90"/>
      <c r="V14" s="177"/>
    </row>
    <row r="15" spans="1:27" ht="15.75" customHeight="1">
      <c r="B15" s="190" t="s">
        <v>87</v>
      </c>
      <c r="C15" s="192">
        <f>'Hypothetical Summary'!D17</f>
        <v>0</v>
      </c>
      <c r="D15" s="1"/>
      <c r="F15" s="1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90"/>
      <c r="V15" s="177"/>
    </row>
    <row r="16" spans="1:27" ht="15.75">
      <c r="B16" s="190" t="s">
        <v>225</v>
      </c>
      <c r="C16" s="192">
        <f>'Hypothetical Summary'!D18</f>
        <v>0</v>
      </c>
      <c r="D16" s="1"/>
      <c r="F16" s="200"/>
      <c r="G16" s="40"/>
      <c r="H16" s="40"/>
      <c r="I16" s="40"/>
      <c r="J16" s="40"/>
      <c r="K16" s="88"/>
      <c r="Z16" s="1"/>
      <c r="AA16" s="93"/>
    </row>
    <row r="17" spans="2:29" ht="15.75">
      <c r="B17" s="190" t="s">
        <v>78</v>
      </c>
      <c r="C17" s="199">
        <f>'Hypothetical Summary'!D19</f>
        <v>0</v>
      </c>
      <c r="D17" s="1"/>
      <c r="U17" s="586" t="s">
        <v>263</v>
      </c>
      <c r="V17" s="587"/>
      <c r="W17" s="586" t="s">
        <v>264</v>
      </c>
      <c r="X17" s="622"/>
      <c r="Z17" s="368"/>
      <c r="AA17" s="369"/>
      <c r="AC17" s="168"/>
    </row>
    <row r="18" spans="2:29" ht="15.75">
      <c r="B18" s="1" t="s">
        <v>113</v>
      </c>
      <c r="C18" s="192">
        <f>SUM(C4:C17)</f>
        <v>0</v>
      </c>
      <c r="D18" s="1"/>
      <c r="F18" s="88"/>
      <c r="G18" s="593" t="s">
        <v>168</v>
      </c>
      <c r="H18" s="593"/>
      <c r="I18" s="593"/>
      <c r="J18" s="593"/>
      <c r="K18" s="593"/>
      <c r="L18" s="593"/>
      <c r="M18" s="593"/>
      <c r="N18" s="593"/>
      <c r="O18" s="593"/>
      <c r="P18" s="593"/>
      <c r="Q18" s="593"/>
      <c r="R18" s="593"/>
      <c r="S18" s="593"/>
      <c r="T18" s="589"/>
      <c r="U18" s="588" t="s">
        <v>169</v>
      </c>
      <c r="V18" s="589"/>
      <c r="W18" s="588" t="s">
        <v>169</v>
      </c>
      <c r="X18" s="593"/>
      <c r="Z18" s="368"/>
      <c r="AA18" s="369"/>
    </row>
    <row r="19" spans="2:29" ht="31.5">
      <c r="B19" s="2"/>
      <c r="C19" s="2"/>
      <c r="D19" s="1"/>
      <c r="E19" s="88"/>
      <c r="G19" s="85" t="s">
        <v>3</v>
      </c>
      <c r="H19" s="85" t="s">
        <v>392</v>
      </c>
      <c r="I19" s="85" t="s">
        <v>59</v>
      </c>
      <c r="J19" s="85" t="s">
        <v>5</v>
      </c>
      <c r="K19" s="85" t="s">
        <v>98</v>
      </c>
      <c r="L19" s="85" t="s">
        <v>14</v>
      </c>
      <c r="M19" s="85" t="s">
        <v>80</v>
      </c>
      <c r="N19" s="85" t="s">
        <v>100</v>
      </c>
      <c r="O19" s="85" t="s">
        <v>97</v>
      </c>
      <c r="P19" s="85" t="s">
        <v>78</v>
      </c>
      <c r="Q19" s="85" t="s">
        <v>10</v>
      </c>
      <c r="R19" s="85" t="s">
        <v>225</v>
      </c>
      <c r="S19" s="85" t="s">
        <v>87</v>
      </c>
      <c r="T19" s="85" t="s">
        <v>256</v>
      </c>
      <c r="U19" s="95" t="s">
        <v>113</v>
      </c>
      <c r="V19" s="20"/>
      <c r="W19" s="95" t="s">
        <v>113</v>
      </c>
      <c r="X19" s="20"/>
      <c r="Z19" s="368"/>
      <c r="AA19" s="369"/>
      <c r="AC19" s="99"/>
    </row>
    <row r="20" spans="2:29" ht="15.75">
      <c r="B20" s="2" t="s">
        <v>250</v>
      </c>
      <c r="C20" s="239">
        <f>'Sales Allocations &amp; CCC'!S3</f>
        <v>8.0000000000000004E-4</v>
      </c>
      <c r="D20" s="239"/>
      <c r="F20" s="1" t="s">
        <v>401</v>
      </c>
      <c r="G20" s="86">
        <v>1</v>
      </c>
      <c r="H20" s="86">
        <v>0</v>
      </c>
      <c r="I20" s="86">
        <v>1</v>
      </c>
      <c r="J20" s="86">
        <v>1</v>
      </c>
      <c r="K20" s="86">
        <v>1</v>
      </c>
      <c r="L20" s="86">
        <v>1</v>
      </c>
      <c r="M20" s="86">
        <v>1</v>
      </c>
      <c r="N20" s="86">
        <v>1</v>
      </c>
      <c r="O20" s="86">
        <v>1</v>
      </c>
      <c r="P20" s="86">
        <v>1</v>
      </c>
      <c r="Q20" s="86">
        <v>1</v>
      </c>
      <c r="R20" s="86">
        <v>1</v>
      </c>
      <c r="S20" s="86">
        <v>1</v>
      </c>
      <c r="T20" s="86">
        <v>0</v>
      </c>
      <c r="U20" s="96">
        <f>SUMPRODUCT(I10:S10,I20:S20)</f>
        <v>0</v>
      </c>
      <c r="V20" s="91"/>
      <c r="W20" s="96">
        <f>SUMPRODUCT(G10,G20)</f>
        <v>0</v>
      </c>
      <c r="X20" s="91"/>
      <c r="Z20" s="368"/>
      <c r="AA20" s="90"/>
    </row>
    <row r="21" spans="2:29" ht="15.75">
      <c r="B21" s="2"/>
      <c r="C21" s="2"/>
      <c r="D21" s="1"/>
      <c r="F21" s="1" t="s">
        <v>165</v>
      </c>
      <c r="G21" s="86">
        <v>1</v>
      </c>
      <c r="H21" s="86">
        <v>0</v>
      </c>
      <c r="I21" s="86">
        <v>1</v>
      </c>
      <c r="J21" s="86">
        <v>1</v>
      </c>
      <c r="K21" s="86">
        <v>1</v>
      </c>
      <c r="L21" s="86">
        <v>1</v>
      </c>
      <c r="M21" s="86">
        <v>1</v>
      </c>
      <c r="N21" s="86">
        <v>1</v>
      </c>
      <c r="O21" s="86">
        <v>1</v>
      </c>
      <c r="P21" s="86">
        <v>1</v>
      </c>
      <c r="Q21" s="86">
        <v>1</v>
      </c>
      <c r="R21" s="86">
        <v>1</v>
      </c>
      <c r="S21" s="86">
        <v>1</v>
      </c>
      <c r="T21" s="86">
        <v>0</v>
      </c>
      <c r="U21" s="96">
        <f>SUMPRODUCT(I11:S11,I21:S21)</f>
        <v>0</v>
      </c>
      <c r="V21" s="91"/>
      <c r="W21" s="96">
        <f>SUMPRODUCT(G11,G21)</f>
        <v>0</v>
      </c>
      <c r="X21" s="91"/>
      <c r="Z21" s="368"/>
      <c r="AA21" s="369"/>
      <c r="AC21" s="1"/>
    </row>
    <row r="22" spans="2:29" ht="15.75">
      <c r="B22" s="2"/>
      <c r="C22" s="597" t="s">
        <v>450</v>
      </c>
      <c r="D22" s="598"/>
      <c r="E22" s="5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T22" s="1"/>
      <c r="U22" s="109"/>
      <c r="V22" s="1"/>
      <c r="Y22" s="368"/>
      <c r="Z22" s="100"/>
      <c r="AB22" s="169"/>
    </row>
    <row r="23" spans="2:29" ht="31.5">
      <c r="B23" s="1"/>
      <c r="C23" s="84" t="s">
        <v>339</v>
      </c>
      <c r="D23" s="84" t="s">
        <v>340</v>
      </c>
      <c r="E23" s="84" t="s">
        <v>341</v>
      </c>
      <c r="F23" s="42"/>
      <c r="T23" s="84"/>
      <c r="U23" s="1"/>
      <c r="Z23" s="101"/>
    </row>
    <row r="24" spans="2:29" ht="15.75">
      <c r="B24" s="107" t="s">
        <v>401</v>
      </c>
      <c r="C24" s="241">
        <f>'SAR and RAR (TOU-A)'!C25</f>
        <v>2428289.2411020878</v>
      </c>
      <c r="D24" s="241">
        <f>'SAR and RAR (TOU-A)'!D25</f>
        <v>2465317.8217447591</v>
      </c>
      <c r="E24" s="4">
        <f>'SAR and RAR (TOU-A)'!E25</f>
        <v>502540.6164810523</v>
      </c>
      <c r="F24" s="1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1"/>
      <c r="T24" s="203"/>
      <c r="U24" s="203"/>
      <c r="V24" s="1"/>
      <c r="W24" s="1"/>
      <c r="Y24" s="1"/>
      <c r="Z24" s="1"/>
    </row>
    <row r="25" spans="2:29" ht="15.75">
      <c r="B25" s="107" t="s">
        <v>165</v>
      </c>
      <c r="C25" s="241">
        <f>'SAR and RAR (TOU-A)'!C26</f>
        <v>18290445.652985182</v>
      </c>
      <c r="D25" s="241">
        <f>'SAR and RAR (TOU-A)'!D26</f>
        <v>20272867.503732543</v>
      </c>
      <c r="E25" s="4">
        <f>'SAR and RAR (TOU-A)'!E26</f>
        <v>3877834.6865865677</v>
      </c>
      <c r="F25" s="20"/>
      <c r="G25" s="102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3"/>
      <c r="U25" s="203"/>
      <c r="V25" s="103"/>
      <c r="W25" s="103"/>
      <c r="Y25" s="1"/>
      <c r="Z25" s="1"/>
    </row>
    <row r="26" spans="2:29" ht="15.75">
      <c r="B26" s="2"/>
      <c r="C26" s="2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104"/>
      <c r="U26" s="105"/>
      <c r="V26" s="105"/>
      <c r="W26" s="105"/>
      <c r="Y26" s="1"/>
      <c r="Z26" s="1"/>
    </row>
    <row r="27" spans="2:29" ht="15.75">
      <c r="B27" s="2"/>
      <c r="C27" s="2"/>
      <c r="D27" s="1"/>
      <c r="E27" s="1"/>
      <c r="F27" s="590" t="s">
        <v>172</v>
      </c>
      <c r="G27" s="591"/>
      <c r="H27" s="591"/>
      <c r="I27" s="592"/>
      <c r="J27" s="2"/>
      <c r="K27" s="2"/>
      <c r="O27" s="1"/>
      <c r="P27" s="590" t="s">
        <v>173</v>
      </c>
      <c r="Q27" s="591"/>
      <c r="R27" s="591"/>
      <c r="S27" s="591"/>
      <c r="T27" s="592"/>
      <c r="U27" s="204"/>
      <c r="V27" s="53"/>
      <c r="W27" s="421">
        <f>'SAR and RAR (TOU-A)'!AC23</f>
        <v>45689</v>
      </c>
      <c r="X27" s="421">
        <f>'SAR and RAR (TOU-A)'!AD23</f>
        <v>45809</v>
      </c>
      <c r="Y27" s="421">
        <f>'SAR and RAR (TOU-A)'!AE23</f>
        <v>45689</v>
      </c>
      <c r="Z27" s="421">
        <f>'SAR and RAR (TOU-A)'!AF23</f>
        <v>45809</v>
      </c>
      <c r="AA27" s="1"/>
      <c r="AB27" s="1"/>
    </row>
    <row r="28" spans="2:29" ht="47.25">
      <c r="B28" s="2"/>
      <c r="C28" s="2"/>
      <c r="D28" s="1"/>
      <c r="E28" s="1"/>
      <c r="F28" s="84" t="str">
        <f>Summary!I3&amp;" Authorized Sales Forecast - Bundled"</f>
        <v>2026 Authorized Sales Forecast - Bundled</v>
      </c>
      <c r="G28" s="84" t="str">
        <f>'SAR and RAR'!H23</f>
        <v>6/1/25 Avg Rates(sales adj.)</v>
      </c>
      <c r="H28" s="84" t="s">
        <v>222</v>
      </c>
      <c r="I28" s="84" t="s">
        <v>223</v>
      </c>
      <c r="J28" s="84"/>
      <c r="K28" s="84"/>
      <c r="O28" s="1"/>
      <c r="P28" s="84" t="str">
        <f>F28</f>
        <v>2026 Authorized Sales Forecast - Bundled</v>
      </c>
      <c r="Q28" s="84" t="str">
        <f>G28</f>
        <v>6/1/25 Avg Rates(sales adj.)</v>
      </c>
      <c r="R28" s="84" t="s">
        <v>222</v>
      </c>
      <c r="S28" s="84" t="s">
        <v>223</v>
      </c>
      <c r="U28" s="84"/>
      <c r="V28" s="53"/>
      <c r="W28" s="584" t="s">
        <v>461</v>
      </c>
      <c r="X28" s="584"/>
      <c r="Y28" s="584" t="s">
        <v>460</v>
      </c>
      <c r="Z28" s="584"/>
      <c r="AA28" s="1"/>
      <c r="AB28" s="1"/>
    </row>
    <row r="29" spans="2:29" ht="15.75">
      <c r="B29" s="2"/>
      <c r="C29" s="2"/>
      <c r="D29" s="1"/>
      <c r="E29" s="1"/>
      <c r="F29" s="241">
        <f>'SAR and RAR (TOU-A)'!G24</f>
        <v>518117.44963314955</v>
      </c>
      <c r="G29" s="510">
        <f>IF('Hypothetical Summary'!$H$8="N",Z30,X30)</f>
        <v>37.375</v>
      </c>
      <c r="H29" s="462">
        <f>IF('Hypothetical Summary'!$I$7="Y",(SUM($I10:$K10,$P10:$Q10,$S10)/(IF('Hypothetical Summary'!$D$2=2025,$C24,$C34))*100)+(SUM($K10:$O10,$R10)/(IF('Hypothetical Summary'!$D$2=2025,$D24,$D34))*100)+($G10/(IF('Hypothetical Summary'!$D$2=2025,$E24,$E34))*100),(SUM($I10:$K10,$P10:$Q10,$S10)/(IF('Hypothetical Summary'!$D$2=2025,$C24,$C34))*100)+(SUM($K10:$O10,$R10)/(IF('Hypothetical Summary'!$D$2=2025,$D24,$D34))*100)+($G10/(IF('Hypothetical Summary'!$D$2=2025,$E24,$E34))*100))+G29</f>
        <v>37.375</v>
      </c>
      <c r="I29" s="432">
        <f>H29/G29-1</f>
        <v>0</v>
      </c>
      <c r="J29" s="108"/>
      <c r="K29" s="108"/>
      <c r="O29" s="107" t="s">
        <v>401</v>
      </c>
      <c r="P29" s="98">
        <f>'SAR and RAR (TOU-A)'!R24</f>
        <v>2442100.4570462531</v>
      </c>
      <c r="Q29" s="463">
        <v>36.161311285846644</v>
      </c>
      <c r="R29" s="462">
        <f>H29+($Q29-$G29)+($T10/((IF('Hypothetical Summary'!$D$2=2025,$C24,$C34))-(IF('Hypothetical Summary'!$D$2=2025,$E24,$E34)))*100)+($H10/((IF('Hypothetical Summary'!$D$2=2025,$C24,$C34))-(IF('Hypothetical Summary'!$D$2=2025,$E24,$E34)))*100)</f>
        <v>36.161311285846644</v>
      </c>
      <c r="S29" s="432">
        <f>R29/Q29-1</f>
        <v>0</v>
      </c>
      <c r="U29" s="108"/>
      <c r="V29" s="53" t="s">
        <v>341</v>
      </c>
      <c r="W29" s="53"/>
      <c r="X29" s="53"/>
      <c r="Y29" s="53"/>
      <c r="Z29" s="53"/>
    </row>
    <row r="30" spans="2:29" ht="15.75">
      <c r="B30" s="2"/>
      <c r="C30" s="2"/>
      <c r="D30" s="1"/>
      <c r="E30" s="1"/>
      <c r="F30" s="241">
        <f>'SAR and RAR (TOU-A)'!G25</f>
        <v>3218717.0926473769</v>
      </c>
      <c r="G30" s="510">
        <f>IF('Hypothetical Summary'!$H$8="N",Z31,X31)</f>
        <v>35.430999999999997</v>
      </c>
      <c r="H30" s="462">
        <f>IF('Hypothetical Summary'!$I$7="Y",(SUM($I11:$K11,$P11:$Q11,$S11)/(IF('Hypothetical Summary'!$D$2=2025,$C25,$C35))*100)+(SUM($K11:$O11,$R11)/(IF('Hypothetical Summary'!$D$2=2025,$D25,$D35))*100)+($G11/(IF('Hypothetical Summary'!$D$2=2025,$E25,$E35))*100),(SUM($I11:$J11,$P11:$Q11,$S11)/(IF('Hypothetical Summary'!$D$2=2025,$C25,$C35))*100)+(SUM($K11:$O11,$R11)/(IF('Hypothetical Summary'!$D$2=2025,$D25,$D35))*100)+($G11/(IF('Hypothetical Summary'!$D$2=2025,$E25,$E35))*100))+G30</f>
        <v>35.430999999999997</v>
      </c>
      <c r="I30" s="432">
        <f>H30/G30-1</f>
        <v>0</v>
      </c>
      <c r="J30" s="108"/>
      <c r="K30" s="108"/>
      <c r="O30" s="107" t="s">
        <v>165</v>
      </c>
      <c r="P30" s="98">
        <f>'SAR and RAR (TOU-A)'!R25</f>
        <v>17431428.835748378</v>
      </c>
      <c r="Q30" s="463">
        <v>34.280275336408138</v>
      </c>
      <c r="R30" s="462">
        <f>H30+($Q30-$G30)+($T11/((IF('Hypothetical Summary'!$D$2=2025,$C25,$C35))-(IF('Hypothetical Summary'!$D$2=2025,$E25,$E35)))*100)+($H11/((IF('Hypothetical Summary'!$D$2=2025,$C25,$C35))-(IF('Hypothetical Summary'!$D$2=2025,$E25,$E35)))*100)</f>
        <v>34.280275336408138</v>
      </c>
      <c r="S30" s="432">
        <f>R30/Q30-1</f>
        <v>0</v>
      </c>
      <c r="U30" s="108"/>
      <c r="V30" s="53" t="s">
        <v>401</v>
      </c>
      <c r="W30" s="422">
        <f>'SAR and RAR (TOU-A)'!AC26</f>
        <v>36.731000000000002</v>
      </c>
      <c r="X30" s="422">
        <f>'SAR and RAR (TOU-A)'!AD26</f>
        <v>37.375</v>
      </c>
      <c r="Y30" s="422">
        <f>'SAR and RAR (TOU-A)'!AE26</f>
        <v>37.459000000000003</v>
      </c>
      <c r="Z30" s="422">
        <f>'SAR and RAR (TOU-A)'!AF26</f>
        <v>38.103000000000002</v>
      </c>
    </row>
    <row r="31" spans="2:29" ht="15.75">
      <c r="B31" s="2"/>
      <c r="C31" s="2"/>
      <c r="D31" s="1"/>
      <c r="E31" s="1"/>
      <c r="H31" s="99"/>
      <c r="R31" s="1"/>
      <c r="S31" s="1"/>
      <c r="T31" s="104"/>
      <c r="U31" s="105"/>
      <c r="V31" s="53" t="s">
        <v>165</v>
      </c>
      <c r="W31" s="422">
        <f>'SAR and RAR (TOU-A)'!AC27</f>
        <v>34.025999999999996</v>
      </c>
      <c r="X31" s="422">
        <f>'SAR and RAR (TOU-A)'!AD27</f>
        <v>35.430999999999997</v>
      </c>
      <c r="Y31" s="422">
        <f>'SAR and RAR (TOU-A)'!AE27</f>
        <v>35.373999999999995</v>
      </c>
      <c r="Z31" s="422">
        <f>'SAR and RAR (TOU-A)'!AF27</f>
        <v>36.778999999999996</v>
      </c>
    </row>
    <row r="32" spans="2:29" ht="15.75">
      <c r="C32" s="597" t="s">
        <v>530</v>
      </c>
      <c r="D32" s="598"/>
      <c r="E32" s="599"/>
      <c r="R32" s="1"/>
      <c r="S32" s="1"/>
      <c r="T32" s="104"/>
      <c r="U32" s="105"/>
      <c r="V32" s="104"/>
      <c r="W32" s="110"/>
      <c r="X32" s="110"/>
    </row>
    <row r="33" spans="2:25" ht="31.5">
      <c r="B33" s="1"/>
      <c r="C33" s="84" t="s">
        <v>339</v>
      </c>
      <c r="D33" s="84" t="s">
        <v>340</v>
      </c>
      <c r="E33" s="84" t="s">
        <v>341</v>
      </c>
      <c r="F33" s="286"/>
      <c r="G33" s="286"/>
      <c r="H33" s="286"/>
      <c r="I33" s="20"/>
      <c r="J33" s="20"/>
      <c r="K33" s="20"/>
      <c r="L33" s="1"/>
      <c r="M33" s="1"/>
      <c r="N33" s="1"/>
      <c r="O33" s="1"/>
      <c r="P33" s="1"/>
      <c r="Q33" s="1"/>
      <c r="R33" s="1"/>
      <c r="S33" s="1"/>
      <c r="T33" s="104"/>
      <c r="U33" s="105"/>
      <c r="V33" s="104"/>
      <c r="W33" s="110"/>
      <c r="X33" s="110"/>
      <c r="Y33" s="106"/>
    </row>
    <row r="34" spans="2:25" ht="15.75">
      <c r="B34" s="107" t="s">
        <v>401</v>
      </c>
      <c r="C34" s="305">
        <f>'SAR and RAR (TOU-A)'!C38</f>
        <v>2442100.4570462531</v>
      </c>
      <c r="D34" s="305">
        <f>'SAR and RAR (TOU-A)'!D38</f>
        <v>2479597.9733180017</v>
      </c>
      <c r="E34" s="4">
        <f>'SAR and RAR (TOU-A)'!E38</f>
        <v>518117.44963314955</v>
      </c>
      <c r="F34" s="84"/>
      <c r="G34" s="84"/>
      <c r="H34" s="311"/>
      <c r="I34" s="20"/>
      <c r="J34" s="20"/>
      <c r="K34" s="20"/>
      <c r="L34" s="1"/>
      <c r="M34" s="1"/>
      <c r="N34" s="1"/>
      <c r="O34" s="1"/>
      <c r="P34" s="1"/>
      <c r="Q34" s="1"/>
      <c r="R34" s="1"/>
      <c r="S34" s="1"/>
      <c r="T34" s="104"/>
      <c r="U34" s="105"/>
      <c r="V34" s="104"/>
      <c r="W34" s="106"/>
      <c r="X34" s="110"/>
      <c r="Y34" s="106"/>
    </row>
    <row r="35" spans="2:25" ht="15.75">
      <c r="B35" s="107" t="s">
        <v>165</v>
      </c>
      <c r="C35" s="305">
        <f>'SAR and RAR (TOU-A)'!C39</f>
        <v>17431428.835748378</v>
      </c>
      <c r="D35" s="305">
        <f>'SAR and RAR (TOU-A)'!D39</f>
        <v>19476455.217814039</v>
      </c>
      <c r="E35" s="4">
        <f>'SAR and RAR (TOU-A)'!E39</f>
        <v>3218717.0926473769</v>
      </c>
      <c r="F35" s="3"/>
      <c r="G35" s="4"/>
      <c r="H35" s="5"/>
      <c r="I35" s="20"/>
      <c r="J35" s="20"/>
      <c r="K35" s="20"/>
      <c r="L35" s="1"/>
      <c r="M35" s="1"/>
      <c r="N35" s="1"/>
      <c r="O35" s="1"/>
      <c r="P35" s="1"/>
      <c r="Q35" s="1"/>
      <c r="R35" s="1"/>
      <c r="S35" s="1"/>
      <c r="T35" s="104"/>
      <c r="U35" s="105"/>
      <c r="V35" s="105"/>
      <c r="W35" s="103"/>
      <c r="X35" s="110"/>
      <c r="Y35" s="106"/>
    </row>
    <row r="36" spans="2:25" ht="15.75">
      <c r="E36" s="1"/>
      <c r="F36" s="3"/>
      <c r="G36" s="4"/>
      <c r="H36" s="5"/>
      <c r="I36" s="20"/>
      <c r="J36" s="20"/>
      <c r="K36" s="20"/>
      <c r="L36" s="1"/>
      <c r="M36" s="1"/>
      <c r="N36" s="1"/>
      <c r="O36" s="1"/>
      <c r="P36" s="1"/>
      <c r="Q36" s="1"/>
      <c r="R36" s="1"/>
      <c r="S36" s="1"/>
      <c r="T36" s="104"/>
      <c r="U36" s="105"/>
      <c r="V36" s="104"/>
      <c r="W36" s="106"/>
      <c r="X36" s="110"/>
      <c r="Y36" s="110"/>
    </row>
    <row r="37" spans="2:25" ht="15.75">
      <c r="E37" s="1"/>
      <c r="F37" s="3"/>
      <c r="G37" s="4"/>
      <c r="H37" s="5"/>
      <c r="I37" s="20"/>
      <c r="J37" s="20"/>
      <c r="K37" s="20"/>
      <c r="L37" s="1"/>
      <c r="M37" s="1"/>
      <c r="N37" s="1"/>
      <c r="O37" s="1"/>
      <c r="P37" s="1"/>
      <c r="Q37" s="1"/>
      <c r="R37" s="1"/>
      <c r="S37" s="1"/>
      <c r="T37" s="104"/>
      <c r="U37" s="105"/>
      <c r="V37" s="105"/>
      <c r="W37" s="105"/>
      <c r="X37" s="105"/>
      <c r="Y37" s="106"/>
    </row>
    <row r="38" spans="2:25" ht="15.75">
      <c r="E38" s="1"/>
      <c r="F38" s="3"/>
      <c r="G38" s="4"/>
      <c r="H38" s="5"/>
      <c r="I38" s="20"/>
      <c r="J38" s="20"/>
      <c r="K38" s="20"/>
      <c r="L38" s="1"/>
      <c r="M38" s="1"/>
      <c r="N38" s="1"/>
      <c r="O38" s="1"/>
      <c r="P38" s="1"/>
      <c r="Q38" s="1"/>
      <c r="R38" s="1"/>
      <c r="S38" s="1"/>
      <c r="T38" s="104"/>
      <c r="U38" s="585"/>
      <c r="V38" s="585"/>
      <c r="W38" s="105"/>
      <c r="X38" s="110"/>
      <c r="Y38" s="105"/>
    </row>
    <row r="39" spans="2:25" ht="15.75">
      <c r="B39" s="2"/>
      <c r="C39" s="2"/>
      <c r="E39" s="1"/>
      <c r="F39" s="3"/>
      <c r="G39" s="4"/>
      <c r="H39" s="5"/>
      <c r="I39" s="20"/>
      <c r="J39" s="20"/>
      <c r="K39" s="20"/>
      <c r="L39" s="1"/>
      <c r="M39" s="1"/>
      <c r="N39" s="1"/>
      <c r="O39" s="1"/>
      <c r="P39" s="1"/>
      <c r="Q39" s="1"/>
      <c r="R39" s="1"/>
      <c r="S39" s="1"/>
      <c r="T39" s="104"/>
      <c r="U39" s="105"/>
      <c r="V39" s="104"/>
      <c r="W39" s="110"/>
      <c r="X39" s="106"/>
      <c r="Y39" s="106"/>
    </row>
    <row r="40" spans="2:25" ht="15.75">
      <c r="B40" s="2"/>
      <c r="C40" s="2"/>
      <c r="E40" s="1"/>
      <c r="F40" s="3"/>
      <c r="G40" s="4"/>
      <c r="H40" s="5"/>
      <c r="I40" s="20"/>
      <c r="J40" s="20"/>
      <c r="K40" s="20"/>
      <c r="L40" s="1"/>
      <c r="M40" s="1"/>
      <c r="N40" s="1"/>
      <c r="O40" s="1"/>
      <c r="P40" s="1"/>
      <c r="Q40" s="1"/>
      <c r="R40" s="1"/>
      <c r="S40" s="1"/>
      <c r="T40" s="104"/>
      <c r="U40" s="105"/>
      <c r="V40" s="104"/>
      <c r="W40" s="110"/>
      <c r="X40" s="110"/>
      <c r="Y40" s="106"/>
    </row>
    <row r="41" spans="2:25" ht="15.75">
      <c r="B41" s="2"/>
      <c r="C41" s="2"/>
      <c r="E41" s="1"/>
      <c r="F41" s="3"/>
      <c r="G41" s="4"/>
      <c r="H41" s="5"/>
      <c r="I41" s="20"/>
      <c r="J41" s="20"/>
      <c r="K41" s="20"/>
      <c r="L41" s="1"/>
      <c r="M41" s="1"/>
      <c r="N41" s="1"/>
      <c r="O41" s="1"/>
      <c r="P41" s="1"/>
      <c r="Q41" s="1"/>
      <c r="R41" s="1"/>
      <c r="S41" s="1"/>
      <c r="T41" s="104"/>
      <c r="U41" s="105"/>
      <c r="V41" s="104"/>
      <c r="W41" s="110"/>
      <c r="X41" s="110"/>
      <c r="Y41" s="110"/>
    </row>
    <row r="42" spans="2:25" ht="15.75">
      <c r="B42" s="2"/>
      <c r="C42" s="2"/>
      <c r="D42" s="1"/>
      <c r="E42" s="1"/>
      <c r="F42" s="20"/>
      <c r="G42" s="20"/>
      <c r="H42" s="20"/>
      <c r="I42" s="20"/>
      <c r="J42" s="20"/>
      <c r="K42" s="20"/>
      <c r="L42" s="1"/>
      <c r="M42" s="1"/>
      <c r="N42" s="1"/>
      <c r="O42" s="1"/>
      <c r="P42" s="1"/>
      <c r="Q42" s="1"/>
      <c r="R42" s="1"/>
      <c r="S42" s="1"/>
      <c r="T42" s="104"/>
      <c r="U42" s="105"/>
      <c r="V42" s="104"/>
      <c r="W42" s="110"/>
      <c r="X42" s="106"/>
      <c r="Y42" s="106"/>
    </row>
    <row r="43" spans="2:25" ht="15.75">
      <c r="B43" s="2"/>
      <c r="C43" s="2"/>
      <c r="D43" s="1"/>
      <c r="E43" s="1"/>
      <c r="F43" s="20"/>
      <c r="G43" s="20"/>
      <c r="H43" s="20"/>
      <c r="I43" s="20"/>
      <c r="J43" s="20"/>
      <c r="K43" s="20"/>
      <c r="L43" s="1"/>
      <c r="M43" s="1"/>
      <c r="N43" s="1"/>
      <c r="O43" s="1"/>
      <c r="P43" s="1"/>
      <c r="Q43" s="1"/>
      <c r="R43" s="1"/>
      <c r="S43" s="1"/>
      <c r="T43" s="104"/>
      <c r="U43" s="105"/>
      <c r="V43" s="104"/>
      <c r="W43" s="110"/>
      <c r="X43" s="103"/>
      <c r="Y43" s="106"/>
    </row>
    <row r="44" spans="2:25" ht="15.75">
      <c r="B44" s="2"/>
      <c r="C44" s="2"/>
      <c r="D44" s="1"/>
      <c r="E44" s="1"/>
      <c r="F44" s="20"/>
      <c r="G44" s="20"/>
      <c r="H44" s="20"/>
      <c r="I44" s="20"/>
      <c r="J44" s="20"/>
      <c r="K44" s="20"/>
      <c r="L44" s="1"/>
      <c r="M44" s="1"/>
      <c r="N44" s="1"/>
      <c r="O44" s="1"/>
      <c r="P44" s="1"/>
      <c r="Q44" s="1"/>
      <c r="R44" s="1"/>
      <c r="S44" s="1"/>
      <c r="T44" s="104"/>
      <c r="U44" s="105"/>
      <c r="V44" s="104"/>
      <c r="W44" s="110"/>
      <c r="X44" s="106"/>
      <c r="Y44" s="103"/>
    </row>
    <row r="45" spans="2:25" ht="15.75">
      <c r="B45" s="2"/>
      <c r="C45" s="2"/>
      <c r="D45" s="1"/>
      <c r="E45" s="1"/>
      <c r="F45" s="20"/>
      <c r="G45" s="20"/>
      <c r="H45" s="20"/>
      <c r="I45" s="20"/>
      <c r="J45" s="20"/>
      <c r="K45" s="20"/>
      <c r="L45" s="1"/>
      <c r="M45" s="1"/>
      <c r="N45" s="1"/>
      <c r="O45" s="1"/>
      <c r="P45" s="1"/>
      <c r="Q45" s="1"/>
      <c r="R45" s="1"/>
      <c r="S45" s="1"/>
      <c r="T45" s="104"/>
      <c r="U45" s="105"/>
      <c r="V45" s="105"/>
      <c r="W45" s="103"/>
      <c r="X45" s="105"/>
      <c r="Y45" s="106"/>
    </row>
    <row r="46" spans="2:25" ht="15.75">
      <c r="B46" s="2"/>
      <c r="C46" s="2"/>
      <c r="D46" s="1"/>
      <c r="E46" s="1"/>
      <c r="F46" s="20"/>
      <c r="G46" s="20"/>
      <c r="H46" s="20"/>
      <c r="I46" s="20"/>
      <c r="J46" s="20"/>
      <c r="K46" s="20"/>
      <c r="L46" s="1"/>
      <c r="M46" s="1"/>
      <c r="N46" s="1"/>
      <c r="O46" s="1"/>
      <c r="P46" s="1"/>
      <c r="Q46" s="1"/>
      <c r="R46" s="1"/>
      <c r="S46" s="1"/>
      <c r="T46" s="104"/>
      <c r="U46" s="105"/>
      <c r="V46" s="104"/>
      <c r="W46" s="110"/>
      <c r="X46" s="105"/>
      <c r="Y46" s="105"/>
    </row>
    <row r="47" spans="2:25" ht="15.75">
      <c r="B47" s="2"/>
      <c r="C47" s="2"/>
      <c r="D47" s="1"/>
      <c r="E47" s="1"/>
      <c r="F47" s="20"/>
      <c r="G47" s="20"/>
      <c r="H47" s="20"/>
      <c r="I47" s="20"/>
      <c r="J47" s="20"/>
      <c r="K47" s="20"/>
      <c r="L47" s="1"/>
      <c r="M47" s="1"/>
      <c r="N47" s="1"/>
      <c r="O47" s="1"/>
      <c r="P47" s="1"/>
      <c r="Q47" s="1"/>
      <c r="R47" s="1"/>
      <c r="S47" s="1"/>
      <c r="T47" s="104"/>
      <c r="U47" s="105"/>
      <c r="V47" s="105"/>
      <c r="W47" s="105"/>
      <c r="X47" s="106"/>
      <c r="Y47" s="105"/>
    </row>
    <row r="48" spans="2:25" ht="15.75">
      <c r="B48" s="2"/>
      <c r="C48" s="2"/>
      <c r="D48" s="1"/>
      <c r="E48" s="1"/>
      <c r="F48" s="20"/>
      <c r="G48" s="20"/>
      <c r="H48" s="20"/>
      <c r="I48" s="20"/>
      <c r="J48" s="20"/>
      <c r="K48" s="20"/>
      <c r="L48" s="1"/>
      <c r="M48" s="1"/>
      <c r="N48" s="1"/>
      <c r="O48" s="1"/>
      <c r="P48" s="1"/>
      <c r="Q48" s="1"/>
      <c r="R48" s="1"/>
      <c r="S48" s="1"/>
      <c r="T48" s="104"/>
      <c r="U48" s="585"/>
      <c r="V48" s="585"/>
      <c r="W48" s="105"/>
      <c r="X48" s="106"/>
      <c r="Y48" s="106"/>
    </row>
    <row r="49" spans="2:25" ht="15.75">
      <c r="B49" s="2"/>
      <c r="C49" s="2"/>
      <c r="D49" s="1"/>
      <c r="E49" s="1"/>
      <c r="F49" s="20"/>
      <c r="G49" s="20"/>
      <c r="H49" s="20"/>
      <c r="I49" s="20"/>
      <c r="J49" s="20"/>
      <c r="K49" s="20"/>
      <c r="L49" s="1"/>
      <c r="M49" s="1"/>
      <c r="N49" s="1"/>
      <c r="O49" s="1"/>
      <c r="P49" s="1"/>
      <c r="Q49" s="1"/>
      <c r="R49" s="1"/>
      <c r="S49" s="1"/>
      <c r="T49" s="104"/>
      <c r="U49" s="105"/>
      <c r="V49" s="104"/>
      <c r="W49" s="110"/>
      <c r="X49" s="106"/>
      <c r="Y49" s="106"/>
    </row>
    <row r="50" spans="2:25" ht="15.75">
      <c r="B50" s="2"/>
      <c r="C50" s="2"/>
      <c r="D50" s="1"/>
      <c r="E50" s="1"/>
      <c r="F50" s="20"/>
      <c r="G50" s="20"/>
      <c r="H50" s="20"/>
      <c r="I50" s="20"/>
      <c r="J50" s="20"/>
      <c r="K50" s="20"/>
      <c r="L50" s="1"/>
      <c r="M50" s="1"/>
      <c r="N50" s="1"/>
      <c r="O50" s="1"/>
      <c r="P50" s="1"/>
      <c r="Q50" s="1"/>
      <c r="R50" s="1"/>
      <c r="S50" s="1"/>
      <c r="T50" s="104"/>
      <c r="U50" s="105"/>
      <c r="V50" s="104"/>
      <c r="W50" s="110"/>
      <c r="X50" s="110"/>
      <c r="Y50" s="106"/>
    </row>
    <row r="51" spans="2:25" ht="15.75">
      <c r="B51" s="2"/>
      <c r="C51" s="2"/>
      <c r="D51" s="1"/>
      <c r="E51" s="1"/>
      <c r="F51" s="20"/>
      <c r="G51" s="20"/>
      <c r="H51" s="20"/>
      <c r="I51" s="20"/>
      <c r="J51" s="20"/>
      <c r="K51" s="20"/>
      <c r="L51" s="1"/>
      <c r="M51" s="1"/>
      <c r="N51" s="1"/>
      <c r="O51" s="1"/>
      <c r="P51" s="1"/>
      <c r="Q51" s="1"/>
      <c r="R51" s="1"/>
      <c r="S51" s="1"/>
      <c r="T51" s="104"/>
      <c r="U51" s="105"/>
      <c r="V51" s="105"/>
      <c r="W51" s="103"/>
      <c r="X51" s="110"/>
      <c r="Y51" s="106"/>
    </row>
    <row r="52" spans="2:25" ht="15.75">
      <c r="B52" s="2"/>
      <c r="C52" s="2"/>
      <c r="D52" s="1"/>
      <c r="E52" s="1"/>
      <c r="F52" s="20"/>
      <c r="G52" s="20"/>
      <c r="H52" s="20"/>
      <c r="I52" s="20"/>
      <c r="J52" s="20"/>
      <c r="K52" s="20"/>
      <c r="L52" s="1"/>
      <c r="M52" s="1"/>
      <c r="N52" s="1"/>
      <c r="O52" s="1"/>
      <c r="P52" s="1"/>
      <c r="Q52" s="1"/>
      <c r="R52" s="1"/>
      <c r="S52" s="1"/>
      <c r="T52" s="104"/>
      <c r="U52" s="105"/>
      <c r="V52" s="104"/>
      <c r="W52" s="110"/>
      <c r="X52" s="106"/>
      <c r="Y52" s="106"/>
    </row>
    <row r="53" spans="2:25" ht="15.75">
      <c r="B53" s="2"/>
      <c r="C53" s="2"/>
      <c r="D53" s="1"/>
      <c r="E53" s="1"/>
      <c r="F53" s="20"/>
      <c r="G53" s="20"/>
      <c r="H53" s="20"/>
      <c r="I53" s="20"/>
      <c r="J53" s="20"/>
      <c r="K53" s="20"/>
      <c r="L53" s="1"/>
      <c r="M53" s="1"/>
      <c r="N53" s="1"/>
      <c r="O53" s="1"/>
      <c r="P53" s="1"/>
      <c r="Q53" s="1"/>
      <c r="R53" s="1"/>
      <c r="S53" s="1"/>
      <c r="T53" s="104"/>
      <c r="U53" s="105"/>
      <c r="V53" s="105"/>
      <c r="W53" s="105"/>
      <c r="X53" s="103"/>
      <c r="Y53" s="106"/>
    </row>
    <row r="54" spans="2:25" ht="15.75">
      <c r="B54" s="2"/>
      <c r="C54" s="2"/>
      <c r="D54" s="1"/>
      <c r="E54" s="1"/>
      <c r="F54" s="20"/>
      <c r="G54" s="20"/>
      <c r="H54" s="20"/>
      <c r="I54" s="20"/>
      <c r="J54" s="20"/>
      <c r="K54" s="20"/>
      <c r="L54" s="1"/>
      <c r="M54" s="1"/>
      <c r="N54" s="1"/>
      <c r="O54" s="1"/>
      <c r="P54" s="1"/>
      <c r="Q54" s="1"/>
      <c r="R54" s="1"/>
      <c r="S54" s="1"/>
      <c r="T54" s="104"/>
      <c r="U54" s="585"/>
      <c r="V54" s="585"/>
      <c r="W54" s="105"/>
      <c r="X54" s="106"/>
      <c r="Y54" s="103"/>
    </row>
    <row r="55" spans="2:25" ht="15.75">
      <c r="B55" s="1"/>
      <c r="C55" s="1"/>
      <c r="D55" s="1"/>
      <c r="E55" s="1"/>
      <c r="F55" s="20"/>
      <c r="G55" s="20"/>
      <c r="H55" s="20"/>
      <c r="I55" s="20"/>
      <c r="J55" s="20"/>
      <c r="K55" s="20"/>
      <c r="L55" s="1"/>
      <c r="M55" s="1"/>
      <c r="N55" s="1"/>
      <c r="O55" s="1"/>
      <c r="P55" s="1"/>
      <c r="Q55" s="1"/>
      <c r="R55" s="1"/>
      <c r="S55" s="1"/>
      <c r="T55" s="104"/>
      <c r="U55" s="105"/>
      <c r="V55" s="104"/>
      <c r="W55" s="110"/>
      <c r="X55" s="105"/>
      <c r="Y55" s="106"/>
    </row>
    <row r="56" spans="2:25" ht="15.75">
      <c r="B56" s="1"/>
      <c r="C56" s="1"/>
      <c r="D56" s="1"/>
      <c r="E56" s="1"/>
      <c r="F56" s="20"/>
      <c r="G56" s="20"/>
      <c r="H56" s="20"/>
      <c r="I56" s="20"/>
      <c r="J56" s="20"/>
      <c r="K56" s="20"/>
      <c r="L56" s="1"/>
      <c r="M56" s="1"/>
      <c r="N56" s="1"/>
      <c r="O56" s="1"/>
      <c r="P56" s="1"/>
      <c r="Q56" s="1"/>
      <c r="R56" s="1"/>
      <c r="S56" s="1"/>
      <c r="T56" s="104"/>
      <c r="U56" s="105"/>
      <c r="V56" s="104"/>
      <c r="W56" s="110"/>
      <c r="X56" s="105"/>
      <c r="Y56" s="105"/>
    </row>
    <row r="57" spans="2:25" ht="15.75">
      <c r="B57" s="1"/>
      <c r="C57" s="1"/>
      <c r="D57" s="1"/>
      <c r="E57" s="1"/>
      <c r="F57" s="20"/>
      <c r="G57" s="20"/>
      <c r="H57" s="20"/>
      <c r="I57" s="20"/>
      <c r="J57" s="20"/>
      <c r="K57" s="20"/>
      <c r="L57" s="1"/>
      <c r="M57" s="1"/>
      <c r="N57" s="1"/>
      <c r="O57" s="1"/>
      <c r="P57" s="1"/>
      <c r="Q57" s="1"/>
      <c r="R57" s="1"/>
      <c r="S57" s="1"/>
      <c r="T57" s="104"/>
      <c r="U57" s="105"/>
      <c r="V57" s="104"/>
      <c r="W57" s="106"/>
      <c r="X57" s="110"/>
      <c r="Y57" s="105"/>
    </row>
    <row r="58" spans="2:25" ht="15.75">
      <c r="B58" s="1"/>
      <c r="C58" s="1"/>
      <c r="D58" s="1"/>
      <c r="E58" s="1"/>
      <c r="F58" s="20"/>
      <c r="G58" s="20"/>
      <c r="H58" s="20"/>
      <c r="I58" s="20"/>
      <c r="J58" s="20"/>
      <c r="K58" s="20"/>
      <c r="L58" s="1"/>
      <c r="M58" s="1"/>
      <c r="N58" s="1"/>
      <c r="O58" s="1"/>
      <c r="P58" s="1"/>
      <c r="Q58" s="1"/>
      <c r="R58" s="1"/>
      <c r="S58" s="1"/>
      <c r="T58" s="104"/>
      <c r="U58" s="105"/>
      <c r="V58" s="104"/>
      <c r="W58" s="110"/>
      <c r="X58" s="110"/>
      <c r="Y58" s="106"/>
    </row>
    <row r="59" spans="2:25" ht="15.75">
      <c r="B59" s="1"/>
      <c r="C59" s="1"/>
      <c r="D59" s="1"/>
      <c r="E59" s="1"/>
      <c r="F59" s="20"/>
      <c r="G59" s="20"/>
      <c r="H59" s="20"/>
      <c r="I59" s="20"/>
      <c r="J59" s="20"/>
      <c r="K59" s="20"/>
      <c r="L59" s="1"/>
      <c r="M59" s="1"/>
      <c r="N59" s="1"/>
      <c r="O59" s="1"/>
      <c r="P59" s="1"/>
      <c r="Q59" s="1"/>
      <c r="R59" s="1"/>
      <c r="S59" s="1"/>
      <c r="T59" s="104"/>
      <c r="U59" s="105"/>
      <c r="V59" s="104"/>
      <c r="W59" s="110"/>
      <c r="X59" s="103"/>
      <c r="Y59" s="106"/>
    </row>
    <row r="60" spans="2:25" ht="15.75">
      <c r="B60" s="1"/>
      <c r="C60" s="1"/>
      <c r="D60" s="1"/>
      <c r="E60" s="1"/>
      <c r="F60" s="20"/>
      <c r="G60" s="20"/>
      <c r="H60" s="20"/>
      <c r="I60" s="20"/>
      <c r="J60" s="20"/>
      <c r="K60" s="20"/>
      <c r="L60" s="1"/>
      <c r="M60" s="1"/>
      <c r="N60" s="1"/>
      <c r="O60" s="1"/>
      <c r="P60" s="1"/>
      <c r="Q60" s="1"/>
      <c r="R60" s="1"/>
      <c r="S60" s="1"/>
      <c r="T60" s="104"/>
      <c r="U60" s="105"/>
      <c r="V60" s="105"/>
      <c r="W60" s="103"/>
      <c r="X60" s="110"/>
      <c r="Y60" s="103"/>
    </row>
    <row r="61" spans="2:25" ht="15.75">
      <c r="B61" s="1"/>
      <c r="C61" s="1"/>
      <c r="D61" s="1"/>
      <c r="E61" s="1"/>
      <c r="F61" s="20"/>
      <c r="G61" s="20"/>
      <c r="H61" s="20"/>
      <c r="I61" s="20"/>
      <c r="J61" s="20"/>
      <c r="K61" s="20"/>
      <c r="L61" s="1"/>
      <c r="M61" s="1"/>
      <c r="N61" s="1"/>
      <c r="O61" s="1"/>
      <c r="P61" s="1"/>
      <c r="Q61" s="1"/>
      <c r="R61" s="1"/>
      <c r="S61" s="1"/>
      <c r="T61" s="104"/>
      <c r="U61" s="105"/>
      <c r="V61" s="104"/>
      <c r="W61" s="106"/>
      <c r="X61" s="105"/>
      <c r="Y61" s="106"/>
    </row>
    <row r="62" spans="2:25" ht="15.75">
      <c r="B62" s="1"/>
      <c r="C62" s="1"/>
      <c r="D62" s="1"/>
      <c r="E62" s="1"/>
      <c r="F62" s="20"/>
      <c r="G62" s="20"/>
      <c r="H62" s="20"/>
      <c r="I62" s="20"/>
      <c r="J62" s="20"/>
      <c r="K62" s="20"/>
      <c r="L62" s="1"/>
      <c r="M62" s="1"/>
      <c r="N62" s="1"/>
      <c r="O62" s="1"/>
      <c r="P62" s="1"/>
      <c r="Q62" s="1"/>
      <c r="R62" s="1"/>
      <c r="S62" s="1"/>
      <c r="T62" s="104"/>
      <c r="U62" s="105"/>
      <c r="V62" s="105"/>
      <c r="W62" s="105"/>
      <c r="X62" s="105"/>
      <c r="Y62" s="105"/>
    </row>
    <row r="63" spans="2:25" ht="15.75">
      <c r="B63" s="1"/>
      <c r="C63" s="1"/>
      <c r="D63" s="1"/>
      <c r="E63" s="1"/>
      <c r="F63" s="20"/>
      <c r="G63" s="20"/>
      <c r="H63" s="20"/>
      <c r="I63" s="20"/>
      <c r="J63" s="20"/>
      <c r="K63" s="20"/>
      <c r="L63" s="1"/>
      <c r="M63" s="1"/>
      <c r="N63" s="1"/>
      <c r="O63" s="1"/>
      <c r="P63" s="1"/>
      <c r="Q63" s="1"/>
      <c r="R63" s="1"/>
      <c r="S63" s="1"/>
      <c r="T63" s="104"/>
      <c r="U63" s="105"/>
      <c r="V63" s="105"/>
      <c r="W63" s="105"/>
      <c r="X63" s="110"/>
      <c r="Y63" s="105"/>
    </row>
    <row r="64" spans="2:25" ht="15.75">
      <c r="B64" s="1"/>
      <c r="C64" s="1"/>
      <c r="D64" s="1"/>
      <c r="E64" s="1"/>
      <c r="F64" s="20"/>
      <c r="G64" s="20"/>
      <c r="H64" s="20"/>
      <c r="I64" s="20"/>
      <c r="J64" s="20"/>
      <c r="K64" s="20"/>
      <c r="L64" s="1"/>
      <c r="M64" s="1"/>
      <c r="N64" s="1"/>
      <c r="O64" s="1"/>
      <c r="P64" s="1"/>
      <c r="Q64" s="1"/>
      <c r="R64" s="1"/>
      <c r="S64" s="1"/>
      <c r="T64" s="104"/>
      <c r="U64" s="105"/>
      <c r="V64" s="104"/>
      <c r="W64" s="106"/>
      <c r="X64" s="110"/>
      <c r="Y64" s="106"/>
    </row>
    <row r="65" spans="2:25" ht="15.75">
      <c r="B65" s="1"/>
      <c r="C65" s="1"/>
      <c r="D65" s="1"/>
      <c r="E65" s="1"/>
      <c r="F65" s="20"/>
      <c r="G65" s="20"/>
      <c r="H65" s="20"/>
      <c r="I65" s="20"/>
      <c r="J65" s="20"/>
      <c r="K65" s="20"/>
      <c r="L65" s="1"/>
      <c r="M65" s="1"/>
      <c r="N65" s="1"/>
      <c r="O65" s="1"/>
      <c r="P65" s="1"/>
      <c r="Q65" s="1"/>
      <c r="R65" s="1"/>
      <c r="S65" s="1"/>
      <c r="T65" s="104"/>
      <c r="U65" s="105"/>
      <c r="V65" s="105"/>
      <c r="W65" s="103"/>
      <c r="X65" s="110"/>
      <c r="Y65" s="106"/>
    </row>
    <row r="66" spans="2:25" ht="15.75">
      <c r="B66" s="1"/>
      <c r="C66" s="1"/>
      <c r="D66" s="1"/>
      <c r="E66" s="1"/>
      <c r="F66" s="20"/>
      <c r="G66" s="20"/>
      <c r="H66" s="20"/>
      <c r="I66" s="20"/>
      <c r="J66" s="20"/>
      <c r="K66" s="20"/>
      <c r="L66" s="1"/>
      <c r="M66" s="1"/>
      <c r="N66" s="1"/>
      <c r="O66" s="1"/>
      <c r="P66" s="1"/>
      <c r="Q66" s="1"/>
      <c r="R66" s="1"/>
      <c r="S66" s="1"/>
      <c r="T66" s="104"/>
      <c r="U66" s="585"/>
      <c r="V66" s="585"/>
      <c r="W66" s="105"/>
      <c r="X66" s="110"/>
      <c r="Y66" s="106"/>
    </row>
    <row r="67" spans="2:25" ht="15.75">
      <c r="B67" s="1"/>
      <c r="C67" s="1"/>
      <c r="D67" s="1"/>
      <c r="E67" s="1"/>
      <c r="F67" s="20"/>
      <c r="G67" s="20"/>
      <c r="H67" s="20"/>
      <c r="I67" s="20"/>
      <c r="J67" s="20"/>
      <c r="K67" s="20"/>
      <c r="L67" s="1"/>
      <c r="M67" s="1"/>
      <c r="N67" s="1"/>
      <c r="O67" s="1"/>
      <c r="P67" s="1"/>
      <c r="Q67" s="1"/>
      <c r="R67" s="1"/>
      <c r="S67" s="1"/>
      <c r="T67" s="104"/>
      <c r="U67" s="105"/>
      <c r="V67" s="105"/>
      <c r="W67" s="105"/>
      <c r="X67" s="110"/>
      <c r="Y67" s="110"/>
    </row>
    <row r="68" spans="2:25" ht="15.75">
      <c r="B68" s="1"/>
      <c r="C68" s="1"/>
      <c r="D68" s="1"/>
      <c r="E68" s="1"/>
      <c r="F68" s="20"/>
      <c r="G68" s="20"/>
      <c r="H68" s="20"/>
      <c r="I68" s="20"/>
      <c r="J68" s="20"/>
      <c r="K68" s="20"/>
      <c r="L68" s="1"/>
      <c r="M68" s="1"/>
      <c r="N68" s="1"/>
      <c r="O68" s="1"/>
      <c r="P68" s="1"/>
      <c r="Q68" s="1"/>
      <c r="R68" s="1"/>
      <c r="S68" s="1"/>
      <c r="T68" s="104"/>
      <c r="U68" s="105"/>
      <c r="V68" s="104"/>
      <c r="W68" s="105"/>
      <c r="X68" s="103"/>
      <c r="Y68" s="110"/>
    </row>
    <row r="69" spans="2:25" ht="15.75">
      <c r="B69" s="1"/>
      <c r="C69" s="1"/>
      <c r="D69" s="1"/>
      <c r="E69" s="1"/>
      <c r="F69" s="20"/>
      <c r="G69" s="20"/>
      <c r="H69" s="20"/>
      <c r="I69" s="20"/>
      <c r="J69" s="20"/>
      <c r="K69" s="20"/>
      <c r="L69" s="1"/>
      <c r="M69" s="1"/>
      <c r="N69" s="1"/>
      <c r="O69" s="1"/>
      <c r="P69" s="1"/>
      <c r="Q69" s="1"/>
      <c r="R69" s="1"/>
      <c r="S69" s="1"/>
      <c r="T69" s="104"/>
      <c r="U69" s="105"/>
      <c r="V69" s="105"/>
      <c r="W69" s="103"/>
      <c r="X69" s="110"/>
      <c r="Y69" s="103"/>
    </row>
    <row r="70" spans="2:25" ht="15.75">
      <c r="B70" s="1"/>
      <c r="C70" s="1"/>
      <c r="D70" s="1"/>
      <c r="E70" s="1"/>
      <c r="F70" s="20"/>
      <c r="G70" s="20"/>
      <c r="H70" s="20"/>
      <c r="I70" s="20"/>
      <c r="J70" s="20"/>
      <c r="K70" s="20"/>
      <c r="L70" s="1"/>
      <c r="M70" s="1"/>
      <c r="N70" s="1"/>
      <c r="O70" s="1"/>
      <c r="P70" s="1"/>
      <c r="Q70" s="1"/>
      <c r="R70" s="1"/>
      <c r="S70" s="1"/>
      <c r="T70" s="104"/>
      <c r="U70" s="105"/>
      <c r="V70" s="104"/>
      <c r="W70" s="105"/>
      <c r="X70" s="105"/>
      <c r="Y70" s="106"/>
    </row>
    <row r="71" spans="2:25" ht="15.75">
      <c r="B71" s="1"/>
      <c r="C71" s="1"/>
      <c r="D71" s="1"/>
      <c r="E71" s="1"/>
      <c r="F71" s="20"/>
      <c r="G71" s="20"/>
      <c r="H71" s="20"/>
      <c r="I71" s="20"/>
      <c r="J71" s="20"/>
      <c r="K71" s="20"/>
      <c r="L71" s="1"/>
      <c r="M71" s="1"/>
      <c r="N71" s="1"/>
      <c r="O71" s="1"/>
      <c r="P71" s="1"/>
      <c r="Q71" s="1"/>
      <c r="R71" s="1"/>
      <c r="S71" s="1"/>
      <c r="T71" s="104"/>
      <c r="U71" s="105"/>
      <c r="V71" s="105"/>
      <c r="W71" s="105"/>
      <c r="X71" s="105"/>
      <c r="Y71" s="105"/>
    </row>
    <row r="72" spans="2:25" ht="15.75">
      <c r="B72" s="1"/>
      <c r="C72" s="1"/>
      <c r="D72" s="1"/>
      <c r="E72" s="1"/>
      <c r="F72" s="20"/>
      <c r="G72" s="20"/>
      <c r="H72" s="20"/>
      <c r="I72" s="20"/>
      <c r="J72" s="20"/>
      <c r="K72" s="20"/>
      <c r="L72" s="1"/>
      <c r="M72" s="1"/>
      <c r="N72" s="1"/>
      <c r="O72" s="1"/>
      <c r="P72" s="1"/>
      <c r="Q72" s="1"/>
      <c r="R72" s="1"/>
      <c r="S72" s="1"/>
      <c r="T72" s="104"/>
      <c r="U72" s="105"/>
      <c r="V72" s="105"/>
      <c r="W72" s="103"/>
      <c r="X72" s="106"/>
      <c r="Y72" s="105"/>
    </row>
    <row r="73" spans="2:25" ht="15.75">
      <c r="B73" s="1"/>
      <c r="C73" s="1"/>
      <c r="D73" s="1"/>
      <c r="E73" s="1"/>
      <c r="F73" s="20"/>
      <c r="G73" s="20"/>
      <c r="H73" s="20"/>
      <c r="I73" s="20"/>
      <c r="J73" s="20"/>
      <c r="K73" s="20"/>
      <c r="L73" s="1"/>
      <c r="M73" s="1"/>
      <c r="N73" s="1"/>
      <c r="O73" s="1"/>
      <c r="P73" s="1"/>
      <c r="Q73" s="1"/>
      <c r="R73" s="1"/>
      <c r="S73" s="1"/>
      <c r="T73" s="104"/>
      <c r="U73" s="585"/>
      <c r="V73" s="585"/>
      <c r="W73" s="106"/>
      <c r="X73" s="103"/>
      <c r="Y73" s="106"/>
    </row>
    <row r="74" spans="2:25" ht="15.75">
      <c r="B74" s="1"/>
      <c r="C74" s="1"/>
      <c r="D74" s="1"/>
      <c r="E74" s="1"/>
      <c r="F74" s="20"/>
      <c r="G74" s="20"/>
      <c r="H74" s="20"/>
      <c r="I74" s="20"/>
      <c r="J74" s="20"/>
      <c r="K74" s="20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05"/>
      <c r="Y74" s="103"/>
    </row>
    <row r="75" spans="2:25" ht="15.75">
      <c r="B75" s="1"/>
      <c r="C75" s="1"/>
      <c r="D75" s="1"/>
      <c r="X75" s="105"/>
      <c r="Y75" s="105"/>
    </row>
    <row r="76" spans="2:25" ht="15.75">
      <c r="B76" s="1"/>
      <c r="C76" s="1"/>
      <c r="D76" s="1"/>
      <c r="X76" s="105"/>
      <c r="Y76" s="105"/>
    </row>
    <row r="77" spans="2:25" ht="15.75">
      <c r="B77" s="1"/>
      <c r="C77" s="1"/>
      <c r="D77" s="1"/>
      <c r="X77" s="103"/>
      <c r="Y77" s="105"/>
    </row>
    <row r="78" spans="2:25" ht="15.75">
      <c r="B78" s="1"/>
      <c r="C78" s="1"/>
      <c r="D78" s="1"/>
      <c r="X78" s="105"/>
      <c r="Y78" s="103"/>
    </row>
    <row r="79" spans="2:25" ht="15.75">
      <c r="B79" s="1"/>
      <c r="C79" s="1"/>
      <c r="D79" s="1"/>
      <c r="X79" s="105"/>
      <c r="Y79" s="105"/>
    </row>
    <row r="80" spans="2:25" ht="15.75">
      <c r="B80" s="1"/>
      <c r="C80" s="1"/>
      <c r="D80" s="1"/>
      <c r="X80" s="103"/>
      <c r="Y80" s="105"/>
    </row>
    <row r="81" spans="2:25" ht="15.75">
      <c r="B81" s="1"/>
      <c r="C81" s="1"/>
      <c r="D81" s="1"/>
      <c r="X81" s="106"/>
      <c r="Y81" s="103"/>
    </row>
    <row r="82" spans="2:25" ht="15.75">
      <c r="B82" s="1"/>
      <c r="C82" s="1"/>
      <c r="D82" s="1"/>
      <c r="X82" s="1"/>
      <c r="Y82" s="106"/>
    </row>
    <row r="83" spans="2:25" ht="15.75">
      <c r="B83" s="1"/>
      <c r="C83" s="1"/>
      <c r="D83" s="1"/>
      <c r="Y83" s="1"/>
    </row>
  </sheetData>
  <mergeCells count="18">
    <mergeCell ref="U73:V73"/>
    <mergeCell ref="F27:I27"/>
    <mergeCell ref="P27:T27"/>
    <mergeCell ref="C32:E32"/>
    <mergeCell ref="U38:V38"/>
    <mergeCell ref="U48:V48"/>
    <mergeCell ref="U54:V54"/>
    <mergeCell ref="W28:X28"/>
    <mergeCell ref="Y28:Z28"/>
    <mergeCell ref="G4:T4"/>
    <mergeCell ref="C22:E22"/>
    <mergeCell ref="U66:V66"/>
    <mergeCell ref="U18:V18"/>
    <mergeCell ref="W18:X18"/>
    <mergeCell ref="U17:V17"/>
    <mergeCell ref="W17:X17"/>
    <mergeCell ref="G18:T18"/>
    <mergeCell ref="G8:T8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3EBC01-342E-4F6B-9164-F0157642FF95}">
  <sheetPr>
    <tabColor rgb="FF92D050"/>
  </sheetPr>
  <dimension ref="A1:AE40"/>
  <sheetViews>
    <sheetView workbookViewId="0"/>
  </sheetViews>
  <sheetFormatPr defaultColWidth="8.85546875" defaultRowHeight="15"/>
  <cols>
    <col min="1" max="1" width="7.42578125" style="6" customWidth="1"/>
    <col min="2" max="2" width="14.42578125" style="6" customWidth="1"/>
    <col min="3" max="3" width="15.7109375" style="6" customWidth="1"/>
    <col min="4" max="4" width="16.140625" style="6" customWidth="1"/>
    <col min="5" max="5" width="18" style="6" bestFit="1" customWidth="1"/>
    <col min="6" max="6" width="16.42578125" style="6" customWidth="1"/>
    <col min="7" max="7" width="17.28515625" style="6" customWidth="1"/>
    <col min="8" max="8" width="18" style="6" customWidth="1"/>
    <col min="9" max="10" width="15.5703125" style="6" customWidth="1"/>
    <col min="11" max="11" width="15" style="6" bestFit="1" customWidth="1"/>
    <col min="12" max="14" width="15.5703125" style="6" customWidth="1"/>
    <col min="15" max="15" width="18.7109375" style="6" customWidth="1"/>
    <col min="16" max="17" width="15.5703125" style="6" customWidth="1"/>
    <col min="18" max="18" width="15" style="6" customWidth="1"/>
    <col min="19" max="19" width="14" style="6" customWidth="1"/>
    <col min="20" max="20" width="15.5703125" style="6" customWidth="1"/>
    <col min="21" max="21" width="16.5703125" style="6" customWidth="1"/>
    <col min="22" max="23" width="14" style="6" customWidth="1"/>
    <col min="24" max="24" width="37.7109375" style="6" customWidth="1"/>
    <col min="25" max="25" width="14.85546875" style="6" bestFit="1" customWidth="1"/>
    <col min="26" max="26" width="12.85546875" style="6" customWidth="1"/>
    <col min="27" max="27" width="14.7109375" style="6" customWidth="1"/>
    <col min="28" max="28" width="8.85546875" style="6"/>
    <col min="29" max="31" width="16.28515625" style="6" customWidth="1"/>
    <col min="32" max="16384" width="8.85546875" style="6"/>
  </cols>
  <sheetData>
    <row r="1" spans="1:31" s="172" customFormat="1" ht="25.5" customHeight="1">
      <c r="A1" s="398"/>
      <c r="B1" s="399"/>
      <c r="C1" s="399"/>
      <c r="D1" s="399"/>
      <c r="E1" s="399"/>
      <c r="F1" s="399"/>
      <c r="G1" s="399"/>
      <c r="H1" s="399"/>
      <c r="I1" s="399"/>
      <c r="J1" s="399"/>
      <c r="K1" s="399"/>
      <c r="L1" s="399"/>
      <c r="M1" s="399"/>
      <c r="N1" s="399"/>
      <c r="O1" s="399"/>
      <c r="P1" s="399"/>
      <c r="Q1" s="399"/>
      <c r="R1" s="399"/>
      <c r="S1" s="399"/>
      <c r="T1" s="399"/>
      <c r="U1" s="399"/>
      <c r="V1" s="399"/>
      <c r="W1" s="399"/>
      <c r="X1" s="399"/>
      <c r="Y1" s="399"/>
      <c r="Z1" s="399"/>
      <c r="AA1" s="399"/>
    </row>
    <row r="2" spans="1:31">
      <c r="A2" s="88"/>
      <c r="B2" s="609"/>
      <c r="C2" s="609"/>
      <c r="D2" s="609"/>
      <c r="F2" s="88"/>
    </row>
    <row r="3" spans="1:31">
      <c r="E3" s="610" t="s">
        <v>402</v>
      </c>
      <c r="F3" s="610"/>
      <c r="G3" s="610"/>
      <c r="H3" s="610"/>
      <c r="I3" s="610"/>
      <c r="J3" s="255"/>
      <c r="K3" s="255"/>
      <c r="M3" s="111"/>
      <c r="N3" s="111"/>
      <c r="O3" s="111"/>
      <c r="P3" s="333"/>
      <c r="Q3" s="333"/>
      <c r="R3" s="333"/>
      <c r="S3" s="333"/>
      <c r="T3" s="333"/>
      <c r="U3" s="255"/>
      <c r="V3" s="255"/>
    </row>
    <row r="4" spans="1:31" ht="15.75" customHeight="1">
      <c r="D4" s="1"/>
      <c r="E4" s="149">
        <f>'Res Bill Impact'!E4</f>
        <v>2025</v>
      </c>
      <c r="F4" s="179">
        <f>'Res Bill Impact'!F4</f>
        <v>45809</v>
      </c>
      <c r="G4" s="179">
        <f>'Res Bill Impact'!G4</f>
        <v>45809</v>
      </c>
      <c r="H4" s="112" t="s">
        <v>178</v>
      </c>
      <c r="I4" s="112" t="s">
        <v>178</v>
      </c>
      <c r="J4" s="112"/>
      <c r="K4" s="112"/>
      <c r="L4" s="20"/>
      <c r="O4" s="1"/>
      <c r="P4" s="149"/>
      <c r="Q4" s="179"/>
      <c r="R4" s="179"/>
      <c r="S4" s="112"/>
      <c r="T4" s="112"/>
      <c r="U4" s="112"/>
      <c r="V4" s="112"/>
    </row>
    <row r="5" spans="1:31" ht="30.75" customHeight="1">
      <c r="D5" s="1"/>
      <c r="E5" s="112" t="s">
        <v>130</v>
      </c>
      <c r="F5" s="112" t="s">
        <v>179</v>
      </c>
      <c r="G5" s="112" t="s">
        <v>180</v>
      </c>
      <c r="H5" s="112" t="s">
        <v>179</v>
      </c>
      <c r="I5" s="112" t="s">
        <v>180</v>
      </c>
      <c r="J5" s="112"/>
      <c r="K5" s="112"/>
      <c r="L5" s="84"/>
      <c r="M5" s="113"/>
      <c r="N5" s="113"/>
      <c r="O5" s="84"/>
      <c r="P5" s="112"/>
      <c r="Q5" s="112"/>
      <c r="R5" s="112"/>
      <c r="S5" s="112"/>
      <c r="T5" s="112"/>
      <c r="U5" s="112"/>
      <c r="V5" s="112"/>
      <c r="AD5" s="48"/>
      <c r="AE5" s="48"/>
    </row>
    <row r="6" spans="1:31" ht="42" customHeight="1">
      <c r="B6" s="114"/>
      <c r="D6" s="114"/>
      <c r="E6" s="1"/>
      <c r="F6" s="1"/>
      <c r="G6" s="1"/>
      <c r="J6" s="20"/>
      <c r="K6" s="20"/>
      <c r="L6" s="20"/>
      <c r="O6" s="114"/>
      <c r="P6" s="1"/>
      <c r="Q6" s="1"/>
      <c r="R6" s="1"/>
      <c r="U6" s="20"/>
      <c r="V6" s="20"/>
      <c r="Y6" s="274" t="s">
        <v>113</v>
      </c>
      <c r="Z6" s="274" t="s">
        <v>329</v>
      </c>
      <c r="AA6" s="274" t="s">
        <v>3</v>
      </c>
      <c r="AC6" s="113"/>
      <c r="AD6" s="113"/>
      <c r="AE6" s="113"/>
    </row>
    <row r="7" spans="1:31" ht="15.75">
      <c r="D7" s="115" t="s">
        <v>403</v>
      </c>
      <c r="E7" s="253">
        <f>'Bill Impact (TOU-A)'!E7</f>
        <v>151217892.9594312</v>
      </c>
      <c r="F7" s="116">
        <f>'Bill Impact (TOU-A)'!F7</f>
        <v>0.54151000000000005</v>
      </c>
      <c r="G7" s="117">
        <f>F7*E7</f>
        <v>81886001.216461599</v>
      </c>
      <c r="H7" s="174">
        <f>F7+(F7*$AD$12)</f>
        <v>0.54151000000000005</v>
      </c>
      <c r="I7" s="117">
        <f>E7*H7</f>
        <v>81886001.216461599</v>
      </c>
      <c r="J7" s="174"/>
      <c r="K7" s="279"/>
      <c r="L7" s="118"/>
      <c r="O7" s="115"/>
      <c r="P7" s="336"/>
      <c r="Q7" s="122"/>
      <c r="R7" s="337"/>
      <c r="S7" s="174"/>
      <c r="T7" s="337"/>
      <c r="U7" s="174"/>
      <c r="V7" s="279"/>
      <c r="W7" s="118"/>
      <c r="X7" s="6" t="s">
        <v>404</v>
      </c>
      <c r="AC7" s="313"/>
      <c r="AD7" s="285"/>
      <c r="AE7" s="285"/>
    </row>
    <row r="8" spans="1:31" ht="15.75">
      <c r="D8" s="119"/>
      <c r="E8" s="253"/>
      <c r="F8" s="116"/>
      <c r="G8" s="117"/>
      <c r="H8" s="174"/>
      <c r="I8" s="117"/>
      <c r="J8" s="174"/>
      <c r="K8" s="279"/>
      <c r="L8" s="118"/>
      <c r="O8" s="119"/>
      <c r="P8" s="336"/>
      <c r="Q8" s="122"/>
      <c r="R8" s="337"/>
      <c r="S8" s="174"/>
      <c r="T8" s="337"/>
      <c r="U8" s="174"/>
      <c r="V8" s="279"/>
      <c r="W8" s="118"/>
      <c r="X8" s="6" t="s">
        <v>188</v>
      </c>
      <c r="Y8" s="120">
        <f>'Bill Impact (TOU-A)'!Y8</f>
        <v>666774198</v>
      </c>
      <c r="Z8" s="120">
        <f>'Bill Impact (TOU-A)'!Z8</f>
        <v>599039964</v>
      </c>
      <c r="AA8" s="120">
        <f>'Bill Impact (TOU-A)'!AA8</f>
        <v>67734234</v>
      </c>
    </row>
    <row r="9" spans="1:31" ht="15.75">
      <c r="D9" s="115" t="s">
        <v>405</v>
      </c>
      <c r="E9" s="253">
        <f>'Bill Impact (TOU-A)'!E9</f>
        <v>503808161.5971247</v>
      </c>
      <c r="F9" s="116">
        <f>'Bill Impact (TOU-A)'!F9</f>
        <v>0.41325000000000001</v>
      </c>
      <c r="G9" s="117">
        <f>F9*E9</f>
        <v>208198722.78001177</v>
      </c>
      <c r="H9" s="174">
        <f>F9+(F9*$AD$12)</f>
        <v>0.41325000000000001</v>
      </c>
      <c r="I9" s="117">
        <f>E9*H9</f>
        <v>208198722.78001177</v>
      </c>
      <c r="J9" s="174"/>
      <c r="K9" s="279"/>
      <c r="L9" s="118"/>
      <c r="O9" s="115"/>
      <c r="P9" s="336"/>
      <c r="Q9" s="122"/>
      <c r="R9" s="337"/>
      <c r="S9" s="174"/>
      <c r="T9" s="337"/>
      <c r="U9" s="174"/>
      <c r="V9" s="279"/>
      <c r="W9" s="118"/>
      <c r="X9" s="6" t="s">
        <v>267</v>
      </c>
      <c r="Y9" s="205">
        <f>('Hypoth. SAR and RAR (TOU-A)'!U20+'Hypoth. SAR and RAR (TOU-A)'!W20)*1000</f>
        <v>0</v>
      </c>
      <c r="Z9" s="205">
        <f>('Hypoth. SAR and RAR (TOU-A)'!U20)*1000</f>
        <v>0</v>
      </c>
      <c r="AA9" s="173">
        <f>('Hypoth. SAR and RAR (TOU-A)'!W20)*1000</f>
        <v>0</v>
      </c>
      <c r="AB9" s="333"/>
    </row>
    <row r="10" spans="1:31" ht="15.75">
      <c r="D10" s="119"/>
      <c r="E10" s="253"/>
      <c r="F10" s="116"/>
      <c r="G10" s="117"/>
      <c r="H10" s="174"/>
      <c r="I10" s="117"/>
      <c r="J10" s="174"/>
      <c r="K10" s="279"/>
      <c r="L10" s="118"/>
      <c r="O10" s="119"/>
      <c r="P10" s="336"/>
      <c r="Q10" s="122"/>
      <c r="R10" s="337"/>
      <c r="S10" s="174"/>
      <c r="T10" s="337"/>
      <c r="U10" s="174"/>
      <c r="V10" s="279"/>
      <c r="W10" s="118"/>
      <c r="X10" s="6" t="s">
        <v>268</v>
      </c>
      <c r="Y10" s="120">
        <f>Y8+Y9</f>
        <v>666774198</v>
      </c>
      <c r="Z10" s="120">
        <f>Z8+Z9</f>
        <v>599039964</v>
      </c>
      <c r="AA10" s="120">
        <f>AA8+AA9</f>
        <v>67734234</v>
      </c>
      <c r="AD10" s="48" t="s">
        <v>331</v>
      </c>
      <c r="AE10" s="48"/>
    </row>
    <row r="11" spans="1:31" ht="15.75">
      <c r="D11" s="115" t="s">
        <v>406</v>
      </c>
      <c r="E11" s="253">
        <f>'Bill Impact (TOU-A)'!E11</f>
        <v>183390340.97276723</v>
      </c>
      <c r="F11" s="116">
        <f>'Bill Impact (TOU-A)'!F11</f>
        <v>0.42368000000000006</v>
      </c>
      <c r="G11" s="117">
        <f>F11*E11</f>
        <v>77698819.663342029</v>
      </c>
      <c r="H11" s="174">
        <f>F11+(F11*$AD$12)</f>
        <v>0.42368000000000006</v>
      </c>
      <c r="I11" s="117">
        <f>E11*H11</f>
        <v>77698819.663342029</v>
      </c>
      <c r="J11" s="174"/>
      <c r="K11" s="279"/>
      <c r="L11" s="118"/>
      <c r="O11" s="115"/>
      <c r="P11" s="336"/>
      <c r="Q11" s="122"/>
      <c r="R11" s="337"/>
      <c r="S11" s="174"/>
      <c r="T11" s="337"/>
      <c r="U11" s="174"/>
      <c r="V11" s="279"/>
      <c r="W11" s="118"/>
      <c r="Y11" s="120"/>
      <c r="AC11" s="134" t="s">
        <v>330</v>
      </c>
      <c r="AD11" s="274" t="s">
        <v>332</v>
      </c>
      <c r="AE11" s="48"/>
    </row>
    <row r="12" spans="1:31" ht="15.75">
      <c r="D12" s="119"/>
      <c r="E12" s="253"/>
      <c r="F12" s="116"/>
      <c r="G12" s="117"/>
      <c r="H12" s="174"/>
      <c r="I12" s="117"/>
      <c r="J12" s="174"/>
      <c r="K12" s="279"/>
      <c r="L12" s="118"/>
      <c r="O12" s="119"/>
      <c r="P12" s="336"/>
      <c r="Q12" s="122"/>
      <c r="R12" s="337"/>
      <c r="S12" s="174"/>
      <c r="T12" s="337"/>
      <c r="U12" s="174"/>
      <c r="V12" s="279"/>
      <c r="W12" s="118"/>
      <c r="X12" s="6" t="s">
        <v>408</v>
      </c>
      <c r="Y12" s="274" t="s">
        <v>113</v>
      </c>
      <c r="Z12" s="274" t="s">
        <v>329</v>
      </c>
      <c r="AA12" s="274" t="s">
        <v>3</v>
      </c>
      <c r="AC12" s="6">
        <f>'Bill Impact (TOU-A)'!AC16</f>
        <v>0.38103000000000004</v>
      </c>
      <c r="AD12" s="168">
        <f>Y14/100/AC12</f>
        <v>0</v>
      </c>
      <c r="AE12" s="282"/>
    </row>
    <row r="13" spans="1:31" ht="15.75">
      <c r="D13" s="115" t="s">
        <v>407</v>
      </c>
      <c r="E13" s="253">
        <f>'Bill Impact (TOU-A)'!E13</f>
        <v>625200544.57601118</v>
      </c>
      <c r="F13" s="116">
        <f>'Bill Impact (TOU-A)'!F13</f>
        <v>0.33921000000000007</v>
      </c>
      <c r="G13" s="117">
        <f>F13*E13</f>
        <v>212074276.72562879</v>
      </c>
      <c r="H13" s="174">
        <f>F13+(F13*$AD$12)</f>
        <v>0.33921000000000007</v>
      </c>
      <c r="I13" s="117">
        <f>E13*H13</f>
        <v>212074276.72562879</v>
      </c>
      <c r="J13" s="1"/>
      <c r="K13" s="124"/>
      <c r="L13" s="118"/>
      <c r="O13" s="119"/>
      <c r="P13" s="123"/>
      <c r="Q13" s="122"/>
      <c r="R13" s="123"/>
      <c r="S13" s="1"/>
      <c r="T13" s="124"/>
      <c r="U13" s="1"/>
      <c r="V13" s="124"/>
      <c r="X13" s="6" t="s">
        <v>376</v>
      </c>
      <c r="Y13" s="309">
        <f>+Z13+AA13</f>
        <v>38.103000000000002</v>
      </c>
      <c r="Z13" s="309">
        <f>'Bill Impact (TOU-A)'!Z15</f>
        <v>24.625</v>
      </c>
      <c r="AA13" s="309">
        <f>'Bill Impact (TOU-A)'!AA15</f>
        <v>13.478</v>
      </c>
      <c r="AC13" s="281"/>
      <c r="AD13" s="99"/>
      <c r="AE13" s="275"/>
    </row>
    <row r="14" spans="1:31" ht="15.75">
      <c r="D14" s="119"/>
      <c r="E14" s="253"/>
      <c r="F14" s="116"/>
      <c r="G14" s="117"/>
      <c r="H14" s="174"/>
      <c r="I14" s="117"/>
      <c r="J14" s="123"/>
      <c r="K14" s="123"/>
      <c r="L14" s="118"/>
      <c r="O14" s="119"/>
      <c r="P14" s="123"/>
      <c r="Q14" s="122"/>
      <c r="R14" s="123"/>
      <c r="S14" s="123"/>
      <c r="T14" s="123"/>
      <c r="U14" s="123"/>
      <c r="V14" s="123"/>
      <c r="X14" s="6" t="s">
        <v>267</v>
      </c>
      <c r="Y14" s="309">
        <f>+Z14+AA14</f>
        <v>0</v>
      </c>
      <c r="Z14" s="309">
        <f>+Z9/(IF('Hypothetical Summary'!$H$3,'Hypoth. SAR and RAR (TOU-A)'!$C$24,'Hypoth. SAR and RAR (TOU-A)'!$C$34)*1000)*100</f>
        <v>0</v>
      </c>
      <c r="AA14" s="309">
        <f>+AA9/(IF('Hypothetical Summary'!$H$3=2025,'Hypoth. SAR and RAR (TOU-A)'!$E$24,'Hypoth. SAR and RAR (TOU-A)'!$E$34)*1000)*100</f>
        <v>0</v>
      </c>
      <c r="AD14" s="48"/>
      <c r="AE14" s="48"/>
    </row>
    <row r="15" spans="1:31" ht="15.75">
      <c r="D15" s="119"/>
      <c r="E15" s="121"/>
      <c r="F15" s="122"/>
      <c r="G15" s="123"/>
      <c r="H15" s="123"/>
      <c r="I15" s="123"/>
      <c r="J15" s="123"/>
      <c r="K15" s="123"/>
      <c r="L15" s="118"/>
      <c r="O15" s="125"/>
      <c r="P15" s="123"/>
      <c r="Q15" s="122"/>
      <c r="R15" s="123"/>
      <c r="S15" s="123"/>
      <c r="T15" s="123"/>
      <c r="U15" s="123"/>
      <c r="V15" s="123"/>
      <c r="X15" s="6" t="s">
        <v>268</v>
      </c>
      <c r="Y15" s="309">
        <f>+Y14+Y13</f>
        <v>38.103000000000002</v>
      </c>
      <c r="Z15" s="309">
        <f>+Z14+Z13</f>
        <v>24.625</v>
      </c>
      <c r="AA15" s="309">
        <f>+AA14+AA13</f>
        <v>13.478</v>
      </c>
      <c r="AC15" s="48"/>
      <c r="AD15" s="48"/>
      <c r="AE15" s="48"/>
    </row>
    <row r="16" spans="1:31" ht="15.75">
      <c r="P16" s="123"/>
      <c r="Q16" s="122"/>
      <c r="R16" s="123"/>
      <c r="AC16" s="277"/>
      <c r="AD16" s="276"/>
      <c r="AE16" s="277"/>
    </row>
    <row r="17" spans="1:31" ht="15.75">
      <c r="O17" s="126"/>
      <c r="R17" s="123"/>
      <c r="Y17" s="48"/>
      <c r="Z17" s="307"/>
      <c r="AA17" s="307"/>
    </row>
    <row r="18" spans="1:31" ht="15.75">
      <c r="Y18" s="48"/>
      <c r="Z18" s="307"/>
      <c r="AA18" s="307"/>
    </row>
    <row r="19" spans="1:31">
      <c r="B19" s="7"/>
      <c r="AD19" s="48"/>
      <c r="AE19" s="48"/>
    </row>
    <row r="20" spans="1:31">
      <c r="B20" s="127" t="s">
        <v>409</v>
      </c>
      <c r="C20" s="127"/>
      <c r="E20" s="128"/>
      <c r="F20" s="128"/>
      <c r="H20" s="127"/>
      <c r="I20" s="6" t="str">
        <f>'Bill Impact (TOU-A)'!I20</f>
        <v>2024 Recorded Data</v>
      </c>
      <c r="P20" s="370"/>
      <c r="Q20" s="371"/>
      <c r="R20" s="371"/>
      <c r="S20" s="371"/>
      <c r="T20" s="371"/>
      <c r="U20" s="601"/>
      <c r="V20" s="601"/>
      <c r="AD20" s="48"/>
      <c r="AE20" s="48"/>
    </row>
    <row r="21" spans="1:31">
      <c r="B21" s="131" t="s">
        <v>179</v>
      </c>
      <c r="C21" s="132" t="str">
        <f>'Res Bill Impact'!C21</f>
        <v>2/1/2025</v>
      </c>
      <c r="D21" s="332" t="str">
        <f>'Res Bill Impact'!D21</f>
        <v>6/1/25</v>
      </c>
      <c r="E21" s="133" t="s">
        <v>178</v>
      </c>
      <c r="F21" s="128"/>
      <c r="I21" s="129" t="s">
        <v>410</v>
      </c>
      <c r="J21" s="612" t="s">
        <v>196</v>
      </c>
      <c r="K21" s="613"/>
      <c r="L21" s="612" t="s">
        <v>197</v>
      </c>
      <c r="M21" s="613"/>
      <c r="Q21" s="601"/>
      <c r="R21" s="601"/>
      <c r="S21" s="601"/>
      <c r="T21" s="601"/>
      <c r="U21" s="48"/>
      <c r="V21" s="48"/>
      <c r="AD21" s="282"/>
      <c r="AE21" s="282"/>
    </row>
    <row r="22" spans="1:31">
      <c r="A22" s="6" t="s">
        <v>196</v>
      </c>
      <c r="B22" s="135" t="s">
        <v>411</v>
      </c>
      <c r="C22" s="138">
        <f>'Bill Impact (TOU-A)'!C22</f>
        <v>0.53507000000000005</v>
      </c>
      <c r="D22" s="138">
        <f>'Bill Impact (TOU-A)'!D22</f>
        <v>0.54151000000000005</v>
      </c>
      <c r="E22" s="138">
        <f>H7</f>
        <v>0.54151000000000005</v>
      </c>
      <c r="F22" s="256"/>
      <c r="H22" s="372"/>
      <c r="I22" s="373" t="s">
        <v>412</v>
      </c>
      <c r="J22" s="343" t="s">
        <v>413</v>
      </c>
      <c r="K22" s="343" t="s">
        <v>414</v>
      </c>
      <c r="L22" s="343" t="s">
        <v>413</v>
      </c>
      <c r="M22" s="343" t="s">
        <v>414</v>
      </c>
      <c r="N22" s="343" t="s">
        <v>200</v>
      </c>
      <c r="O22" s="343" t="s">
        <v>415</v>
      </c>
      <c r="Q22" s="150"/>
      <c r="R22" s="150"/>
      <c r="S22" s="150"/>
      <c r="T22" s="150"/>
      <c r="U22" s="374"/>
      <c r="V22" s="374"/>
    </row>
    <row r="23" spans="1:31">
      <c r="B23" s="135" t="s">
        <v>416</v>
      </c>
      <c r="C23" s="138">
        <f>'Bill Impact (TOU-A)'!C23</f>
        <v>0.40681</v>
      </c>
      <c r="D23" s="138">
        <f>'Bill Impact (TOU-A)'!D23</f>
        <v>0.41325000000000001</v>
      </c>
      <c r="E23" s="138">
        <f>H9</f>
        <v>0.41325000000000001</v>
      </c>
      <c r="F23" s="256"/>
      <c r="I23" s="347" t="s">
        <v>417</v>
      </c>
      <c r="J23" s="348">
        <f>'Bill Impact (TOU-A)'!J23</f>
        <v>160.79186300000001</v>
      </c>
      <c r="K23" s="348">
        <f>'Bill Impact (TOU-A)'!K23</f>
        <v>850.81467699999996</v>
      </c>
      <c r="L23" s="348">
        <f>'Bill Impact (TOU-A)'!L23</f>
        <v>150.321776</v>
      </c>
      <c r="M23" s="348">
        <f>'Bill Impact (TOU-A)'!M23</f>
        <v>784.190831</v>
      </c>
      <c r="N23" s="349">
        <f>'Bill Impact (TOU-A)'!N23</f>
        <v>0.5551499221183801</v>
      </c>
      <c r="O23" s="350">
        <f>'Bill Impact (TOU-A)'!O23</f>
        <v>4.3630000000000004</v>
      </c>
      <c r="Q23" s="150"/>
      <c r="R23" s="150"/>
      <c r="S23" s="150"/>
      <c r="T23" s="150"/>
      <c r="U23" s="374"/>
      <c r="V23" s="374"/>
    </row>
    <row r="24" spans="1:31">
      <c r="A24" s="202" t="s">
        <v>197</v>
      </c>
      <c r="B24" s="207" t="s">
        <v>411</v>
      </c>
      <c r="C24" s="208">
        <f>'Bill Impact (TOU-A)'!C24</f>
        <v>0.41724000000000006</v>
      </c>
      <c r="D24" s="208">
        <f>'Bill Impact (TOU-A)'!D24</f>
        <v>0.42368000000000006</v>
      </c>
      <c r="E24" s="208">
        <f>H11</f>
        <v>0.42368000000000006</v>
      </c>
      <c r="F24" s="256"/>
      <c r="I24" s="347" t="s">
        <v>418</v>
      </c>
      <c r="J24" s="351">
        <f>'Bill Impact (TOU-A)'!J24</f>
        <v>191.05617100000001</v>
      </c>
      <c r="K24" s="351">
        <f>'Bill Impact (TOU-A)'!K24</f>
        <v>1001.54555</v>
      </c>
      <c r="L24" s="351">
        <f>'Bill Impact (TOU-A)'!L24</f>
        <v>143.813929</v>
      </c>
      <c r="M24" s="351">
        <f>'Bill Impact (TOU-A)'!M24</f>
        <v>821.56988200000001</v>
      </c>
      <c r="N24" s="349">
        <f>'Bill Impact (TOU-A)'!N24</f>
        <v>0.22045366043613707</v>
      </c>
      <c r="O24" s="350">
        <f>'Bill Impact (TOU-A)'!O24</f>
        <v>6.6879999999999997</v>
      </c>
      <c r="Q24" s="150"/>
      <c r="R24" s="150"/>
      <c r="S24" s="150"/>
      <c r="T24" s="150"/>
      <c r="U24" s="374"/>
      <c r="V24" s="374"/>
    </row>
    <row r="25" spans="1:31">
      <c r="A25" s="202"/>
      <c r="B25" s="207" t="s">
        <v>416</v>
      </c>
      <c r="C25" s="208">
        <f>'Bill Impact (TOU-A)'!C25</f>
        <v>0.33276000000000006</v>
      </c>
      <c r="D25" s="208">
        <f>'Bill Impact (TOU-A)'!D25</f>
        <v>0.33921000000000007</v>
      </c>
      <c r="E25" s="208">
        <f>H13</f>
        <v>0.33921000000000007</v>
      </c>
      <c r="F25" s="256"/>
      <c r="I25" s="352" t="s">
        <v>419</v>
      </c>
      <c r="J25" s="353">
        <f>'Bill Impact (TOU-A)'!J25</f>
        <v>566.12646400000006</v>
      </c>
      <c r="K25" s="353">
        <f>'Bill Impact (TOU-A)'!K25</f>
        <v>2486.213882</v>
      </c>
      <c r="L25" s="353">
        <f>'Bill Impact (TOU-A)'!L25</f>
        <v>440.37613800000003</v>
      </c>
      <c r="M25" s="353">
        <f>'Bill Impact (TOU-A)'!M25</f>
        <v>1969.4753949999999</v>
      </c>
      <c r="N25" s="354">
        <f>'Bill Impact (TOU-A)'!N25</f>
        <v>0.22439641744548286</v>
      </c>
      <c r="O25" s="355">
        <f>'Bill Impact (TOU-A)'!O25</f>
        <v>9.3629999999999995</v>
      </c>
      <c r="Q25" s="150"/>
      <c r="R25" s="150"/>
      <c r="S25" s="150"/>
      <c r="T25" s="150"/>
      <c r="U25" s="374"/>
      <c r="V25" s="374"/>
    </row>
    <row r="26" spans="1:31">
      <c r="I26" s="120"/>
      <c r="J26" s="120"/>
      <c r="M26" s="120"/>
      <c r="N26" s="120"/>
      <c r="Q26" s="150"/>
      <c r="R26" s="150"/>
      <c r="S26" s="150"/>
      <c r="T26" s="150"/>
      <c r="U26" s="209"/>
      <c r="V26" s="209"/>
    </row>
    <row r="27" spans="1:31">
      <c r="B27" s="7"/>
      <c r="C27" s="210"/>
      <c r="D27" s="210"/>
      <c r="E27" s="211"/>
      <c r="F27" s="211"/>
      <c r="I27" s="120"/>
      <c r="J27" s="120"/>
      <c r="M27" s="120"/>
      <c r="N27" s="120"/>
      <c r="Q27" s="150"/>
      <c r="R27" s="150"/>
      <c r="S27" s="150"/>
      <c r="T27" s="150"/>
      <c r="U27" s="209"/>
      <c r="V27" s="209"/>
    </row>
    <row r="28" spans="1:31">
      <c r="B28" s="7"/>
      <c r="C28" s="210"/>
      <c r="D28" s="210"/>
      <c r="E28" s="211"/>
      <c r="F28" s="211"/>
      <c r="I28" s="120"/>
      <c r="J28" s="120"/>
      <c r="M28" s="120"/>
      <c r="N28" s="120"/>
    </row>
    <row r="29" spans="1:31">
      <c r="B29" s="7"/>
      <c r="C29" s="210"/>
      <c r="D29" s="210"/>
      <c r="E29" s="211"/>
      <c r="F29" s="211"/>
      <c r="I29" s="120"/>
      <c r="J29" s="120"/>
      <c r="M29" s="120"/>
      <c r="N29" s="120"/>
      <c r="Q29" s="150"/>
      <c r="R29" s="150"/>
      <c r="S29" s="150"/>
      <c r="T29" s="150"/>
      <c r="U29" s="209"/>
      <c r="V29" s="209"/>
    </row>
    <row r="30" spans="1:31">
      <c r="B30" s="7"/>
      <c r="C30" s="210"/>
      <c r="D30" s="210"/>
      <c r="E30" s="211"/>
      <c r="F30" s="211"/>
    </row>
    <row r="31" spans="1:31" ht="18.75">
      <c r="A31" s="249"/>
      <c r="B31" s="7"/>
      <c r="C31" s="210"/>
      <c r="D31" s="210"/>
      <c r="E31" s="211"/>
      <c r="F31" s="211"/>
      <c r="I31" s="249"/>
      <c r="J31" s="249"/>
      <c r="N31" s="52"/>
    </row>
    <row r="32" spans="1:31" ht="27">
      <c r="B32" s="620" t="s">
        <v>420</v>
      </c>
      <c r="C32" s="620"/>
      <c r="D32" s="620"/>
      <c r="E32" s="620"/>
      <c r="F32" s="620"/>
      <c r="G32" s="620"/>
      <c r="H32" s="620"/>
      <c r="L32" s="128" t="s">
        <v>421</v>
      </c>
      <c r="O32" s="128"/>
    </row>
    <row r="33" spans="2:27">
      <c r="B33" s="7"/>
      <c r="C33" s="601" t="s">
        <v>432</v>
      </c>
      <c r="D33" s="601"/>
      <c r="E33" s="601"/>
      <c r="F33" s="601"/>
      <c r="G33" s="601"/>
      <c r="H33" s="601"/>
      <c r="I33" s="619"/>
      <c r="J33" s="618"/>
      <c r="K33" s="7"/>
      <c r="L33" s="135" t="s">
        <v>422</v>
      </c>
      <c r="M33" s="360" t="str">
        <f>C21</f>
        <v>2/1/2025</v>
      </c>
      <c r="N33" s="332" t="str">
        <f>D21</f>
        <v>6/1/25</v>
      </c>
      <c r="O33" s="135"/>
      <c r="P33" s="179"/>
      <c r="Q33" s="375"/>
    </row>
    <row r="34" spans="2:27">
      <c r="B34" s="7"/>
      <c r="C34" s="618" t="str">
        <f>C21</f>
        <v>2/1/2025</v>
      </c>
      <c r="D34" s="618"/>
      <c r="E34" s="619" t="str">
        <f>D21</f>
        <v>6/1/25</v>
      </c>
      <c r="F34" s="618"/>
      <c r="G34" s="618" t="str">
        <f>E21</f>
        <v>Proposed</v>
      </c>
      <c r="H34" s="618"/>
      <c r="I34" s="210"/>
      <c r="J34" s="210"/>
      <c r="K34" s="7"/>
      <c r="L34" s="135" t="s">
        <v>423</v>
      </c>
      <c r="M34" s="364">
        <f>'Bill Impact (TOU-A)'!M34</f>
        <v>11.45</v>
      </c>
      <c r="N34" s="364">
        <f>'Bill Impact (TOU-A)'!N34</f>
        <v>11.45</v>
      </c>
      <c r="O34" s="135"/>
      <c r="P34" s="364"/>
      <c r="Q34" s="364"/>
    </row>
    <row r="35" spans="2:27">
      <c r="B35" s="7"/>
      <c r="C35" s="210" t="s">
        <v>196</v>
      </c>
      <c r="D35" s="210" t="s">
        <v>197</v>
      </c>
      <c r="E35" s="210" t="s">
        <v>196</v>
      </c>
      <c r="F35" s="210" t="s">
        <v>197</v>
      </c>
      <c r="G35" s="210" t="s">
        <v>196</v>
      </c>
      <c r="H35" s="210" t="s">
        <v>197</v>
      </c>
      <c r="I35" s="257"/>
      <c r="J35" s="257"/>
      <c r="L35" s="135" t="s">
        <v>424</v>
      </c>
      <c r="M35" s="364">
        <f>'Bill Impact (TOU-A)'!M35</f>
        <v>18.32</v>
      </c>
      <c r="N35" s="364">
        <f>'Bill Impact (TOU-A)'!N35</f>
        <v>18.32</v>
      </c>
      <c r="O35" s="135"/>
      <c r="P35" s="364"/>
      <c r="Q35" s="364"/>
      <c r="S35" s="267"/>
    </row>
    <row r="36" spans="2:27">
      <c r="B36" s="139" t="s">
        <v>417</v>
      </c>
      <c r="C36" s="160">
        <f>((C22*$J$23)+(C23*$K$23))+IF($O23&lt;5.1,$M$34,IF(AND($O23&gt;5,$O23&lt;20.1),$M$35,IF(AND($O23&gt;20,$O23&lt;50.1),$M$36,IF($O23&gt;50,$M$37))))+('Incremental Rev Req'!F85*$J$23+'Incremental Rev Req'!F85*$K$23)</f>
        <v>444.41410611777997</v>
      </c>
      <c r="D36" s="160">
        <f>((C24*$L$23)+(C25*$M$23))+IF($O23&lt;5.1,$M$34,IF(AND($O23&gt;5,$O23&lt;20.1),$M$35,IF(AND($O23&gt;20,$O23&lt;50.1),$M$36,IF($O23&gt;50,$M$37))))+('Incremental Rev Req'!F85*$L$23+'Incremental Rev Req'!F85*$M$23)</f>
        <v>335.86520882740001</v>
      </c>
      <c r="E36" s="160">
        <f>((D22*$J$23)+(D23*$K$23))+IF($O23&lt;5.1,$N$34,IF(AND($O23&gt;5,$O23&lt;20.1),$N$35,IF(AND($O23&gt;20,$O23&lt;50.1),$N$36,IF($O23&gt;50,$N$37))))+('Incremental Rev Req'!F85*$J$23+'Incremental Rev Req'!F85*$K$23)</f>
        <v>450.92885223538002</v>
      </c>
      <c r="F36" s="160">
        <f>((D24*$L$23)+(D25*$M$23))+IF($O23&lt;5.1,$N$34,IF(AND($O23&gt;5,$O23&lt;20.1),$N$35,IF(AND($O23&gt;20,$O23&lt;50.1),$N$36,IF($O23&gt;50,$N$37))))+('Incremental Rev Req'!F85*$L$23+'Incremental Rev Req'!F85*$M$23)</f>
        <v>341.89131192479005</v>
      </c>
      <c r="G36" s="160">
        <f>((E22*$J$23)+(E23*$K$23))+IF($O23&lt;5.1,$N$34,IF(AND($O23&gt;5,$O23&lt;20.1),$N$35,IF(AND($O23&gt;20,$O23&lt;50.1),$N$36,IF($O23&gt;50,$N$37))))+('Incremental Rev Req'!F85*$J$23+'Incremental Rev Req'!F85*$K$23)</f>
        <v>450.92885223538002</v>
      </c>
      <c r="H36" s="160">
        <f>((E24*$L$23)+(E25*$M$23))+IF($O23&lt;5.1,$N$34,IF(AND($O23&gt;5,$O23&lt;20.1),$N$35,IF(AND($O23&gt;20,$O23&lt;50.1),$N$36,IF($O23&gt;50,$N$37))))+('Incremental Rev Req'!F85*$L$23+'Incremental Rev Req'!F85*$M$23)</f>
        <v>341.89131192479005</v>
      </c>
      <c r="I36" s="312"/>
      <c r="J36" s="312"/>
      <c r="L36" s="135" t="s">
        <v>425</v>
      </c>
      <c r="M36" s="364">
        <f>'Bill Impact (TOU-A)'!M36</f>
        <v>34.35</v>
      </c>
      <c r="N36" s="364">
        <f>'Bill Impact (TOU-A)'!N36</f>
        <v>34.35</v>
      </c>
      <c r="O36" s="135"/>
      <c r="P36" s="364"/>
      <c r="Q36" s="364"/>
    </row>
    <row r="37" spans="2:27">
      <c r="B37" s="142" t="s">
        <v>418</v>
      </c>
      <c r="C37" s="160">
        <f>((C22*$J$24)+(C23*$K$24))+IF($O24&lt;5.1,$M$34,IF(AND($O24&gt;5,$O24&lt;20.1),$M$35,IF(AND($O24&gt;20,$O24&lt;50.1),$M$36,IF($O24&gt;50,$M$37))))+('Incremental Rev Req'!F85*$J$24+'Incremental Rev Req'!F85*$K$24)</f>
        <v>528.94125198927009</v>
      </c>
      <c r="D37" s="160">
        <f>((C24*$L$24)+(C25*$M$24))+IF($O24&lt;5.1,$M$34,IF(AND($O24&gt;5,$O24&lt;20.1),$M$35,IF(AND($O24&gt;20,$O24&lt;50.1),$M$36,IF($O24&gt;50,$M$37))))+('Incremental Rev Req'!F85*$L$24+'Incremental Rev Req'!F85*$M$24)</f>
        <v>352.48282471908004</v>
      </c>
      <c r="E37" s="160">
        <f>((D22*$J$24)+(D23*$K$24))+IF($O24&lt;5.1,$N$34,IF(AND($O24&gt;5,$O24&lt;20.1),$N$35,IF(AND($O24&gt;20,$O24&lt;50.1),$N$36,IF($O24&gt;50,$N$37))))+('Incremental Rev Req'!F85*$J$24+'Incremental Rev Req'!F85*$K$24)</f>
        <v>536.62160707251007</v>
      </c>
      <c r="F37" s="160">
        <f>((D24*$L$24)+(D25*$M$24))+IF($O24&lt;5.1,$N$34,IF(AND($O24&gt;5,$O24&lt;20.1),$N$35,IF(AND($O24&gt;20,$O24&lt;50.1),$N$36,IF($O24&gt;50,$N$37))))+('Incremental Rev Req'!F85*$L$24+'Incremental Rev Req'!F85*$M$24)</f>
        <v>358.70811216074003</v>
      </c>
      <c r="G37" s="160">
        <f>((E22*$J$24)+(E23*$K$24))+IF($O24&lt;5.1,$N$34,IF(AND($O24&gt;5,$O24&lt;20.1),$N$35,IF(AND($O24&gt;20,$O24&lt;50.1),$N$36,IF($O24&gt;50,$N$37))))+('Incremental Rev Req'!F85*$J$24+'Incremental Rev Req'!F85*$K$24)</f>
        <v>536.62160707251007</v>
      </c>
      <c r="H37" s="160">
        <f>((E24*$L$24)+(E25*$M$24))+IF($O24&lt;5.1,$N$34,IF(AND($O24&gt;5,$O24&lt;20.1),$N$35,IF(AND($O24&gt;20,$O24&lt;50.1),$N$36,IF($O24&gt;50,$N$37))))+('Incremental Rev Req'!F85*$L$24+'Incremental Rev Req'!F85*$M$24)</f>
        <v>358.70811216074003</v>
      </c>
      <c r="I37" s="312"/>
      <c r="J37" s="312"/>
      <c r="L37" s="135" t="s">
        <v>426</v>
      </c>
      <c r="M37" s="364">
        <f>'Bill Impact (TOU-A)'!M37</f>
        <v>85.87</v>
      </c>
      <c r="N37" s="364">
        <f>'Bill Impact (TOU-A)'!N37</f>
        <v>85.87</v>
      </c>
      <c r="O37" s="135"/>
      <c r="P37" s="364"/>
      <c r="Q37" s="364"/>
      <c r="X37" s="10"/>
      <c r="Y37" s="10"/>
      <c r="Z37" s="10"/>
      <c r="AA37" s="10"/>
    </row>
    <row r="38" spans="2:27">
      <c r="B38" s="145" t="s">
        <v>419</v>
      </c>
      <c r="C38" s="160">
        <f>((C22*$J$25)+(C23*$K$25))+IF($O25&lt;5.1,$M$34,IF(AND($O25&gt;5,$O25&lt;20.1),$M$35,IF(AND($O25&gt;20,$O25&lt;50.1),$M$36,IF($O25&gt;50,$M$37))))+('Incremental Rev Req'!F85*$J$25+'Incremental Rev Req'!F85*$K$25)</f>
        <v>1335.0958287057001</v>
      </c>
      <c r="D38" s="160">
        <f>((C24*$L$25)+(C25*$M$25))+IF($O25&lt;5.1,$M$34,IF(AND($O25&gt;5,$O25&lt;20.1),$M$35,IF(AND($O25&gt;20,$O25&lt;50.1),$M$36,IF($O25&gt;50,$M$37))))+('Incremental Rev Req'!F85*$L$25+'Incremental Rev Req'!F85*$M$25)</f>
        <v>859.35305348572012</v>
      </c>
      <c r="E38" s="160">
        <f>((D22*$J$25)+(D23*$K$25))+IF($O25&lt;5.1,$N$34,IF(AND($O25&gt;5,$O25&lt;20.1),$N$35,IF(AND($O25&gt;20,$O25&lt;50.1),$N$36,IF($O25&gt;50,$N$37))))+('Incremental Rev Req'!F85*$J$25+'Incremental Rev Req'!F85*$K$25)</f>
        <v>1354.7529005339402</v>
      </c>
      <c r="F38" s="160">
        <f>((D24*$L$25)+(D25*$M$25))+IF($O25&lt;5.1,$N$34,IF(AND($O25&gt;5,$O25&lt;20.1),$N$35,IF(AND($O25&gt;20,$O25&lt;50.1),$N$36,IF($O25&gt;50,$N$37))))+('Incremental Rev Req'!F85*$L$25+'Incremental Rev Req'!F85*$M$25)</f>
        <v>874.89219211219029</v>
      </c>
      <c r="G38" s="160">
        <f>((E22*$J$25)+(E23*$K$25))+IF($O25&lt;5.1,$N$34,IF(AND($O25&gt;5,$O25&lt;20.1),$N$35,IF(AND($O25&gt;20,$O25&lt;50.1),$N$36,IF($O25&gt;50,$N$37))))+('Incremental Rev Req'!F85*$J$25+'Incremental Rev Req'!F85*$K$25)</f>
        <v>1354.7529005339402</v>
      </c>
      <c r="H38" s="160">
        <f>((E24*$L$25)+(E25*$M$25))+IF($O25&lt;5.1,$N$34,IF(AND($O25&gt;5,$O25&lt;20.1),$N$35,IF(AND($O25&gt;20,$O25&lt;50.1),$N$36,IF($O25&gt;50,$N$37))))+('Incremental Rev Req'!F85*$L$25+'Incremental Rev Req'!F85*$M$25)</f>
        <v>874.89219211219029</v>
      </c>
      <c r="I38" s="312"/>
      <c r="J38" s="312"/>
      <c r="L38" s="144"/>
      <c r="M38" s="144"/>
      <c r="N38" s="144"/>
      <c r="O38" s="144"/>
      <c r="P38" s="144"/>
      <c r="Q38" s="144"/>
    </row>
    <row r="39" spans="2:27">
      <c r="B39" s="6" t="s">
        <v>113</v>
      </c>
      <c r="C39" s="158">
        <f t="shared" ref="C39:H39" si="0">SUMPRODUCT(C36:C38,$N$23:$N$25)</f>
        <v>662.91421246426989</v>
      </c>
      <c r="D39" s="158">
        <f t="shared" si="0"/>
        <v>456.99741999602708</v>
      </c>
      <c r="E39" s="158">
        <f t="shared" si="0"/>
        <v>672.63501215135182</v>
      </c>
      <c r="F39" s="158">
        <f t="shared" si="0"/>
        <v>465.20212510297017</v>
      </c>
      <c r="G39" s="158">
        <f t="shared" si="0"/>
        <v>672.63501215135182</v>
      </c>
      <c r="H39" s="158">
        <f t="shared" si="0"/>
        <v>465.20212510297017</v>
      </c>
      <c r="I39" s="148"/>
      <c r="J39" s="148"/>
      <c r="K39" s="7"/>
      <c r="L39" s="144"/>
      <c r="M39" s="144"/>
      <c r="N39" s="159"/>
      <c r="O39" s="144"/>
      <c r="P39" s="148"/>
      <c r="Q39" s="148"/>
    </row>
    <row r="40" spans="2:27">
      <c r="B40" s="376"/>
      <c r="C40" s="377"/>
      <c r="D40" s="377"/>
      <c r="E40" s="377"/>
      <c r="F40" s="377"/>
      <c r="G40" s="148"/>
      <c r="H40" s="148"/>
    </row>
  </sheetData>
  <mergeCells count="13">
    <mergeCell ref="B2:D2"/>
    <mergeCell ref="E3:I3"/>
    <mergeCell ref="U20:V20"/>
    <mergeCell ref="J21:K21"/>
    <mergeCell ref="L21:M21"/>
    <mergeCell ref="Q21:R21"/>
    <mergeCell ref="S21:T21"/>
    <mergeCell ref="B32:H32"/>
    <mergeCell ref="C33:H33"/>
    <mergeCell ref="I33:J33"/>
    <mergeCell ref="C34:D34"/>
    <mergeCell ref="E34:F34"/>
    <mergeCell ref="G34:H34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D9B048-FAAD-4923-9831-A369F9903490}">
  <sheetPr codeName="Sheet11">
    <tabColor rgb="FFFF99FF"/>
  </sheetPr>
  <dimension ref="A1:C5"/>
  <sheetViews>
    <sheetView workbookViewId="0"/>
  </sheetViews>
  <sheetFormatPr defaultRowHeight="15"/>
  <cols>
    <col min="1" max="1" width="22.42578125" customWidth="1"/>
    <col min="2" max="2" width="17.7109375" customWidth="1"/>
    <col min="3" max="3" width="13.85546875" customWidth="1"/>
  </cols>
  <sheetData>
    <row r="1" spans="1:3" ht="25.5">
      <c r="A1" s="226" t="s">
        <v>235</v>
      </c>
      <c r="B1" s="226" t="s">
        <v>233</v>
      </c>
      <c r="C1" s="226" t="s">
        <v>234</v>
      </c>
    </row>
    <row r="2" spans="1:3">
      <c r="A2" s="227" t="s">
        <v>231</v>
      </c>
      <c r="B2" s="227" t="s">
        <v>232</v>
      </c>
    </row>
    <row r="3" spans="1:3">
      <c r="A3" s="228">
        <v>1740402096.7860453</v>
      </c>
      <c r="B3" s="228">
        <v>7793802938.13727</v>
      </c>
      <c r="C3" s="141">
        <f>A3/B3</f>
        <v>0.22330588938421425</v>
      </c>
    </row>
    <row r="5" spans="1:3">
      <c r="A5" t="s">
        <v>342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5E6051-D3A7-4594-BBBC-6974B096BEEC}">
  <sheetPr codeName="Sheet12"/>
  <dimension ref="A1:T14"/>
  <sheetViews>
    <sheetView workbookViewId="0"/>
  </sheetViews>
  <sheetFormatPr defaultRowHeight="15"/>
  <cols>
    <col min="1" max="1" width="2.42578125" customWidth="1"/>
    <col min="2" max="2" width="10.28515625" bestFit="1" customWidth="1"/>
    <col min="3" max="3" width="5.42578125" bestFit="1" customWidth="1"/>
    <col min="4" max="17" width="15.7109375" customWidth="1"/>
    <col min="18" max="18" width="14.28515625" customWidth="1"/>
    <col min="20" max="20" width="12.5703125" customWidth="1"/>
  </cols>
  <sheetData>
    <row r="1" spans="1:20" ht="42.75" customHeight="1">
      <c r="C1" s="6"/>
      <c r="D1" s="600" t="s">
        <v>383</v>
      </c>
      <c r="E1" s="600"/>
      <c r="F1" s="600"/>
      <c r="G1" s="600"/>
      <c r="H1" s="600"/>
      <c r="I1" s="600"/>
      <c r="J1" s="600"/>
      <c r="K1" s="600"/>
      <c r="L1" s="600"/>
      <c r="M1" s="600"/>
      <c r="N1" s="600"/>
      <c r="O1" s="600"/>
      <c r="P1" s="600"/>
      <c r="Q1" s="600"/>
    </row>
    <row r="2" spans="1:20" ht="31.5">
      <c r="C2" s="1"/>
      <c r="D2" s="315" t="s">
        <v>3</v>
      </c>
      <c r="E2" s="85" t="s">
        <v>392</v>
      </c>
      <c r="F2" s="85" t="s">
        <v>59</v>
      </c>
      <c r="G2" s="85" t="s">
        <v>5</v>
      </c>
      <c r="H2" s="85" t="s">
        <v>98</v>
      </c>
      <c r="I2" s="85" t="s">
        <v>14</v>
      </c>
      <c r="J2" s="85" t="s">
        <v>80</v>
      </c>
      <c r="K2" s="85" t="s">
        <v>100</v>
      </c>
      <c r="L2" s="85" t="s">
        <v>97</v>
      </c>
      <c r="M2" s="85" t="s">
        <v>78</v>
      </c>
      <c r="N2" s="85" t="s">
        <v>10</v>
      </c>
      <c r="O2" s="85" t="s">
        <v>225</v>
      </c>
      <c r="P2" s="85" t="s">
        <v>87</v>
      </c>
      <c r="Q2" s="316" t="s">
        <v>256</v>
      </c>
      <c r="R2" s="84" t="s">
        <v>449</v>
      </c>
      <c r="S2" s="84" t="s">
        <v>443</v>
      </c>
      <c r="T2" s="84"/>
    </row>
    <row r="3" spans="1:20" ht="15.75">
      <c r="A3" s="1"/>
      <c r="B3" s="286" t="s">
        <v>188</v>
      </c>
      <c r="C3" s="320">
        <v>2025</v>
      </c>
      <c r="D3" s="391">
        <v>0.39734597480838107</v>
      </c>
      <c r="E3" s="392">
        <v>0.19327545344183236</v>
      </c>
      <c r="F3" s="392">
        <v>0.41356414406834491</v>
      </c>
      <c r="G3" s="392">
        <v>0.43058389589440549</v>
      </c>
      <c r="H3" s="392">
        <v>0.92534538790323684</v>
      </c>
      <c r="I3" s="392">
        <v>0.41271602975615523</v>
      </c>
      <c r="J3" s="392">
        <v>0.38444530533954435</v>
      </c>
      <c r="K3" s="392">
        <v>0.37225882237909486</v>
      </c>
      <c r="L3" s="392">
        <v>0</v>
      </c>
      <c r="M3" s="392">
        <v>0</v>
      </c>
      <c r="N3" s="392">
        <v>0.49095943363082867</v>
      </c>
      <c r="O3" s="392">
        <v>0.36662864017175789</v>
      </c>
      <c r="P3" s="392">
        <v>0.33127761011240869</v>
      </c>
      <c r="Q3" s="393">
        <v>0.40132533737826953</v>
      </c>
      <c r="R3" s="390">
        <v>-81.37725457534664</v>
      </c>
      <c r="S3">
        <v>8.0000000000000004E-4</v>
      </c>
    </row>
    <row r="4" spans="1:20" ht="15.75">
      <c r="B4" s="18" t="s">
        <v>458</v>
      </c>
      <c r="C4" s="320">
        <v>2026</v>
      </c>
      <c r="D4" s="394">
        <v>0.41855989900368068</v>
      </c>
      <c r="E4" s="395">
        <v>0.19327545344183236</v>
      </c>
      <c r="F4" s="395">
        <v>0.39851332033456094</v>
      </c>
      <c r="G4" s="395">
        <v>0.41391610651531041</v>
      </c>
      <c r="H4" s="395">
        <v>0.93330912100688068</v>
      </c>
      <c r="I4" s="395">
        <v>0.40372069148918138</v>
      </c>
      <c r="J4" s="395">
        <v>0.37541693044702501</v>
      </c>
      <c r="K4" s="395">
        <v>0.36605649315517785</v>
      </c>
      <c r="L4" s="395">
        <v>0</v>
      </c>
      <c r="M4" s="395">
        <v>0</v>
      </c>
      <c r="N4" s="395">
        <v>0.49166012428362338</v>
      </c>
      <c r="O4" s="395">
        <v>0.36967484827966068</v>
      </c>
      <c r="P4" s="395">
        <v>0.31719588101999252</v>
      </c>
      <c r="Q4" s="396">
        <v>0.42284096943088328</v>
      </c>
      <c r="R4" s="390">
        <v>-53.906531876469231</v>
      </c>
    </row>
    <row r="5" spans="1:20" ht="5.25" customHeight="1">
      <c r="B5" s="18"/>
      <c r="D5" s="322"/>
      <c r="E5" s="322"/>
      <c r="F5" s="322"/>
      <c r="G5" s="322"/>
      <c r="H5" s="322"/>
      <c r="I5" s="322"/>
      <c r="J5" s="322"/>
      <c r="K5" s="322"/>
      <c r="L5" s="322"/>
      <c r="M5" s="322"/>
      <c r="N5" s="322"/>
      <c r="O5" s="322"/>
      <c r="P5" s="322"/>
      <c r="Q5" s="322"/>
    </row>
    <row r="6" spans="1:20" s="300" customFormat="1">
      <c r="B6" s="299"/>
      <c r="D6" s="401"/>
      <c r="E6" s="401"/>
      <c r="F6" s="401"/>
      <c r="G6" s="401"/>
      <c r="H6" s="401"/>
      <c r="I6" s="401"/>
      <c r="J6" s="401"/>
      <c r="K6" s="401"/>
      <c r="L6" s="401"/>
      <c r="M6" s="401"/>
      <c r="N6" s="401"/>
      <c r="O6" s="401"/>
      <c r="P6" s="401"/>
      <c r="Q6" s="401"/>
    </row>
    <row r="7" spans="1:20" s="300" customFormat="1">
      <c r="B7" s="299"/>
      <c r="D7" s="506"/>
      <c r="E7" s="506"/>
      <c r="F7" s="506"/>
      <c r="G7" s="506"/>
      <c r="H7" s="506"/>
      <c r="I7" s="506"/>
      <c r="J7" s="506"/>
      <c r="K7" s="506"/>
      <c r="L7" s="506"/>
      <c r="M7" s="506"/>
      <c r="N7" s="506"/>
      <c r="O7" s="506"/>
      <c r="P7" s="506"/>
      <c r="Q7" s="506"/>
    </row>
    <row r="8" spans="1:20" ht="41.25" customHeight="1">
      <c r="B8" s="18"/>
      <c r="D8" s="600" t="s">
        <v>427</v>
      </c>
      <c r="E8" s="600"/>
      <c r="F8" s="600"/>
      <c r="G8" s="600"/>
      <c r="H8" s="600"/>
      <c r="I8" s="600"/>
      <c r="J8" s="600"/>
      <c r="K8" s="600"/>
      <c r="L8" s="600"/>
      <c r="M8" s="600"/>
      <c r="N8" s="600"/>
      <c r="O8" s="600"/>
      <c r="P8" s="600"/>
      <c r="Q8" s="600"/>
    </row>
    <row r="9" spans="1:20" ht="31.5">
      <c r="B9" s="18"/>
      <c r="C9" s="1"/>
      <c r="D9" s="315" t="s">
        <v>3</v>
      </c>
      <c r="E9" s="85" t="s">
        <v>392</v>
      </c>
      <c r="F9" s="85" t="s">
        <v>59</v>
      </c>
      <c r="G9" s="85" t="s">
        <v>5</v>
      </c>
      <c r="H9" s="85" t="s">
        <v>98</v>
      </c>
      <c r="I9" s="85" t="s">
        <v>14</v>
      </c>
      <c r="J9" s="85" t="s">
        <v>80</v>
      </c>
      <c r="K9" s="85" t="s">
        <v>100</v>
      </c>
      <c r="L9" s="85" t="s">
        <v>97</v>
      </c>
      <c r="M9" s="85" t="s">
        <v>78</v>
      </c>
      <c r="N9" s="85" t="s">
        <v>10</v>
      </c>
      <c r="O9" s="85" t="s">
        <v>225</v>
      </c>
      <c r="P9" s="85" t="s">
        <v>87</v>
      </c>
      <c r="Q9" s="316" t="s">
        <v>256</v>
      </c>
      <c r="S9" s="84"/>
    </row>
    <row r="10" spans="1:20" ht="15.75">
      <c r="B10" s="286" t="s">
        <v>188</v>
      </c>
      <c r="C10" s="320">
        <v>2025</v>
      </c>
      <c r="D10" s="319">
        <v>0.11257900080002813</v>
      </c>
      <c r="E10" s="317">
        <v>0.13851677628572273</v>
      </c>
      <c r="F10" s="317">
        <v>0.11595501410121499</v>
      </c>
      <c r="G10" s="317">
        <v>0.16622435642040445</v>
      </c>
      <c r="H10" s="317">
        <v>7.1688444143794106E-2</v>
      </c>
      <c r="I10" s="317">
        <v>0.12726378531137064</v>
      </c>
      <c r="J10" s="317">
        <v>0.12160668222577078</v>
      </c>
      <c r="K10" s="317">
        <v>0.12631166740378352</v>
      </c>
      <c r="L10" s="317">
        <v>0</v>
      </c>
      <c r="M10" s="317">
        <v>0</v>
      </c>
      <c r="N10" s="317">
        <v>9.1323154068295179E-2</v>
      </c>
      <c r="O10" s="317">
        <v>0.15760593140131265</v>
      </c>
      <c r="P10" s="317">
        <v>0.13276363556838561</v>
      </c>
      <c r="Q10" s="318">
        <v>0.11244927957186807</v>
      </c>
    </row>
    <row r="11" spans="1:20" ht="15.75">
      <c r="B11" s="18" t="s">
        <v>458</v>
      </c>
      <c r="C11" s="320">
        <v>2026</v>
      </c>
      <c r="D11" s="394">
        <v>0.14073541835963316</v>
      </c>
      <c r="E11" s="395">
        <v>0.13851677628572273</v>
      </c>
      <c r="F11" s="395">
        <v>0.12314002343000453</v>
      </c>
      <c r="G11" s="395">
        <v>0.17612272398724904</v>
      </c>
      <c r="H11" s="395">
        <v>6.3877354985922646E-2</v>
      </c>
      <c r="I11" s="395">
        <v>0.13346462848468227</v>
      </c>
      <c r="J11" s="395">
        <v>0.12731378681507657</v>
      </c>
      <c r="K11" s="395">
        <v>0.13012679378381697</v>
      </c>
      <c r="L11" s="395">
        <v>0</v>
      </c>
      <c r="M11" s="395">
        <v>0</v>
      </c>
      <c r="N11" s="395">
        <v>0.11297745746232328</v>
      </c>
      <c r="O11" s="395">
        <v>0.16257569189656407</v>
      </c>
      <c r="P11" s="395">
        <v>0.14009695092218111</v>
      </c>
      <c r="Q11" s="396">
        <v>0.14092538688734535</v>
      </c>
    </row>
    <row r="12" spans="1:20" ht="6" customHeight="1">
      <c r="B12" s="18"/>
      <c r="D12" s="322"/>
      <c r="E12" s="322"/>
      <c r="F12" s="322"/>
      <c r="G12" s="322"/>
      <c r="H12" s="322"/>
      <c r="I12" s="322"/>
      <c r="J12" s="322"/>
      <c r="K12" s="322"/>
      <c r="L12" s="322"/>
      <c r="M12" s="322"/>
      <c r="N12" s="322"/>
      <c r="O12" s="322"/>
      <c r="P12" s="322"/>
      <c r="Q12" s="322"/>
    </row>
    <row r="13" spans="1:20" s="300" customFormat="1">
      <c r="D13" s="401"/>
      <c r="E13" s="401"/>
      <c r="F13" s="401"/>
      <c r="G13" s="401"/>
      <c r="H13" s="401"/>
      <c r="I13" s="401"/>
      <c r="J13" s="401"/>
      <c r="K13" s="401"/>
      <c r="L13" s="401"/>
      <c r="M13" s="401"/>
      <c r="N13" s="401"/>
      <c r="O13" s="401"/>
      <c r="P13" s="401"/>
      <c r="Q13" s="401"/>
    </row>
    <row r="14" spans="1:20" s="300" customFormat="1">
      <c r="D14" s="506"/>
      <c r="E14" s="506"/>
      <c r="F14" s="506"/>
      <c r="G14" s="506"/>
      <c r="H14" s="506"/>
      <c r="I14" s="506"/>
      <c r="J14" s="506"/>
      <c r="K14" s="506"/>
      <c r="L14" s="506"/>
      <c r="M14" s="506"/>
      <c r="N14" s="506"/>
      <c r="O14" s="506"/>
      <c r="P14" s="506"/>
      <c r="Q14" s="506"/>
    </row>
  </sheetData>
  <mergeCells count="2">
    <mergeCell ref="D1:Q1"/>
    <mergeCell ref="D8:Q8"/>
  </mergeCells>
  <conditionalFormatting sqref="D6:Q6">
    <cfRule type="cellIs" dxfId="3" priority="3" operator="equal">
      <formula>"DECREASE"</formula>
    </cfRule>
    <cfRule type="cellIs" dxfId="2" priority="4" operator="equal">
      <formula>"INCREASE"</formula>
    </cfRule>
  </conditionalFormatting>
  <conditionalFormatting sqref="D13:Q13">
    <cfRule type="cellIs" dxfId="1" priority="1" operator="equal">
      <formula>"DECREASE"</formula>
    </cfRule>
    <cfRule type="cellIs" dxfId="0" priority="2" operator="equal">
      <formula>"INCREASE"</formula>
    </cfRule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208F375954AB64099D51457439E4AE5" ma:contentTypeVersion="2" ma:contentTypeDescription="Create a new document." ma:contentTypeScope="" ma:versionID="66577174593b819ef36cb5c14413b33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945b1eb723395c1f2f5ab635b757ccd8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2B4B413-4F52-4644-A212-849DA6920FA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003733F-400F-4A33-BEAC-A0F541BFE9C3}">
  <ds:schemaRefs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www.w3.org/XML/1998/namespace"/>
    <ds:schemaRef ds:uri="http://purl.org/dc/terms/"/>
    <ds:schemaRef ds:uri="http://schemas.openxmlformats.org/package/2006/metadata/core-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2C9681C-E5B5-4BBE-99AC-F9DC208A56E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Notable Assumptions</vt:lpstr>
      <vt:lpstr>Summary</vt:lpstr>
      <vt:lpstr>Selected Data</vt:lpstr>
      <vt:lpstr>Authorized Rev Req</vt:lpstr>
      <vt:lpstr>Incremental Rev Req</vt:lpstr>
      <vt:lpstr>SAR and RAR</vt:lpstr>
      <vt:lpstr>SAR and RAR (TOU-A)</vt:lpstr>
      <vt:lpstr>Res Bill Impact</vt:lpstr>
      <vt:lpstr>Bill Impact (TOU-A)</vt:lpstr>
      <vt:lpstr>Hypothetical Summary</vt:lpstr>
      <vt:lpstr>Hypothetical SAR and RAR</vt:lpstr>
      <vt:lpstr>Hypothetical Res Bill Impact</vt:lpstr>
      <vt:lpstr>Hypoth. SAR and RAR (TOU-A)</vt:lpstr>
      <vt:lpstr>Hypoth. Bill Impact (TOU-A)</vt:lpstr>
      <vt:lpstr>% of CARE Sales</vt:lpstr>
      <vt:lpstr>Sales Allocations &amp; CCC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Sieren-Smith, Bridget</dc:creator>
  <cp:lastModifiedBy>Aquino, Tiffany M</cp:lastModifiedBy>
  <cp:lastPrinted>2019-09-03T19:09:02Z</cp:lastPrinted>
  <dcterms:created xsi:type="dcterms:W3CDTF">2019-06-24T18:17:17Z</dcterms:created>
  <dcterms:modified xsi:type="dcterms:W3CDTF">2025-08-29T23:07:24Z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0x010100C208F375954AB64099D51457439E4AE5</vt:lpwstr>
  </property>
</Properties>
</file>