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pritinfiisws009\Docs\_Staging\JQFV\"/>
    </mc:Choice>
  </mc:AlternateContent>
  <xr:revisionPtr revIDLastSave="0" documentId="13_ncr:1_{150BA541-AC3A-49A2-B95F-D7927A1AD960}" xr6:coauthVersionLast="47" xr6:coauthVersionMax="47" xr10:uidLastSave="{00000000-0000-0000-0000-000000000000}"/>
  <workbookProtection workbookAlgorithmName="SHA-512" workbookHashValue="y7LC7DX+ATnPRBnrMEZh8kOfmAvXf9z/h+oyFPuNha4fWqXxywFoM6SIZWQZ5GP5FSC7ZqZALNwM6WaF2roN8A==" workbookSaltValue="p/dly8sVb2Yspkz9aPF79g==" workbookSpinCount="100000" lockStructure="1"/>
  <bookViews>
    <workbookView xWindow="-110" yWindow="-110" windowWidth="19420" windowHeight="11500" tabRatio="744" xr2:uid="{9E379C46-9730-4A60-9644-7F53DD4D65D3}"/>
  </bookViews>
  <sheets>
    <sheet name="Tab Descriptions" sheetId="35" r:id="rId1"/>
    <sheet name="Selected Data" sheetId="24" r:id="rId2"/>
    <sheet name="Notes" sheetId="33" r:id="rId3"/>
    <sheet name="Instructions" sheetId="34" r:id="rId4"/>
    <sheet name="Summary" sheetId="20" r:id="rId5"/>
    <sheet name="Authorized Rev Req" sheetId="2" r:id="rId6"/>
    <sheet name="Incremental Rev Req" sheetId="5" r:id="rId7"/>
    <sheet name="SAR and RAR" sheetId="19" r:id="rId8"/>
    <sheet name="Res Bill Impact" sheetId="18" r:id="rId9"/>
    <sheet name="SAR and RAR (B-1)" sheetId="26" r:id="rId10"/>
    <sheet name="Bill Impact (B-1)" sheetId="27" r:id="rId11"/>
    <sheet name="Hypothetical Summary" sheetId="17" r:id="rId12"/>
    <sheet name="Hypothetical SAR and RAR" sheetId="23" state="veryHidden" r:id="rId13"/>
    <sheet name="Hypothetical Res Bill Impact" sheetId="22" state="veryHidden" r:id="rId14"/>
    <sheet name="Hypothetical SAR and RAR (B-1)" sheetId="30" state="hidden" r:id="rId15"/>
    <sheet name="Hypo. Bill Impact (B-1)" sheetId="29" state="hidden" r:id="rId16"/>
  </sheets>
  <definedNames>
    <definedName name="___huh2" localSheetId="10" hidden="1">{#N/A,#N/A,FALSE,"Dist Rev at PR ";#N/A,#N/A,FALSE,"Spec";#N/A,#N/A,FALSE,"Res";#N/A,#N/A,FALSE,"Small L&amp;P";#N/A,#N/A,FALSE,"Medium L&amp;P";#N/A,#N/A,FALSE,"E-19";#N/A,#N/A,FALSE,"E-20";#N/A,#N/A,FALSE,"Strtlts &amp; Standby";#N/A,#N/A,FALSE,"A-RTP";#N/A,#N/A,FALSE,"2003mixeduse"}</definedName>
    <definedName name="___huh2" localSheetId="15" hidden="1">{#N/A,#N/A,FALSE,"Dist Rev at PR ";#N/A,#N/A,FALSE,"Spec";#N/A,#N/A,FALSE,"Res";#N/A,#N/A,FALSE,"Small L&amp;P";#N/A,#N/A,FALSE,"Medium L&amp;P";#N/A,#N/A,FALSE,"E-19";#N/A,#N/A,FALSE,"E-20";#N/A,#N/A,FALSE,"Strtlts &amp; Standby";#N/A,#N/A,FALSE,"A-RTP";#N/A,#N/A,FALSE,"2003mixeduse"}</definedName>
    <definedName name="___huh2" localSheetId="9" hidden="1">{#N/A,#N/A,FALSE,"Dist Rev at PR ";#N/A,#N/A,FALSE,"Spec";#N/A,#N/A,FALSE,"Res";#N/A,#N/A,FALSE,"Small L&amp;P";#N/A,#N/A,FALSE,"Medium L&amp;P";#N/A,#N/A,FALSE,"E-19";#N/A,#N/A,FALSE,"E-20";#N/A,#N/A,FALSE,"Strtlts &amp; Standby";#N/A,#N/A,FALSE,"A-RTP";#N/A,#N/A,FALSE,"2003mixeduse"}</definedName>
    <definedName name="___huh2" localSheetId="1"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2017_Labor_Escalation_Rate">#REF!</definedName>
    <definedName name="_4ColName">SUBSTITUTE(SUBSTITUTE(SUBSTITUTE(SUBSTITUTE(SUBSTITUTE(TRIM(T(#REF!)&amp;"."&amp;T(#REF!)&amp;"."&amp;T(#REF!)&amp;"."&amp;T(#REF!)&amp;"."),"+","and"),"%","pct"),"-",""),"..","."),"&amp;","and")</definedName>
    <definedName name="_xlnm._FilterDatabase" localSheetId="5" hidden="1">'Authorized Rev Req'!$A$7:$N$160</definedName>
    <definedName name="_xlnm._FilterDatabase" localSheetId="6" hidden="1">'Incremental Rev Req'!$F$2:$F$241</definedName>
    <definedName name="_FPV1">#REF!</definedName>
    <definedName name="_FPV3">#REF!</definedName>
    <definedName name="_huh2" localSheetId="10" hidden="1">{#N/A,#N/A,FALSE,"Dist Rev at PR ";#N/A,#N/A,FALSE,"Spec";#N/A,#N/A,FALSE,"Res";#N/A,#N/A,FALSE,"Small L&amp;P";#N/A,#N/A,FALSE,"Medium L&amp;P";#N/A,#N/A,FALSE,"E-19";#N/A,#N/A,FALSE,"E-20";#N/A,#N/A,FALSE,"Strtlts &amp; Standby";#N/A,#N/A,FALSE,"A-RTP";#N/A,#N/A,FALSE,"2003mixeduse"}</definedName>
    <definedName name="_huh2" localSheetId="15" hidden="1">{#N/A,#N/A,FALSE,"Dist Rev at PR ";#N/A,#N/A,FALSE,"Spec";#N/A,#N/A,FALSE,"Res";#N/A,#N/A,FALSE,"Small L&amp;P";#N/A,#N/A,FALSE,"Medium L&amp;P";#N/A,#N/A,FALSE,"E-19";#N/A,#N/A,FALSE,"E-20";#N/A,#N/A,FALSE,"Strtlts &amp; Standby";#N/A,#N/A,FALSE,"A-RTP";#N/A,#N/A,FALSE,"2003mixeduse"}</definedName>
    <definedName name="_huh2" localSheetId="9" hidden="1">{#N/A,#N/A,FALSE,"Dist Rev at PR ";#N/A,#N/A,FALSE,"Spec";#N/A,#N/A,FALSE,"Res";#N/A,#N/A,FALSE,"Small L&amp;P";#N/A,#N/A,FALSE,"Medium L&amp;P";#N/A,#N/A,FALSE,"E-19";#N/A,#N/A,FALSE,"E-20";#N/A,#N/A,FALSE,"Strtlts &amp; Standby";#N/A,#N/A,FALSE,"A-RTP";#N/A,#N/A,FALSE,"2003mixeduse"}</definedName>
    <definedName name="_huh2" localSheetId="1"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SPV1">#REF!</definedName>
    <definedName name="_SPV3">#REF!</definedName>
    <definedName name="Actuals">#REF!</definedName>
    <definedName name="Aflag" localSheetId="10">#REF!</definedName>
    <definedName name="Aflag" localSheetId="15">#REF!</definedName>
    <definedName name="Aflag" localSheetId="13">#REF!</definedName>
    <definedName name="Aflag" localSheetId="12">#REF!</definedName>
    <definedName name="Aflag" localSheetId="14">#REF!</definedName>
    <definedName name="Aflag" localSheetId="9">#REF!</definedName>
    <definedName name="Aflag" localSheetId="1">#REF!</definedName>
    <definedName name="Aflag">#REF!</definedName>
    <definedName name="Aflag2" localSheetId="13">#REF!</definedName>
    <definedName name="Aflag2" localSheetId="12">#REF!</definedName>
    <definedName name="Aflag2" localSheetId="14">#REF!</definedName>
    <definedName name="Aflag2" localSheetId="1">#REF!</definedName>
    <definedName name="Aflag2">#REF!</definedName>
    <definedName name="again" localSheetId="10" hidden="1">{#N/A,#N/A,FALSE,"ND Rev at Pres Rates";#N/A,#N/A,FALSE,"Res - Unadj sales";#N/A,#N/A,FALSE,"Small L&amp;P";#N/A,#N/A,FALSE,"Medium L&amp;P";#N/A,#N/A,FALSE,"E-19";#N/A,#N/A,FALSE,"E-20";#N/A,#N/A,FALSE,"Strtlts &amp; Standby";#N/A,#N/A,FALSE,"AG";#N/A,#N/A,FALSE,"A-RTP";#N/A,#N/A,FALSE,"Spec"}</definedName>
    <definedName name="again" localSheetId="15" hidden="1">{#N/A,#N/A,FALSE,"ND Rev at Pres Rates";#N/A,#N/A,FALSE,"Res - Unadj sales";#N/A,#N/A,FALSE,"Small L&amp;P";#N/A,#N/A,FALSE,"Medium L&amp;P";#N/A,#N/A,FALSE,"E-19";#N/A,#N/A,FALSE,"E-20";#N/A,#N/A,FALSE,"Strtlts &amp; Standby";#N/A,#N/A,FALSE,"AG";#N/A,#N/A,FALSE,"A-RTP";#N/A,#N/A,FALSE,"Spec"}</definedName>
    <definedName name="again" localSheetId="9" hidden="1">{#N/A,#N/A,FALSE,"ND Rev at Pres Rates";#N/A,#N/A,FALSE,"Res - Unadj sales";#N/A,#N/A,FALSE,"Small L&amp;P";#N/A,#N/A,FALSE,"Medium L&amp;P";#N/A,#N/A,FALSE,"E-19";#N/A,#N/A,FALSE,"E-20";#N/A,#N/A,FALSE,"Strtlts &amp; Standby";#N/A,#N/A,FALSE,"AG";#N/A,#N/A,FALSE,"A-RTP";#N/A,#N/A,FALSE,"Spec"}</definedName>
    <definedName name="again" localSheetId="1"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IR">#REF!</definedName>
    <definedName name="Balancing_Authority">#REF!</definedName>
    <definedName name="BondsIssued">#REF!</definedName>
    <definedName name="Boolean">#REF!</definedName>
    <definedName name="bt_d">#REF!</definedName>
    <definedName name="Bundled_Unbundled">#REF!</definedName>
    <definedName name="CBond" localSheetId="10">#REF!</definedName>
    <definedName name="CBond" localSheetId="15">#REF!</definedName>
    <definedName name="CBond" localSheetId="13">#REF!</definedName>
    <definedName name="CBond" localSheetId="12">#REF!</definedName>
    <definedName name="CBond" localSheetId="14">#REF!</definedName>
    <definedName name="CBond" localSheetId="9">#REF!</definedName>
    <definedName name="CBond" localSheetId="1">#REF!</definedName>
    <definedName name="CBond">#REF!</definedName>
    <definedName name="CECRA" localSheetId="13">#REF!</definedName>
    <definedName name="CECRA" localSheetId="12">#REF!</definedName>
    <definedName name="CECRA" localSheetId="14">#REF!</definedName>
    <definedName name="CECRA" localSheetId="1">#REF!</definedName>
    <definedName name="CECRA">#REF!</definedName>
    <definedName name="Construction_Status">#REF!</definedName>
    <definedName name="copy" localSheetId="10" hidden="1">{#N/A,#N/A,FALSE,"Dist Rev at PR ";#N/A,#N/A,FALSE,"Spec";#N/A,#N/A,FALSE,"Res";#N/A,#N/A,FALSE,"Small L&amp;P";#N/A,#N/A,FALSE,"Medium L&amp;P";#N/A,#N/A,FALSE,"E-19";#N/A,#N/A,FALSE,"E-20";#N/A,#N/A,FALSE,"Strtlts &amp; Standby";#N/A,#N/A,FALSE,"A-RTP";#N/A,#N/A,FALSE,"2003mixeduse"}</definedName>
    <definedName name="copy" localSheetId="15" hidden="1">{#N/A,#N/A,FALSE,"Dist Rev at PR ";#N/A,#N/A,FALSE,"Spec";#N/A,#N/A,FALSE,"Res";#N/A,#N/A,FALSE,"Small L&amp;P";#N/A,#N/A,FALSE,"Medium L&amp;P";#N/A,#N/A,FALSE,"E-19";#N/A,#N/A,FALSE,"E-20";#N/A,#N/A,FALSE,"Strtlts &amp; Standby";#N/A,#N/A,FALSE,"A-RTP";#N/A,#N/A,FALSE,"2003mixeduse"}</definedName>
    <definedName name="copy" localSheetId="9" hidden="1">{#N/A,#N/A,FALSE,"Dist Rev at PR ";#N/A,#N/A,FALSE,"Spec";#N/A,#N/A,FALSE,"Res";#N/A,#N/A,FALSE,"Small L&amp;P";#N/A,#N/A,FALSE,"Medium L&amp;P";#N/A,#N/A,FALSE,"E-19";#N/A,#N/A,FALSE,"E-20";#N/A,#N/A,FALSE,"Strtlts &amp; Standby";#N/A,#N/A,FALSE,"A-RTP";#N/A,#N/A,FALSE,"2003mixeduse"}</definedName>
    <definedName name="copy" localSheetId="1"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10" hidden="1">{#N/A,#N/A,FALSE,"Workpaper Tables 4-1 &amp; 4-2";#N/A,#N/A,FALSE,"Revenue Allocation Results";#N/A,#N/A,FALSE,"FERC Rev @ PR";#N/A,#N/A,FALSE,"Distribution Revenue Allocation";#N/A,#N/A,FALSE,"Nonallocated Revenues ";#N/A,#N/A,FALSE,"2000mixuse";#N/A,#N/A,FALSE,"MC Revenues- 00 sales, 96 MC's"}</definedName>
    <definedName name="copyprint" localSheetId="15" hidden="1">{#N/A,#N/A,FALSE,"Workpaper Tables 4-1 &amp; 4-2";#N/A,#N/A,FALSE,"Revenue Allocation Results";#N/A,#N/A,FALSE,"FERC Rev @ PR";#N/A,#N/A,FALSE,"Distribution Revenue Allocation";#N/A,#N/A,FALSE,"Nonallocated Revenues ";#N/A,#N/A,FALSE,"2000mixuse";#N/A,#N/A,FALSE,"MC Revenues- 00 sales, 96 MC's"}</definedName>
    <definedName name="copyprint" localSheetId="9" hidden="1">{#N/A,#N/A,FALSE,"Workpaper Tables 4-1 &amp; 4-2";#N/A,#N/A,FALSE,"Revenue Allocation Results";#N/A,#N/A,FALSE,"FERC Rev @ PR";#N/A,#N/A,FALSE,"Distribution Revenue Allocation";#N/A,#N/A,FALSE,"Nonallocated Revenues ";#N/A,#N/A,FALSE,"2000mixuse";#N/A,#N/A,FALSE,"MC Revenues- 00 sales, 96 MC's"}</definedName>
    <definedName name="copyprint" localSheetId="1"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10" hidden="1">{#N/A,#N/A,FALSE,"RRQ inputs ";#N/A,#N/A,FALSE,"FERC Rev @ PR";#N/A,#N/A,FALSE,"Distribution Revenue Allocation";#N/A,#N/A,FALSE,"Nonallocated Revenues";#N/A,#N/A,FALSE,"MC Revenues-03 sales, 96 MC's";#N/A,#N/A,FALSE,"FTA"}</definedName>
    <definedName name="copyrevalloc" localSheetId="15" hidden="1">{#N/A,#N/A,FALSE,"RRQ inputs ";#N/A,#N/A,FALSE,"FERC Rev @ PR";#N/A,#N/A,FALSE,"Distribution Revenue Allocation";#N/A,#N/A,FALSE,"Nonallocated Revenues";#N/A,#N/A,FALSE,"MC Revenues-03 sales, 96 MC's";#N/A,#N/A,FALSE,"FTA"}</definedName>
    <definedName name="copyrevalloc" localSheetId="9" hidden="1">{#N/A,#N/A,FALSE,"RRQ inputs ";#N/A,#N/A,FALSE,"FERC Rev @ PR";#N/A,#N/A,FALSE,"Distribution Revenue Allocation";#N/A,#N/A,FALSE,"Nonallocated Revenues";#N/A,#N/A,FALSE,"MC Revenues-03 sales, 96 MC's";#N/A,#N/A,FALSE,"FTA"}</definedName>
    <definedName name="copyrevalloc" localSheetId="1"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10" hidden="1">{#N/A,#N/A,FALSE,"ND Rev at Pres Rates";#N/A,#N/A,FALSE,"Res - Unadj";#N/A,#N/A,FALSE,"Small L&amp;P";#N/A,#N/A,FALSE,"Medium L&amp;P";#N/A,#N/A,FALSE,"E-19";#N/A,#N/A,FALSE,"E-20";#N/A,#N/A,FALSE,"A-RTP";#N/A,#N/A,FALSE,"Strtlts &amp; Standby";#N/A,#N/A,FALSE,"AG";#N/A,#N/A,FALSE,"2001mixeduse"}</definedName>
    <definedName name="copyschudel" localSheetId="15" hidden="1">{#N/A,#N/A,FALSE,"ND Rev at Pres Rates";#N/A,#N/A,FALSE,"Res - Unadj";#N/A,#N/A,FALSE,"Small L&amp;P";#N/A,#N/A,FALSE,"Medium L&amp;P";#N/A,#N/A,FALSE,"E-19";#N/A,#N/A,FALSE,"E-20";#N/A,#N/A,FALSE,"A-RTP";#N/A,#N/A,FALSE,"Strtlts &amp; Standby";#N/A,#N/A,FALSE,"AG";#N/A,#N/A,FALSE,"2001mixeduse"}</definedName>
    <definedName name="copyschudel" localSheetId="9" hidden="1">{#N/A,#N/A,FALSE,"ND Rev at Pres Rates";#N/A,#N/A,FALSE,"Res - Unadj";#N/A,#N/A,FALSE,"Small L&amp;P";#N/A,#N/A,FALSE,"Medium L&amp;P";#N/A,#N/A,FALSE,"E-19";#N/A,#N/A,FALSE,"E-20";#N/A,#N/A,FALSE,"A-RTP";#N/A,#N/A,FALSE,"Strtlts &amp; Standby";#N/A,#N/A,FALSE,"AG";#N/A,#N/A,FALSE,"2001mixeduse"}</definedName>
    <definedName name="copyschudel" localSheetId="1"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E_U" localSheetId="10">#REF!</definedName>
    <definedName name="CORE_U" localSheetId="15">#REF!</definedName>
    <definedName name="CORE_U" localSheetId="13">#REF!</definedName>
    <definedName name="CORE_U" localSheetId="12">#REF!</definedName>
    <definedName name="CORE_U" localSheetId="14">#REF!</definedName>
    <definedName name="CORE_U" localSheetId="9">#REF!</definedName>
    <definedName name="CORE_U" localSheetId="1">#REF!</definedName>
    <definedName name="CORE_U">#REF!</definedName>
    <definedName name="Country">#REF!</definedName>
    <definedName name="CPUC_Approval_Status">#REF!</definedName>
    <definedName name="CREZ">#REF!</definedName>
    <definedName name="CTAC" localSheetId="10">#REF!</definedName>
    <definedName name="CTAC" localSheetId="15">#REF!</definedName>
    <definedName name="CTAC" localSheetId="13">#REF!</definedName>
    <definedName name="CTAC" localSheetId="12">#REF!</definedName>
    <definedName name="CTAC" localSheetId="14">#REF!</definedName>
    <definedName name="CTAC" localSheetId="9">#REF!</definedName>
    <definedName name="CTAC" localSheetId="1">#REF!</definedName>
    <definedName name="CTAC">#REF!</definedName>
    <definedName name="CTRBA" localSheetId="13">#REF!</definedName>
    <definedName name="CTRBA" localSheetId="12">#REF!</definedName>
    <definedName name="CTRBA" localSheetId="14">#REF!</definedName>
    <definedName name="CTRBA" localSheetId="1">#REF!</definedName>
    <definedName name="CTRBA">#REF!</definedName>
    <definedName name="DACRS" localSheetId="10">SUM(#REF!)</definedName>
    <definedName name="DACRS" localSheetId="15">SUM(#REF!)</definedName>
    <definedName name="DACRS" localSheetId="13">SUM(#REF!)</definedName>
    <definedName name="DACRS" localSheetId="12">SUM(#REF!)</definedName>
    <definedName name="DACRS" localSheetId="14">SUM(#REF!)</definedName>
    <definedName name="DACRS" localSheetId="9">SUM(#REF!)</definedName>
    <definedName name="DACRS" localSheetId="1">SUM(#REF!)</definedName>
    <definedName name="DACRS">SUM(#REF!)</definedName>
    <definedName name="_xlnm.Database" localSheetId="13">#REF!</definedName>
    <definedName name="_xlnm.Database" localSheetId="12">#REF!</definedName>
    <definedName name="_xlnm.Database" localSheetId="14">#REF!</definedName>
    <definedName name="_xlnm.Database">#REF!</definedName>
    <definedName name="Dchoice" localSheetId="13">#REF!</definedName>
    <definedName name="Dchoice" localSheetId="12">#REF!</definedName>
    <definedName name="Dchoice" localSheetId="14">#REF!</definedName>
    <definedName name="Dchoice" localSheetId="1">#REF!</definedName>
    <definedName name="Dchoice">#REF!</definedName>
    <definedName name="Delay_Termination_Reason">#REF!</definedName>
    <definedName name="DeliverabilityStatusOptions">#REF!</definedName>
    <definedName name="Distflag" localSheetId="10">#REF!</definedName>
    <definedName name="Distflag" localSheetId="15">#REF!</definedName>
    <definedName name="Distflag" localSheetId="13">#REF!</definedName>
    <definedName name="Distflag" localSheetId="12">#REF!</definedName>
    <definedName name="Distflag" localSheetId="14">#REF!</definedName>
    <definedName name="Distflag" localSheetId="9">#REF!</definedName>
    <definedName name="Distflag" localSheetId="1">#REF!</definedName>
    <definedName name="Distflag">#REF!</definedName>
    <definedName name="Dmdmult" localSheetId="13">#REF!</definedName>
    <definedName name="Dmdmult" localSheetId="12">#REF!</definedName>
    <definedName name="Dmdmult" localSheetId="14">#REF!</definedName>
    <definedName name="Dmdmult" localSheetId="1">#REF!</definedName>
    <definedName name="Dmdmult">#REF!</definedName>
    <definedName name="EPC_Contract_Status">#REF!</definedName>
    <definedName name="F_E">#REF!</definedName>
    <definedName name="Facility_Status">#REF!</definedName>
    <definedName name="FAIR">#REF!</definedName>
    <definedName name="FBUILD">#REF!</definedName>
    <definedName name="FCOMM">#REF!</definedName>
    <definedName name="FCOMP">#REF!</definedName>
    <definedName name="Financing_Status">#REF!</definedName>
    <definedName name="Flat" localSheetId="10">#REF!</definedName>
    <definedName name="Flat" localSheetId="15">#REF!</definedName>
    <definedName name="Flat" localSheetId="13">#REF!</definedName>
    <definedName name="Flat" localSheetId="12">#REF!</definedName>
    <definedName name="Flat" localSheetId="14">#REF!</definedName>
    <definedName name="Flat" localSheetId="9">#REF!</definedName>
    <definedName name="Flat" localSheetId="1">#REF!</definedName>
    <definedName name="Flat">#REF!</definedName>
    <definedName name="FM">#REF!</definedName>
    <definedName name="FOPROD">#REF!</definedName>
    <definedName name="FSONG2">#REF!</definedName>
    <definedName name="FSTEAM">#REF!</definedName>
    <definedName name="FT_D">#REF!</definedName>
    <definedName name="gsur">#REF!</definedName>
    <definedName name="head1" localSheetId="10">#REF!</definedName>
    <definedName name="head1" localSheetId="15">#REF!</definedName>
    <definedName name="head1" localSheetId="13">#REF!</definedName>
    <definedName name="head1" localSheetId="12">#REF!</definedName>
    <definedName name="head1" localSheetId="14">#REF!</definedName>
    <definedName name="head1" localSheetId="9">#REF!</definedName>
    <definedName name="head1" localSheetId="1">#REF!</definedName>
    <definedName name="head1">#REF!</definedName>
    <definedName name="head10" localSheetId="13">#REF!</definedName>
    <definedName name="head10" localSheetId="12">#REF!</definedName>
    <definedName name="head10" localSheetId="14">#REF!</definedName>
    <definedName name="head10" localSheetId="1">#REF!</definedName>
    <definedName name="head10">#REF!</definedName>
    <definedName name="head11" localSheetId="13">#REF!</definedName>
    <definedName name="head11" localSheetId="12">#REF!</definedName>
    <definedName name="head11" localSheetId="14">#REF!</definedName>
    <definedName name="head11" localSheetId="1">#REF!</definedName>
    <definedName name="head11">#REF!</definedName>
    <definedName name="head2" localSheetId="13">#REF!</definedName>
    <definedName name="head2" localSheetId="12">#REF!</definedName>
    <definedName name="head2" localSheetId="14">#REF!</definedName>
    <definedName name="head2" localSheetId="1">#REF!</definedName>
    <definedName name="head2">#REF!</definedName>
    <definedName name="head3" localSheetId="13">#REF!</definedName>
    <definedName name="head3" localSheetId="12">#REF!</definedName>
    <definedName name="head3" localSheetId="14">#REF!</definedName>
    <definedName name="head3" localSheetId="1">#REF!</definedName>
    <definedName name="head3">#REF!</definedName>
    <definedName name="head4" localSheetId="13">#REF!</definedName>
    <definedName name="head4" localSheetId="12">#REF!</definedName>
    <definedName name="head4" localSheetId="14">#REF!</definedName>
    <definedName name="head4" localSheetId="1">#REF!</definedName>
    <definedName name="head4">#REF!</definedName>
    <definedName name="head5" localSheetId="13">#REF!</definedName>
    <definedName name="head5" localSheetId="12">#REF!</definedName>
    <definedName name="head5" localSheetId="14">#REF!</definedName>
    <definedName name="head5" localSheetId="1">#REF!</definedName>
    <definedName name="head5">#REF!</definedName>
    <definedName name="head6" localSheetId="13">#REF!</definedName>
    <definedName name="head6" localSheetId="12">#REF!</definedName>
    <definedName name="head6" localSheetId="14">#REF!</definedName>
    <definedName name="head6" localSheetId="1">#REF!</definedName>
    <definedName name="head6">#REF!</definedName>
    <definedName name="head7" localSheetId="13">#REF!</definedName>
    <definedName name="head7" localSheetId="12">#REF!</definedName>
    <definedName name="head7" localSheetId="14">#REF!</definedName>
    <definedName name="head7" localSheetId="1">#REF!</definedName>
    <definedName name="head7">#REF!</definedName>
    <definedName name="head8" localSheetId="13">#REF!</definedName>
    <definedName name="head8" localSheetId="12">#REF!</definedName>
    <definedName name="head8" localSheetId="14">#REF!</definedName>
    <definedName name="head8" localSheetId="1">#REF!</definedName>
    <definedName name="head8">#REF!</definedName>
    <definedName name="head9" localSheetId="13">#REF!</definedName>
    <definedName name="head9" localSheetId="12">#REF!</definedName>
    <definedName name="head9" localSheetId="14">#REF!</definedName>
    <definedName name="head9" localSheetId="1">#REF!</definedName>
    <definedName name="head9">#REF!</definedName>
    <definedName name="HTML_CodePage" hidden="1">1252</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Title" hidden="1">"Daily MTM  Report"</definedName>
    <definedName name="huh" localSheetId="10" hidden="1">{#N/A,#N/A,FALSE,"Dist Rev at PR ";#N/A,#N/A,FALSE,"Spec";#N/A,#N/A,FALSE,"Res";#N/A,#N/A,FALSE,"Small L&amp;P";#N/A,#N/A,FALSE,"Medium L&amp;P";#N/A,#N/A,FALSE,"E-19";#N/A,#N/A,FALSE,"E-20";#N/A,#N/A,FALSE,"Strtlts &amp; Standby";#N/A,#N/A,FALSE,"A-RTP";#N/A,#N/A,FALSE,"2003mixeduse"}</definedName>
    <definedName name="huh" localSheetId="15" hidden="1">{#N/A,#N/A,FALSE,"Dist Rev at PR ";#N/A,#N/A,FALSE,"Spec";#N/A,#N/A,FALSE,"Res";#N/A,#N/A,FALSE,"Small L&amp;P";#N/A,#N/A,FALSE,"Medium L&amp;P";#N/A,#N/A,FALSE,"E-19";#N/A,#N/A,FALSE,"E-20";#N/A,#N/A,FALSE,"Strtlts &amp; Standby";#N/A,#N/A,FALSE,"A-RTP";#N/A,#N/A,FALSE,"2003mixeduse"}</definedName>
    <definedName name="huh" localSheetId="9" hidden="1">{#N/A,#N/A,FALSE,"Dist Rev at PR ";#N/A,#N/A,FALSE,"Spec";#N/A,#N/A,FALSE,"Res";#N/A,#N/A,FALSE,"Small L&amp;P";#N/A,#N/A,FALSE,"Medium L&amp;P";#N/A,#N/A,FALSE,"E-19";#N/A,#N/A,FALSE,"E-20";#N/A,#N/A,FALSE,"Strtlts &amp; Standby";#N/A,#N/A,FALSE,"A-RTP";#N/A,#N/A,FALSE,"2003mixeduse"}</definedName>
    <definedName name="huh" localSheetId="1" hidden="1">{#N/A,#N/A,FALSE,"Dist Rev at PR ";#N/A,#N/A,FALSE,"Spec";#N/A,#N/A,FALSE,"Res";#N/A,#N/A,FALSE,"Small L&amp;P";#N/A,#N/A,FALSE,"Medium L&amp;P";#N/A,#N/A,FALSE,"E-19";#N/A,#N/A,FALSE,"E-20";#N/A,#N/A,FALSE,"Strtlts &amp; Standby";#N/A,#N/A,FALSE,"A-RTP";#N/A,#N/A,FALSE,"2003mixeduse"}</definedName>
    <definedName name="huh" hidden="1">{#N/A,#N/A,FALSE,"Dist Rev at PR ";#N/A,#N/A,FALSE,"Spec";#N/A,#N/A,FALSE,"Res";#N/A,#N/A,FALSE,"Small L&amp;P";#N/A,#N/A,FALSE,"Medium L&amp;P";#N/A,#N/A,FALSE,"E-19";#N/A,#N/A,FALSE,"E-20";#N/A,#N/A,FALSE,"Strtlts &amp; Standby";#N/A,#N/A,FALSE,"A-RTP";#N/A,#N/A,FALSE,"2003mixeduse"}</definedName>
    <definedName name="huhnd" localSheetId="10" hidden="1">{#N/A,#N/A,FALSE,"ND Rev at Pres Rates";#N/A,#N/A,FALSE,"Res - Unadj sales";#N/A,#N/A,FALSE,"Small L&amp;P";#N/A,#N/A,FALSE,"Medium L&amp;P";#N/A,#N/A,FALSE,"E-19";#N/A,#N/A,FALSE,"E-20";#N/A,#N/A,FALSE,"Strtlts &amp; Standby";#N/A,#N/A,FALSE,"AG";#N/A,#N/A,FALSE,"A-RTP";#N/A,#N/A,FALSE,"Spec"}</definedName>
    <definedName name="huhnd" localSheetId="15" hidden="1">{#N/A,#N/A,FALSE,"ND Rev at Pres Rates";#N/A,#N/A,FALSE,"Res - Unadj sales";#N/A,#N/A,FALSE,"Small L&amp;P";#N/A,#N/A,FALSE,"Medium L&amp;P";#N/A,#N/A,FALSE,"E-19";#N/A,#N/A,FALSE,"E-20";#N/A,#N/A,FALSE,"Strtlts &amp; Standby";#N/A,#N/A,FALSE,"AG";#N/A,#N/A,FALSE,"A-RTP";#N/A,#N/A,FALSE,"Spec"}</definedName>
    <definedName name="huhnd" localSheetId="9" hidden="1">{#N/A,#N/A,FALSE,"ND Rev at Pres Rates";#N/A,#N/A,FALSE,"Res - Unadj sales";#N/A,#N/A,FALSE,"Small L&amp;P";#N/A,#N/A,FALSE,"Medium L&amp;P";#N/A,#N/A,FALSE,"E-19";#N/A,#N/A,FALSE,"E-20";#N/A,#N/A,FALSE,"Strtlts &amp; Standby";#N/A,#N/A,FALSE,"AG";#N/A,#N/A,FALSE,"A-RTP";#N/A,#N/A,FALSE,"Spec"}</definedName>
    <definedName name="huhnd" localSheetId="1"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10" hidden="1">{#N/A,#N/A,FALSE,"ND Rev at Pres Rates";#N/A,#N/A,FALSE,"Res - Unadj sales";#N/A,#N/A,FALSE,"Small L&amp;P";#N/A,#N/A,FALSE,"Medium L&amp;P";#N/A,#N/A,FALSE,"E-19";#N/A,#N/A,FALSE,"E-20";#N/A,#N/A,FALSE,"Strtlts &amp; Standby";#N/A,#N/A,FALSE,"AG";#N/A,#N/A,FALSE,"A-RTP";#N/A,#N/A,FALSE,"Spec"}</definedName>
    <definedName name="huhnd2" localSheetId="15" hidden="1">{#N/A,#N/A,FALSE,"ND Rev at Pres Rates";#N/A,#N/A,FALSE,"Res - Unadj sales";#N/A,#N/A,FALSE,"Small L&amp;P";#N/A,#N/A,FALSE,"Medium L&amp;P";#N/A,#N/A,FALSE,"E-19";#N/A,#N/A,FALSE,"E-20";#N/A,#N/A,FALSE,"Strtlts &amp; Standby";#N/A,#N/A,FALSE,"AG";#N/A,#N/A,FALSE,"A-RTP";#N/A,#N/A,FALSE,"Spec"}</definedName>
    <definedName name="huhnd2" localSheetId="9" hidden="1">{#N/A,#N/A,FALSE,"ND Rev at Pres Rates";#N/A,#N/A,FALSE,"Res - Unadj sales";#N/A,#N/A,FALSE,"Small L&amp;P";#N/A,#N/A,FALSE,"Medium L&amp;P";#N/A,#N/A,FALSE,"E-19";#N/A,#N/A,FALSE,"E-20";#N/A,#N/A,FALSE,"Strtlts &amp; Standby";#N/A,#N/A,FALSE,"AG";#N/A,#N/A,FALSE,"A-RTP";#N/A,#N/A,FALSE,"Spec"}</definedName>
    <definedName name="huhnd2" localSheetId="1"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10" hidden="1">{#N/A,#N/A,FALSE,"Workpaper Tables 4-1 &amp; 4-2";#N/A,#N/A,FALSE,"Revenue Allocation Results";#N/A,#N/A,FALSE,"FERC Rev @ PR";#N/A,#N/A,FALSE,"Distribution Revenue Allocation";#N/A,#N/A,FALSE,"Nonallocated Revenues ";#N/A,#N/A,FALSE,"2000mixuse";#N/A,#N/A,FALSE,"MC Revenues- 00 sales, 96 MC's"}</definedName>
    <definedName name="huhprint" localSheetId="15" hidden="1">{#N/A,#N/A,FALSE,"Workpaper Tables 4-1 &amp; 4-2";#N/A,#N/A,FALSE,"Revenue Allocation Results";#N/A,#N/A,FALSE,"FERC Rev @ PR";#N/A,#N/A,FALSE,"Distribution Revenue Allocation";#N/A,#N/A,FALSE,"Nonallocated Revenues ";#N/A,#N/A,FALSE,"2000mixuse";#N/A,#N/A,FALSE,"MC Revenues- 00 sales, 96 MC's"}</definedName>
    <definedName name="huhprint" localSheetId="9" hidden="1">{#N/A,#N/A,FALSE,"Workpaper Tables 4-1 &amp; 4-2";#N/A,#N/A,FALSE,"Revenue Allocation Results";#N/A,#N/A,FALSE,"FERC Rev @ PR";#N/A,#N/A,FALSE,"Distribution Revenue Allocation";#N/A,#N/A,FALSE,"Nonallocated Revenues ";#N/A,#N/A,FALSE,"2000mixuse";#N/A,#N/A,FALSE,"MC Revenues- 00 sales, 96 MC's"}</definedName>
    <definedName name="huhprint" localSheetId="1"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10" hidden="1">{#N/A,#N/A,FALSE,"RRQ inputs ";#N/A,#N/A,FALSE,"FERC Rev @ PR";#N/A,#N/A,FALSE,"Distribution Revenue Allocation";#N/A,#N/A,FALSE,"Nonallocated Revenues";#N/A,#N/A,FALSE,"MC Revenues-03 sales, 96 MC's";#N/A,#N/A,FALSE,"FTA"}</definedName>
    <definedName name="huhrevalloc" localSheetId="15" hidden="1">{#N/A,#N/A,FALSE,"RRQ inputs ";#N/A,#N/A,FALSE,"FERC Rev @ PR";#N/A,#N/A,FALSE,"Distribution Revenue Allocation";#N/A,#N/A,FALSE,"Nonallocated Revenues";#N/A,#N/A,FALSE,"MC Revenues-03 sales, 96 MC's";#N/A,#N/A,FALSE,"FTA"}</definedName>
    <definedName name="huhrevalloc" localSheetId="9" hidden="1">{#N/A,#N/A,FALSE,"RRQ inputs ";#N/A,#N/A,FALSE,"FERC Rev @ PR";#N/A,#N/A,FALSE,"Distribution Revenue Allocation";#N/A,#N/A,FALSE,"Nonallocated Revenues";#N/A,#N/A,FALSE,"MC Revenues-03 sales, 96 MC's";#N/A,#N/A,FALSE,"FTA"}</definedName>
    <definedName name="huhrevalloc" localSheetId="1"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10" hidden="1">{#N/A,#N/A,FALSE,"ND Rev at Pres Rates";#N/A,#N/A,FALSE,"Res - Unadj";#N/A,#N/A,FALSE,"Small L&amp;P";#N/A,#N/A,FALSE,"Medium L&amp;P";#N/A,#N/A,FALSE,"E-19";#N/A,#N/A,FALSE,"E-20";#N/A,#N/A,FALSE,"A-RTP";#N/A,#N/A,FALSE,"Strtlts &amp; Standby";#N/A,#N/A,FALSE,"AG";#N/A,#N/A,FALSE,"2001mixeduse"}</definedName>
    <definedName name="huhschudel" localSheetId="15" hidden="1">{#N/A,#N/A,FALSE,"ND Rev at Pres Rates";#N/A,#N/A,FALSE,"Res - Unadj";#N/A,#N/A,FALSE,"Small L&amp;P";#N/A,#N/A,FALSE,"Medium L&amp;P";#N/A,#N/A,FALSE,"E-19";#N/A,#N/A,FALSE,"E-20";#N/A,#N/A,FALSE,"A-RTP";#N/A,#N/A,FALSE,"Strtlts &amp; Standby";#N/A,#N/A,FALSE,"AG";#N/A,#N/A,FALSE,"2001mixeduse"}</definedName>
    <definedName name="huhschudel" localSheetId="9" hidden="1">{#N/A,#N/A,FALSE,"ND Rev at Pres Rates";#N/A,#N/A,FALSE,"Res - Unadj";#N/A,#N/A,FALSE,"Small L&amp;P";#N/A,#N/A,FALSE,"Medium L&amp;P";#N/A,#N/A,FALSE,"E-19";#N/A,#N/A,FALSE,"E-20";#N/A,#N/A,FALSE,"A-RTP";#N/A,#N/A,FALSE,"Strtlts &amp; Standby";#N/A,#N/A,FALSE,"AG";#N/A,#N/A,FALSE,"2001mixeduse"}</definedName>
    <definedName name="huhschudel" localSheetId="1"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IterationType">#REF!</definedName>
    <definedName name="LineLoss">#REF!</definedName>
    <definedName name="LocalAreaOptions">#REF!</definedName>
    <definedName name="LOLD">1</definedName>
    <definedName name="LOLD_Table">7</definedName>
    <definedName name="Mflag" localSheetId="10">#REF!</definedName>
    <definedName name="Mflag" localSheetId="15">#REF!</definedName>
    <definedName name="Mflag" localSheetId="13">#REF!</definedName>
    <definedName name="Mflag" localSheetId="12">#REF!</definedName>
    <definedName name="Mflag" localSheetId="14">#REF!</definedName>
    <definedName name="Mflag" localSheetId="9">#REF!</definedName>
    <definedName name="Mflag" localSheetId="1">#REF!</definedName>
    <definedName name="Mflag">#REF!</definedName>
    <definedName name="NCORE_U" localSheetId="13">#REF!</definedName>
    <definedName name="NCORE_U" localSheetId="12">#REF!</definedName>
    <definedName name="NCORE_U" localSheetId="14">#REF!</definedName>
    <definedName name="NCORE_U" localSheetId="1">#REF!</definedName>
    <definedName name="NCORE_U">#REF!</definedName>
    <definedName name="ND">#REF!</definedName>
    <definedName name="Out_Start_Date">#REF!</definedName>
    <definedName name="Out_Term_Date">#REF!</definedName>
    <definedName name="Overall_Project_Status">#REF!</definedName>
    <definedName name="Party_that_Terminated_Contract">#REF!</definedName>
    <definedName name="Path26DesignationOptions">#REF!</definedName>
    <definedName name="PBond" localSheetId="10">#REF!</definedName>
    <definedName name="PBond" localSheetId="15">#REF!</definedName>
    <definedName name="PBond" localSheetId="13">#REF!</definedName>
    <definedName name="PBond" localSheetId="12">#REF!</definedName>
    <definedName name="PBond" localSheetId="14">#REF!</definedName>
    <definedName name="PBond" localSheetId="9">#REF!</definedName>
    <definedName name="PBond" localSheetId="1">#REF!</definedName>
    <definedName name="PBond">#REF!</definedName>
    <definedName name="PCC_Classification">#REF!</definedName>
    <definedName name="PECRA" localSheetId="10">#REF!</definedName>
    <definedName name="PECRA" localSheetId="15">#REF!</definedName>
    <definedName name="PECRA" localSheetId="13">#REF!</definedName>
    <definedName name="PECRA" localSheetId="12">#REF!</definedName>
    <definedName name="PECRA" localSheetId="14">#REF!</definedName>
    <definedName name="PECRA" localSheetId="9">#REF!</definedName>
    <definedName name="PECRA" localSheetId="1">#REF!</definedName>
    <definedName name="PECRA">#REF!</definedName>
    <definedName name="Print_All_Tariff">#REF!</definedName>
    <definedName name="Program_Origination">#REF!</definedName>
    <definedName name="RAM_Auction_Round">#REF!</definedName>
    <definedName name="record1">#REF!</definedName>
    <definedName name="Record2">#REF!</definedName>
    <definedName name="Reporting_LSE">#REF!</definedName>
    <definedName name="Resource_Designation">#REF!</definedName>
    <definedName name="SAIR">#REF!</definedName>
    <definedName name="SAPBEXhrIndnt" hidden="1">"Wide"</definedName>
    <definedName name="SAPsysID" hidden="1">"708C5W7SBKP804JT78WJ0JNKI"</definedName>
    <definedName name="SAPwbID" hidden="1">"ARS"</definedName>
    <definedName name="SBUILD">#REF!</definedName>
    <definedName name="SchedulingID">#REF!</definedName>
    <definedName name="SCOMM">#REF!</definedName>
    <definedName name="SCOMP">#REF!</definedName>
    <definedName name="sds">#REF!</definedName>
    <definedName name="Season">#REF!</definedName>
    <definedName name="Sflag" localSheetId="10">#REF!</definedName>
    <definedName name="Sflag" localSheetId="15">#REF!</definedName>
    <definedName name="Sflag" localSheetId="13">#REF!</definedName>
    <definedName name="Sflag" localSheetId="12">#REF!</definedName>
    <definedName name="Sflag" localSheetId="14">#REF!</definedName>
    <definedName name="Sflag" localSheetId="9">#REF!</definedName>
    <definedName name="Sflag" localSheetId="1">#REF!</definedName>
    <definedName name="Sflag">#REF!</definedName>
    <definedName name="SM">#REF!</definedName>
    <definedName name="SOPROD">#REF!</definedName>
    <definedName name="SSONG2">#REF!</definedName>
    <definedName name="SSTEAM">#REF!</definedName>
    <definedName name="ST_D">#REF!</definedName>
    <definedName name="Status_of_Facility_Study___Phase_II_Study">#REF!</definedName>
    <definedName name="Status_of_Feasibility_Study">#REF!</definedName>
    <definedName name="Status_of_Interconnection_Agreement">#REF!</definedName>
    <definedName name="Status_of_System_Impact_Study___Phase_I_Study">#REF!</definedName>
    <definedName name="STEAM">#REF!</definedName>
    <definedName name="TAC">#REF!</definedName>
    <definedName name="TACCalcOptions">#REF!</definedName>
    <definedName name="Technology_SubType">#REF!</definedName>
    <definedName name="Technology_Type">#REF!</definedName>
    <definedName name="TRBA">#REF!</definedName>
    <definedName name="wrn.AG." localSheetId="10" hidden="1">{#N/A,#N/A,FALSE,"AG-1";#N/A,#N/A,FALSE,"AG-R";#N/A,#N/A,FALSE,"AG-V";#N/A,#N/A,FALSE,"AG-4";#N/A,#N/A,FALSE,"AG-5";#N/A,#N/A,FALSE,"AG-6";#N/A,#N/A,FALSE,"AG-7"}</definedName>
    <definedName name="wrn.AG." localSheetId="15" hidden="1">{#N/A,#N/A,FALSE,"AG-1";#N/A,#N/A,FALSE,"AG-R";#N/A,#N/A,FALSE,"AG-V";#N/A,#N/A,FALSE,"AG-4";#N/A,#N/A,FALSE,"AG-5";#N/A,#N/A,FALSE,"AG-6";#N/A,#N/A,FALSE,"AG-7"}</definedName>
    <definedName name="wrn.AG." localSheetId="9" hidden="1">{#N/A,#N/A,FALSE,"AG-1";#N/A,#N/A,FALSE,"AG-R";#N/A,#N/A,FALSE,"AG-V";#N/A,#N/A,FALSE,"AG-4";#N/A,#N/A,FALSE,"AG-5";#N/A,#N/A,FALSE,"AG-6";#N/A,#N/A,FALSE,"AG-7"}</definedName>
    <definedName name="wrn.AG." localSheetId="1" hidden="1">{#N/A,#N/A,FALSE,"AG-1";#N/A,#N/A,FALSE,"AG-R";#N/A,#N/A,FALSE,"AG-V";#N/A,#N/A,FALSE,"AG-4";#N/A,#N/A,FALSE,"AG-5";#N/A,#N/A,FALSE,"AG-6";#N/A,#N/A,FALSE,"AG-7"}</definedName>
    <definedName name="wrn.AG." hidden="1">{#N/A,#N/A,FALSE,"AG-1";#N/A,#N/A,FALSE,"AG-R";#N/A,#N/A,FALSE,"AG-V";#N/A,#N/A,FALSE,"AG-4";#N/A,#N/A,FALSE,"AG-5";#N/A,#N/A,FALSE,"AG-6";#N/A,#N/A,FALSE,"AG-7"}</definedName>
    <definedName name="wrn.AGa." localSheetId="10" hidden="1">{#N/A,#N/A,FALSE,"UN-AGRA";#N/A,#N/A,FALSE,"UN-AG1A";#N/A,#N/A,FALSE,"UN-AGVA";#N/A,#N/A,FALSE,"UN-AG4A ";#N/A,#N/A,FALSE,"UN-AG5A";#N/A,#N/A,FALSE,"UN-AG6A";#N/A,#N/A,FALSE,"Dist Calcs";#N/A,#N/A,FALSE,"7A-Avg.";#N/A,#N/A,FALSE,"7A Tier1-avg";#N/A,#N/A,FALSE,"7A Tier2-avg";#N/A,#N/A,FALSE,"Ag-7A Dist Calc"}</definedName>
    <definedName name="wrn.AGa." localSheetId="15" hidden="1">{#N/A,#N/A,FALSE,"UN-AGRA";#N/A,#N/A,FALSE,"UN-AG1A";#N/A,#N/A,FALSE,"UN-AGVA";#N/A,#N/A,FALSE,"UN-AG4A ";#N/A,#N/A,FALSE,"UN-AG5A";#N/A,#N/A,FALSE,"UN-AG6A";#N/A,#N/A,FALSE,"Dist Calcs";#N/A,#N/A,FALSE,"7A-Avg.";#N/A,#N/A,FALSE,"7A Tier1-avg";#N/A,#N/A,FALSE,"7A Tier2-avg";#N/A,#N/A,FALSE,"Ag-7A Dist Calc"}</definedName>
    <definedName name="wrn.AGa." localSheetId="9" hidden="1">{#N/A,#N/A,FALSE,"UN-AGRA";#N/A,#N/A,FALSE,"UN-AG1A";#N/A,#N/A,FALSE,"UN-AGVA";#N/A,#N/A,FALSE,"UN-AG4A ";#N/A,#N/A,FALSE,"UN-AG5A";#N/A,#N/A,FALSE,"UN-AG6A";#N/A,#N/A,FALSE,"Dist Calcs";#N/A,#N/A,FALSE,"7A-Avg.";#N/A,#N/A,FALSE,"7A Tier1-avg";#N/A,#N/A,FALSE,"7A Tier2-avg";#N/A,#N/A,FALSE,"Ag-7A Dist Calc"}</definedName>
    <definedName name="wrn.AGa." localSheetId="1"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10"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5"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9"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localSheetId="1"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comind." localSheetId="10" hidden="1">{#N/A,#N/A,FALSE,"A-1, A-6, A-10, A-15";#N/A,#N/A,FALSE,"E-19 Firm";#N/A,#N/A,FALSE,"E-19 Nonfirm";#N/A,#N/A,FALSE,"E-20 Firm ";#N/A,#N/A,FALSE,"E-20 Nonfirm ";#N/A,#N/A,FALSE,"E-25";#N/A,#N/A,FALSE,"E-36, E-37";#N/A,#N/A,FALSE,"LS-1,-2,-3, TC-1, OL-1";#N/A,#N/A,FALSE,"Standby"}</definedName>
    <definedName name="wrn.comind." localSheetId="15" hidden="1">{#N/A,#N/A,FALSE,"A-1, A-6, A-10, A-15";#N/A,#N/A,FALSE,"E-19 Firm";#N/A,#N/A,FALSE,"E-19 Nonfirm";#N/A,#N/A,FALSE,"E-20 Firm ";#N/A,#N/A,FALSE,"E-20 Nonfirm ";#N/A,#N/A,FALSE,"E-25";#N/A,#N/A,FALSE,"E-36, E-37";#N/A,#N/A,FALSE,"LS-1,-2,-3, TC-1, OL-1";#N/A,#N/A,FALSE,"Standby"}</definedName>
    <definedName name="wrn.comind." localSheetId="9" hidden="1">{#N/A,#N/A,FALSE,"A-1, A-6, A-10, A-15";#N/A,#N/A,FALSE,"E-19 Firm";#N/A,#N/A,FALSE,"E-19 Nonfirm";#N/A,#N/A,FALSE,"E-20 Firm ";#N/A,#N/A,FALSE,"E-20 Nonfirm ";#N/A,#N/A,FALSE,"E-25";#N/A,#N/A,FALSE,"E-36, E-37";#N/A,#N/A,FALSE,"LS-1,-2,-3, TC-1, OL-1";#N/A,#N/A,FALSE,"Standby"}</definedName>
    <definedName name="wrn.comind." localSheetId="1"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Distr." localSheetId="10" hidden="1">{#N/A,#N/A,FALSE,"Dist Rev at PR ";#N/A,#N/A,FALSE,"Spec";#N/A,#N/A,FALSE,"Res";#N/A,#N/A,FALSE,"Small L&amp;P";#N/A,#N/A,FALSE,"Medium L&amp;P";#N/A,#N/A,FALSE,"E-19";#N/A,#N/A,FALSE,"E-20";#N/A,#N/A,FALSE,"Strtlts &amp; Standby";#N/A,#N/A,FALSE,"A-RTP";#N/A,#N/A,FALSE,"2003mixeduse"}</definedName>
    <definedName name="wrn.Distr." localSheetId="15" hidden="1">{#N/A,#N/A,FALSE,"Dist Rev at PR ";#N/A,#N/A,FALSE,"Spec";#N/A,#N/A,FALSE,"Res";#N/A,#N/A,FALSE,"Small L&amp;P";#N/A,#N/A,FALSE,"Medium L&amp;P";#N/A,#N/A,FALSE,"E-19";#N/A,#N/A,FALSE,"E-20";#N/A,#N/A,FALSE,"Strtlts &amp; Standby";#N/A,#N/A,FALSE,"A-RTP";#N/A,#N/A,FALSE,"2003mixeduse"}</definedName>
    <definedName name="wrn.Distr." localSheetId="9" hidden="1">{#N/A,#N/A,FALSE,"Dist Rev at PR ";#N/A,#N/A,FALSE,"Spec";#N/A,#N/A,FALSE,"Res";#N/A,#N/A,FALSE,"Small L&amp;P";#N/A,#N/A,FALSE,"Medium L&amp;P";#N/A,#N/A,FALSE,"E-19";#N/A,#N/A,FALSE,"E-20";#N/A,#N/A,FALSE,"Strtlts &amp; Standby";#N/A,#N/A,FALSE,"A-RTP";#N/A,#N/A,FALSE,"2003mixeduse"}</definedName>
    <definedName name="wrn.Distr." localSheetId="1"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G_CSP_REPORT." localSheetId="10" hidden="1">{#N/A,#N/A,FALSE,"Summary";#N/A,#N/A,FALSE,"Tariff G-CSP &amp; G-SUR";#N/A,#N/A,FALSE,"Amortization Calculations";#N/A,#N/A,FALSE,"Contracted Volumes";#N/A,#N/A,FALSE,"Reservation"}</definedName>
    <definedName name="wrn.G_CSP_REPORT." localSheetId="15" hidden="1">{#N/A,#N/A,FALSE,"Summary";#N/A,#N/A,FALSE,"Tariff G-CSP &amp; G-SUR";#N/A,#N/A,FALSE,"Amortization Calculations";#N/A,#N/A,FALSE,"Contracted Volumes";#N/A,#N/A,FALSE,"Reservation"}</definedName>
    <definedName name="wrn.G_CSP_REPORT." localSheetId="9" hidden="1">{#N/A,#N/A,FALSE,"Summary";#N/A,#N/A,FALSE,"Tariff G-CSP &amp; G-SUR";#N/A,#N/A,FALSE,"Amortization Calculations";#N/A,#N/A,FALSE,"Contracted Volumes";#N/A,#N/A,FALSE,"Reservation"}</definedName>
    <definedName name="wrn.G_CSP_REPORT." localSheetId="1"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ND." localSheetId="10" hidden="1">{#N/A,#N/A,FALSE,"ND Rev at Pres Rates";#N/A,#N/A,FALSE,"Res - Unadj sales";#N/A,#N/A,FALSE,"Small L&amp;P";#N/A,#N/A,FALSE,"Medium L&amp;P";#N/A,#N/A,FALSE,"E-19";#N/A,#N/A,FALSE,"E-20";#N/A,#N/A,FALSE,"Strtlts &amp; Standby";#N/A,#N/A,FALSE,"AG";#N/A,#N/A,FALSE,"A-RTP";#N/A,#N/A,FALSE,"Spec"}</definedName>
    <definedName name="wrn.ND." localSheetId="15" hidden="1">{#N/A,#N/A,FALSE,"ND Rev at Pres Rates";#N/A,#N/A,FALSE,"Res - Unadj sales";#N/A,#N/A,FALSE,"Small L&amp;P";#N/A,#N/A,FALSE,"Medium L&amp;P";#N/A,#N/A,FALSE,"E-19";#N/A,#N/A,FALSE,"E-20";#N/A,#N/A,FALSE,"Strtlts &amp; Standby";#N/A,#N/A,FALSE,"AG";#N/A,#N/A,FALSE,"A-RTP";#N/A,#N/A,FALSE,"Spec"}</definedName>
    <definedName name="wrn.ND." localSheetId="9" hidden="1">{#N/A,#N/A,FALSE,"ND Rev at Pres Rates";#N/A,#N/A,FALSE,"Res - Unadj sales";#N/A,#N/A,FALSE,"Small L&amp;P";#N/A,#N/A,FALSE,"Medium L&amp;P";#N/A,#N/A,FALSE,"E-19";#N/A,#N/A,FALSE,"E-20";#N/A,#N/A,FALSE,"Strtlts &amp; Standby";#N/A,#N/A,FALSE,"AG";#N/A,#N/A,FALSE,"A-RTP";#N/A,#N/A,FALSE,"Spec"}</definedName>
    <definedName name="wrn.ND." localSheetId="1"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rint._.Out." localSheetId="10" hidden="1">{#N/A,#N/A,FALSE,"Workpaper Tables 4-1 &amp; 4-2";#N/A,#N/A,FALSE,"Revenue Allocation Results";#N/A,#N/A,FALSE,"FERC Rev @ PR";#N/A,#N/A,FALSE,"Distribution Revenue Allocation";#N/A,#N/A,FALSE,"Nonallocated Revenues ";#N/A,#N/A,FALSE,"2000mixuse";#N/A,#N/A,FALSE,"MC Revenues- 00 sales, 96 MC's"}</definedName>
    <definedName name="wrn.Print._.Out." localSheetId="15" hidden="1">{#N/A,#N/A,FALSE,"Workpaper Tables 4-1 &amp; 4-2";#N/A,#N/A,FALSE,"Revenue Allocation Results";#N/A,#N/A,FALSE,"FERC Rev @ PR";#N/A,#N/A,FALSE,"Distribution Revenue Allocation";#N/A,#N/A,FALSE,"Nonallocated Revenues ";#N/A,#N/A,FALSE,"2000mixuse";#N/A,#N/A,FALSE,"MC Revenues- 00 sales, 96 MC's"}</definedName>
    <definedName name="wrn.Print._.Out." localSheetId="9" hidden="1">{#N/A,#N/A,FALSE,"Workpaper Tables 4-1 &amp; 4-2";#N/A,#N/A,FALSE,"Revenue Allocation Results";#N/A,#N/A,FALSE,"FERC Rev @ PR";#N/A,#N/A,FALSE,"Distribution Revenue Allocation";#N/A,#N/A,FALSE,"Nonallocated Revenues ";#N/A,#N/A,FALSE,"2000mixuse";#N/A,#N/A,FALSE,"MC Revenues- 00 sales, 96 MC's"}</definedName>
    <definedName name="wrn.Print._.Out." localSheetId="1"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{#N/A,#N/A,FALSE,"Workpaper Tables 4-1 &amp; 4-2";#N/A,#N/A,FALSE,"Revenue Allocation Results";#N/A,#N/A,FALSE,"FERC Rev @ PR";#N/A,#N/A,FALSE,"Distribution Revenue Allocation";#N/A,#N/A,FALSE,"Nonallocated Revenues ";#N/A,#N/A,FALSE,"2000mixuse";#N/A,#N/A,FALSE,"MC Revenues- 00 sales, 96 MC's"}</definedName>
    <definedName name="wrn.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s." localSheetId="10" hidden="1">{#N/A,#N/A,FALSE,"E-1, EM, ES";#N/A,#N/A,FALSE,"ESR, ET";#N/A,#N/A,FALSE,"E-7, E-A7";#N/A,#N/A,FALSE,"E-8";#N/A,#N/A,FALSE,"E-9 A, B, C, D";#N/A,#N/A,FALSE,"EL-1, EML";#N/A,#N/A,FALSE,"ESL, ESRL";#N/A,#N/A,FALSE,"ETL, EL-7";#N/A,#N/A,FALSE,"EL-A7, EL-8"}</definedName>
    <definedName name="wrn.Res." localSheetId="15" hidden="1">{#N/A,#N/A,FALSE,"E-1, EM, ES";#N/A,#N/A,FALSE,"ESR, ET";#N/A,#N/A,FALSE,"E-7, E-A7";#N/A,#N/A,FALSE,"E-8";#N/A,#N/A,FALSE,"E-9 A, B, C, D";#N/A,#N/A,FALSE,"EL-1, EML";#N/A,#N/A,FALSE,"ESL, ESRL";#N/A,#N/A,FALSE,"ETL, EL-7";#N/A,#N/A,FALSE,"EL-A7, EL-8"}</definedName>
    <definedName name="wrn.Res." localSheetId="9" hidden="1">{#N/A,#N/A,FALSE,"E-1, EM, ES";#N/A,#N/A,FALSE,"ESR, ET";#N/A,#N/A,FALSE,"E-7, E-A7";#N/A,#N/A,FALSE,"E-8";#N/A,#N/A,FALSE,"E-9 A, B, C, D";#N/A,#N/A,FALSE,"EL-1, EML";#N/A,#N/A,FALSE,"ESL, ESRL";#N/A,#N/A,FALSE,"ETL, EL-7";#N/A,#N/A,FALSE,"EL-A7, EL-8"}</definedName>
    <definedName name="wrn.Res." localSheetId="1"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Alloc." localSheetId="10" hidden="1">{#N/A,#N/A,FALSE,"RRQ inputs ";#N/A,#N/A,FALSE,"FERC Rev @ PR";#N/A,#N/A,FALSE,"Distribution Revenue Allocation";#N/A,#N/A,FALSE,"Nonallocated Revenues";#N/A,#N/A,FALSE,"MC Revenues-03 sales, 96 MC's";#N/A,#N/A,FALSE,"FTA"}</definedName>
    <definedName name="wrn.Rev._.Alloc." localSheetId="15" hidden="1">{#N/A,#N/A,FALSE,"RRQ inputs ";#N/A,#N/A,FALSE,"FERC Rev @ PR";#N/A,#N/A,FALSE,"Distribution Revenue Allocation";#N/A,#N/A,FALSE,"Nonallocated Revenues";#N/A,#N/A,FALSE,"MC Revenues-03 sales, 96 MC's";#N/A,#N/A,FALSE,"FTA"}</definedName>
    <definedName name="wrn.Rev._.Alloc." localSheetId="9" hidden="1">{#N/A,#N/A,FALSE,"RRQ inputs ";#N/A,#N/A,FALSE,"FERC Rev @ PR";#N/A,#N/A,FALSE,"Distribution Revenue Allocation";#N/A,#N/A,FALSE,"Nonallocated Revenues";#N/A,#N/A,FALSE,"MC Revenues-03 sales, 96 MC's";#N/A,#N/A,FALSE,"FTA"}</definedName>
    <definedName name="wrn.Rev._.Alloc." localSheetId="1"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10" hidden="1">{#N/A,#N/A,FALSE,"Res - Unadj";#N/A,#N/A,FALSE,"Small L&amp;P";#N/A,#N/A,FALSE,"Medium L&amp;P";#N/A,#N/A,FALSE,"E-19";#N/A,#N/A,FALSE,"E-20";#N/A,#N/A,FALSE,"A-RTP";#N/A,#N/A,FALSE,"Strtlts &amp; Standby";#N/A,#N/A,FALSE,"AG";#N/A,#N/A,FALSE,"2001mixeduse"}</definedName>
    <definedName name="wrn.schedules." localSheetId="15" hidden="1">{#N/A,#N/A,FALSE,"Res - Unadj";#N/A,#N/A,FALSE,"Small L&amp;P";#N/A,#N/A,FALSE,"Medium L&amp;P";#N/A,#N/A,FALSE,"E-19";#N/A,#N/A,FALSE,"E-20";#N/A,#N/A,FALSE,"A-RTP";#N/A,#N/A,FALSE,"Strtlts &amp; Standby";#N/A,#N/A,FALSE,"AG";#N/A,#N/A,FALSE,"2001mixeduse"}</definedName>
    <definedName name="wrn.schedules." localSheetId="9" hidden="1">{#N/A,#N/A,FALSE,"Res - Unadj";#N/A,#N/A,FALSE,"Small L&amp;P";#N/A,#N/A,FALSE,"Medium L&amp;P";#N/A,#N/A,FALSE,"E-19";#N/A,#N/A,FALSE,"E-20";#N/A,#N/A,FALSE,"A-RTP";#N/A,#N/A,FALSE,"Strtlts &amp; Standby";#N/A,#N/A,FALSE,"AG";#N/A,#N/A,FALSE,"2001mixeduse"}</definedName>
    <definedName name="wrn.schedules." localSheetId="1" hidden="1">{#N/A,#N/A,FALSE,"Res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24" l="1"/>
  <c r="C36" i="24"/>
  <c r="C29" i="24"/>
  <c r="C22" i="24"/>
  <c r="E121" i="5"/>
  <c r="E120" i="5"/>
  <c r="N119" i="5"/>
  <c r="N118" i="5"/>
  <c r="M121" i="5"/>
  <c r="L121" i="5"/>
  <c r="M120" i="5"/>
  <c r="L120" i="5"/>
  <c r="P118" i="5"/>
  <c r="P119" i="5"/>
  <c r="P120" i="5"/>
  <c r="P121" i="5"/>
  <c r="E119" i="5"/>
  <c r="F35" i="26"/>
  <c r="C9" i="24"/>
  <c r="W24" i="27"/>
  <c r="W23" i="27"/>
  <c r="W22" i="27"/>
  <c r="E31" i="22"/>
  <c r="D31" i="22"/>
  <c r="E25" i="22"/>
  <c r="D25" i="22"/>
  <c r="H16" i="22"/>
  <c r="F16" i="22"/>
  <c r="Q15" i="22"/>
  <c r="S15" i="22"/>
  <c r="F15" i="22"/>
  <c r="H15" i="22"/>
  <c r="M79" i="2"/>
  <c r="M80" i="2"/>
  <c r="E43" i="5"/>
  <c r="E42" i="5"/>
  <c r="E38" i="5"/>
  <c r="E37" i="5"/>
  <c r="G46" i="5"/>
  <c r="E34" i="5"/>
  <c r="E32" i="5"/>
  <c r="E30" i="5"/>
  <c r="E45" i="5"/>
  <c r="G45" i="5"/>
  <c r="E44" i="5"/>
  <c r="G44" i="5"/>
  <c r="C80" i="2"/>
  <c r="D80" i="2"/>
  <c r="E80" i="2"/>
  <c r="C79" i="2"/>
  <c r="D79" i="2"/>
  <c r="E79" i="2"/>
  <c r="E92" i="2"/>
  <c r="M92" i="2"/>
  <c r="AE76" i="18"/>
  <c r="AF76" i="18"/>
  <c r="AG76" i="18"/>
  <c r="AE71" i="18"/>
  <c r="AF71" i="18"/>
  <c r="AG71" i="18"/>
  <c r="AB46" i="18"/>
  <c r="AE75" i="18"/>
  <c r="AF75" i="18"/>
  <c r="AG75" i="18"/>
  <c r="AE65" i="18"/>
  <c r="AF65" i="18"/>
  <c r="AG65" i="18"/>
  <c r="AE61" i="18"/>
  <c r="AF61" i="18"/>
  <c r="AG61" i="18"/>
  <c r="AB57" i="18"/>
  <c r="AE70" i="18"/>
  <c r="AF70" i="18"/>
  <c r="AG70" i="18"/>
  <c r="AB45" i="18"/>
  <c r="Y45" i="18"/>
  <c r="Y46" i="18"/>
  <c r="AA45" i="18"/>
  <c r="Z45" i="18"/>
  <c r="AA46" i="18"/>
  <c r="Z46" i="18"/>
  <c r="Y57" i="18"/>
  <c r="AA57" i="18"/>
  <c r="Z57" i="18"/>
  <c r="H36" i="26"/>
  <c r="X37" i="30"/>
  <c r="Y37" i="30"/>
  <c r="Z37" i="30"/>
  <c r="AA37" i="30"/>
  <c r="AB37" i="30"/>
  <c r="Y36" i="30"/>
  <c r="Z36" i="30"/>
  <c r="AA36" i="30"/>
  <c r="AB36" i="30"/>
  <c r="X36" i="30"/>
  <c r="Z32" i="30"/>
  <c r="Z31" i="30"/>
  <c r="Y29" i="30"/>
  <c r="Z29" i="30"/>
  <c r="AA29" i="30"/>
  <c r="AB29" i="30"/>
  <c r="X29" i="30"/>
  <c r="AD45" i="23"/>
  <c r="AD46" i="23"/>
  <c r="AC43" i="23"/>
  <c r="AD43" i="23"/>
  <c r="AE43" i="23"/>
  <c r="AF43" i="23"/>
  <c r="AB43" i="23"/>
  <c r="L106" i="22"/>
  <c r="K105" i="22"/>
  <c r="D102" i="22"/>
  <c r="D110" i="22"/>
  <c r="C108" i="22"/>
  <c r="C73" i="22"/>
  <c r="L71" i="22"/>
  <c r="L69" i="22"/>
  <c r="K77" i="22"/>
  <c r="L107" i="22"/>
  <c r="K106" i="22"/>
  <c r="D103" i="22"/>
  <c r="D101" i="22"/>
  <c r="C109" i="22"/>
  <c r="C74" i="22"/>
  <c r="L72" i="22"/>
  <c r="K70" i="22"/>
  <c r="K78" i="22"/>
  <c r="C78" i="22"/>
  <c r="L108" i="22"/>
  <c r="K107" i="22"/>
  <c r="D104" i="22"/>
  <c r="C101" i="22"/>
  <c r="C110" i="22"/>
  <c r="C75" i="22"/>
  <c r="L73" i="22"/>
  <c r="K71" i="22"/>
  <c r="K69" i="22"/>
  <c r="L109" i="22"/>
  <c r="K108" i="22"/>
  <c r="D105" i="22"/>
  <c r="C103" i="22"/>
  <c r="C102" i="22"/>
  <c r="C76" i="22"/>
  <c r="L74" i="22"/>
  <c r="K72" i="22"/>
  <c r="K74" i="22"/>
  <c r="L102" i="22"/>
  <c r="L110" i="22"/>
  <c r="K109" i="22"/>
  <c r="D106" i="22"/>
  <c r="C104" i="22"/>
  <c r="D69" i="22"/>
  <c r="C77" i="22"/>
  <c r="L75" i="22"/>
  <c r="K73" i="22"/>
  <c r="L103" i="22"/>
  <c r="K102" i="22"/>
  <c r="K110" i="22"/>
  <c r="D107" i="22"/>
  <c r="C105" i="22"/>
  <c r="L76" i="22"/>
  <c r="L104" i="22"/>
  <c r="K103" i="22"/>
  <c r="L101" i="22"/>
  <c r="D108" i="22"/>
  <c r="C106" i="22"/>
  <c r="C71" i="22"/>
  <c r="C69" i="22"/>
  <c r="L77" i="22"/>
  <c r="K75" i="22"/>
  <c r="L105" i="22"/>
  <c r="K104" i="22"/>
  <c r="K101" i="22"/>
  <c r="D109" i="22"/>
  <c r="C107" i="22"/>
  <c r="C72" i="22"/>
  <c r="L70" i="22"/>
  <c r="L78" i="22"/>
  <c r="K76" i="22"/>
  <c r="C70" i="22"/>
  <c r="L88" i="22"/>
  <c r="K88" i="22"/>
  <c r="K85" i="22"/>
  <c r="D93" i="22"/>
  <c r="C92" i="22"/>
  <c r="D120" i="22"/>
  <c r="C119" i="22"/>
  <c r="C116" i="22"/>
  <c r="K124" i="22"/>
  <c r="L123" i="22"/>
  <c r="L89" i="22"/>
  <c r="K89" i="22"/>
  <c r="D86" i="22"/>
  <c r="D94" i="22"/>
  <c r="C93" i="22"/>
  <c r="D121" i="22"/>
  <c r="C120" i="22"/>
  <c r="K117" i="22"/>
  <c r="K125" i="22"/>
  <c r="L124" i="22"/>
  <c r="L91" i="22"/>
  <c r="K90" i="22"/>
  <c r="D87" i="22"/>
  <c r="C86" i="22"/>
  <c r="C94" i="22"/>
  <c r="D122" i="22"/>
  <c r="C121" i="22"/>
  <c r="K118" i="22"/>
  <c r="L117" i="22"/>
  <c r="L125" i="22"/>
  <c r="L92" i="22"/>
  <c r="K91" i="22"/>
  <c r="D88" i="22"/>
  <c r="C87" i="22"/>
  <c r="D85" i="22"/>
  <c r="D123" i="22"/>
  <c r="C122" i="22"/>
  <c r="K119" i="22"/>
  <c r="L118" i="22"/>
  <c r="L116" i="22"/>
  <c r="L93" i="22"/>
  <c r="K92" i="22"/>
  <c r="D89" i="22"/>
  <c r="C88" i="22"/>
  <c r="C85" i="22"/>
  <c r="D124" i="22"/>
  <c r="C123" i="22"/>
  <c r="K120" i="22"/>
  <c r="L119" i="22"/>
  <c r="K116" i="22"/>
  <c r="L90" i="22"/>
  <c r="L94" i="22"/>
  <c r="K93" i="22"/>
  <c r="D90" i="22"/>
  <c r="C89" i="22"/>
  <c r="D117" i="22"/>
  <c r="D125" i="22"/>
  <c r="C124" i="22"/>
  <c r="K121" i="22"/>
  <c r="L120" i="22"/>
  <c r="L86" i="22"/>
  <c r="K86" i="22"/>
  <c r="K94" i="22"/>
  <c r="D91" i="22"/>
  <c r="C90" i="22"/>
  <c r="D118" i="22"/>
  <c r="C117" i="22"/>
  <c r="C125" i="22"/>
  <c r="K122" i="22"/>
  <c r="L121" i="22"/>
  <c r="L87" i="22"/>
  <c r="K87" i="22"/>
  <c r="L85" i="22"/>
  <c r="D92" i="22"/>
  <c r="C91" i="22"/>
  <c r="D119" i="22"/>
  <c r="C118" i="22"/>
  <c r="D116" i="22"/>
  <c r="K123" i="22"/>
  <c r="L122" i="22"/>
  <c r="F155" i="2"/>
  <c r="F152" i="2"/>
  <c r="E65" i="26"/>
  <c r="O52" i="26"/>
  <c r="G52" i="26"/>
  <c r="S36" i="26"/>
  <c r="R36" i="26"/>
  <c r="Q36" i="26"/>
  <c r="P36" i="26"/>
  <c r="O36" i="26"/>
  <c r="N36" i="26"/>
  <c r="M36" i="26"/>
  <c r="L36" i="26"/>
  <c r="K36" i="26"/>
  <c r="J36" i="26"/>
  <c r="I36" i="26"/>
  <c r="G36" i="26"/>
  <c r="AB32" i="30"/>
  <c r="AA32" i="30"/>
  <c r="Y32" i="30"/>
  <c r="X32" i="30"/>
  <c r="AB31" i="30"/>
  <c r="AA31" i="30"/>
  <c r="Y31" i="30"/>
  <c r="X31" i="30"/>
  <c r="K52" i="26"/>
  <c r="R41" i="26"/>
  <c r="Z40" i="27"/>
  <c r="Z41" i="27"/>
  <c r="Z39" i="27"/>
  <c r="Z38" i="27"/>
  <c r="Z37" i="27"/>
  <c r="Z36" i="27"/>
  <c r="Z35" i="27"/>
  <c r="Z34" i="27"/>
  <c r="AC45" i="26"/>
  <c r="AD45" i="26"/>
  <c r="AE45" i="26"/>
  <c r="AF45" i="26"/>
  <c r="AB45" i="26"/>
  <c r="AD49" i="18"/>
  <c r="AD60" i="18"/>
  <c r="AE60" i="18"/>
  <c r="AF60" i="18"/>
  <c r="AG60" i="18"/>
  <c r="K142" i="2"/>
  <c r="K147" i="2"/>
  <c r="K149" i="2"/>
  <c r="K150" i="2"/>
  <c r="K12" i="2"/>
  <c r="E13" i="5"/>
  <c r="K13" i="2"/>
  <c r="E18" i="5"/>
  <c r="K16" i="2"/>
  <c r="E14" i="5"/>
  <c r="K18" i="2"/>
  <c r="K20" i="2"/>
  <c r="E19" i="5"/>
  <c r="K25" i="2"/>
  <c r="K32" i="2"/>
  <c r="K35" i="2"/>
  <c r="K36" i="2"/>
  <c r="K37" i="2"/>
  <c r="K39" i="2"/>
  <c r="E25" i="5"/>
  <c r="K48" i="2"/>
  <c r="K51" i="2"/>
  <c r="K58" i="2"/>
  <c r="E50" i="5"/>
  <c r="K63" i="2"/>
  <c r="K84" i="2"/>
  <c r="F67" i="2"/>
  <c r="F70" i="2"/>
  <c r="F71" i="2"/>
  <c r="F72" i="2"/>
  <c r="F87" i="2"/>
  <c r="F88" i="2"/>
  <c r="F89" i="2"/>
  <c r="F90" i="2"/>
  <c r="F91" i="2"/>
  <c r="F141" i="2"/>
  <c r="F144" i="2"/>
  <c r="F145" i="2"/>
  <c r="F153" i="2"/>
  <c r="F154" i="2"/>
  <c r="AE53" i="18"/>
  <c r="AE52" i="18"/>
  <c r="AE51" i="18"/>
  <c r="AE50" i="18"/>
  <c r="AE41" i="18"/>
  <c r="AE40" i="18"/>
  <c r="AE39" i="18"/>
  <c r="O56" i="19"/>
  <c r="K56" i="19"/>
  <c r="O52" i="19"/>
  <c r="K52" i="19"/>
  <c r="G52" i="19"/>
  <c r="S36" i="19"/>
  <c r="R36" i="19"/>
  <c r="Q36" i="19"/>
  <c r="P36" i="19"/>
  <c r="O36" i="19"/>
  <c r="N36" i="19"/>
  <c r="M36" i="19"/>
  <c r="L36" i="19"/>
  <c r="K36" i="19"/>
  <c r="J36" i="19"/>
  <c r="I36" i="19"/>
  <c r="G36" i="19"/>
  <c r="AF46" i="23"/>
  <c r="AF45" i="23"/>
  <c r="AE46" i="23"/>
  <c r="AE45" i="23"/>
  <c r="AC46" i="23"/>
  <c r="AC45" i="23"/>
  <c r="AB46" i="23"/>
  <c r="AB45" i="23"/>
  <c r="AE42" i="18"/>
  <c r="AE46" i="18"/>
  <c r="AE44" i="18"/>
  <c r="AE47" i="18"/>
  <c r="AE45" i="18"/>
  <c r="AE57" i="18"/>
  <c r="AE55" i="18"/>
  <c r="AE58" i="18"/>
  <c r="AE56" i="18"/>
  <c r="G56" i="19"/>
  <c r="AK31" i="19"/>
  <c r="AK32" i="19"/>
  <c r="AK33" i="19"/>
  <c r="AK34" i="19"/>
  <c r="AK35" i="19"/>
  <c r="AK36" i="19"/>
  <c r="AK37" i="19"/>
  <c r="AK38" i="19"/>
  <c r="AK39" i="19"/>
  <c r="AK40" i="19"/>
  <c r="AK30" i="19"/>
  <c r="AJ31" i="19"/>
  <c r="AJ32" i="19"/>
  <c r="AJ33" i="19"/>
  <c r="AJ34" i="19"/>
  <c r="AJ35" i="19"/>
  <c r="AJ36" i="19"/>
  <c r="AJ37" i="19"/>
  <c r="AJ38" i="19"/>
  <c r="AJ39" i="19"/>
  <c r="AJ40" i="19"/>
  <c r="AJ30" i="19"/>
  <c r="Y42" i="18"/>
  <c r="K21" i="2"/>
  <c r="E20" i="5"/>
  <c r="K153" i="2"/>
  <c r="K154" i="2"/>
  <c r="K155" i="2"/>
  <c r="E95" i="5"/>
  <c r="K151" i="2"/>
  <c r="E94" i="5"/>
  <c r="M115" i="5"/>
  <c r="M114" i="5"/>
  <c r="M113" i="5"/>
  <c r="Q9" i="24"/>
  <c r="C6" i="5"/>
  <c r="K17" i="2"/>
  <c r="E16" i="5"/>
  <c r="M71" i="2"/>
  <c r="M91" i="2"/>
  <c r="M145" i="2"/>
  <c r="M144" i="2"/>
  <c r="K145" i="2"/>
  <c r="E80" i="5"/>
  <c r="G80" i="5"/>
  <c r="K91" i="2"/>
  <c r="E66" i="5"/>
  <c r="G66" i="5"/>
  <c r="K38" i="2"/>
  <c r="E24" i="5"/>
  <c r="K47" i="2"/>
  <c r="K71" i="2"/>
  <c r="E40" i="5"/>
  <c r="G40" i="5"/>
  <c r="K33" i="2"/>
  <c r="E26" i="5"/>
  <c r="K146" i="2"/>
  <c r="K135" i="2"/>
  <c r="K133" i="2"/>
  <c r="K131" i="2"/>
  <c r="K130" i="2"/>
  <c r="K129" i="2"/>
  <c r="K128" i="2"/>
  <c r="K122" i="2"/>
  <c r="K117" i="2"/>
  <c r="K115" i="2"/>
  <c r="K113" i="2"/>
  <c r="K111" i="2"/>
  <c r="K110" i="2"/>
  <c r="K109" i="2"/>
  <c r="K108" i="2"/>
  <c r="K107" i="2"/>
  <c r="K114" i="2"/>
  <c r="E71" i="5"/>
  <c r="K132" i="2"/>
  <c r="E73" i="5"/>
  <c r="K118" i="2"/>
  <c r="E69" i="5"/>
  <c r="K134" i="2"/>
  <c r="E74" i="5"/>
  <c r="K121" i="2"/>
  <c r="E63" i="5"/>
  <c r="K136" i="2"/>
  <c r="E75" i="5"/>
  <c r="K119" i="2"/>
  <c r="E70" i="5"/>
  <c r="K123" i="2"/>
  <c r="E77" i="5"/>
  <c r="K140" i="2"/>
  <c r="E78" i="5"/>
  <c r="K105" i="2"/>
  <c r="E64" i="5"/>
  <c r="K120" i="2"/>
  <c r="E62" i="5"/>
  <c r="K127" i="2"/>
  <c r="E60" i="5"/>
  <c r="K143" i="2"/>
  <c r="E79" i="5"/>
  <c r="K116" i="2"/>
  <c r="E72" i="5"/>
  <c r="K15" i="2"/>
  <c r="E12" i="5"/>
  <c r="K34" i="2"/>
  <c r="E27" i="5"/>
  <c r="Q10" i="24"/>
  <c r="I53" i="5"/>
  <c r="J53" i="5"/>
  <c r="I54" i="5"/>
  <c r="J54" i="5"/>
  <c r="I55" i="5"/>
  <c r="J55" i="5"/>
  <c r="I52" i="5"/>
  <c r="J52" i="5"/>
  <c r="M141" i="2"/>
  <c r="K141" i="2"/>
  <c r="H141" i="2"/>
  <c r="I141" i="2"/>
  <c r="E110" i="5"/>
  <c r="L110" i="5"/>
  <c r="P110" i="5"/>
  <c r="E111" i="5"/>
  <c r="L111" i="5"/>
  <c r="P111" i="5"/>
  <c r="I51" i="5"/>
  <c r="M87" i="2"/>
  <c r="M88" i="2"/>
  <c r="M89" i="2"/>
  <c r="M90" i="2"/>
  <c r="M70" i="2"/>
  <c r="M72" i="2"/>
  <c r="M67" i="2"/>
  <c r="K90" i="2"/>
  <c r="E53" i="5"/>
  <c r="G53" i="5"/>
  <c r="K88" i="2"/>
  <c r="E55" i="5"/>
  <c r="G55" i="5"/>
  <c r="K67" i="2"/>
  <c r="E51" i="5"/>
  <c r="K70" i="2"/>
  <c r="E39" i="5"/>
  <c r="G39" i="5"/>
  <c r="K72" i="2"/>
  <c r="E41" i="5"/>
  <c r="G41" i="5"/>
  <c r="K87" i="2"/>
  <c r="E54" i="5"/>
  <c r="G54" i="5"/>
  <c r="K89" i="2"/>
  <c r="E52" i="5"/>
  <c r="G52" i="5"/>
  <c r="K64" i="2"/>
  <c r="K62" i="2"/>
  <c r="E36" i="5"/>
  <c r="K86" i="2"/>
  <c r="E48" i="5"/>
  <c r="K19" i="2"/>
  <c r="E17" i="5"/>
  <c r="K156" i="2"/>
  <c r="K101" i="2"/>
  <c r="K83" i="2"/>
  <c r="K82" i="2"/>
  <c r="K81" i="2"/>
  <c r="J73" i="2"/>
  <c r="K73" i="2"/>
  <c r="J74" i="2"/>
  <c r="K74" i="2"/>
  <c r="K59" i="2"/>
  <c r="K46" i="2"/>
  <c r="K43" i="2"/>
  <c r="K42" i="2"/>
  <c r="K31" i="2"/>
  <c r="K29" i="2"/>
  <c r="K11" i="2"/>
  <c r="K26" i="2"/>
  <c r="K100" i="2"/>
  <c r="E61" i="5"/>
  <c r="K41" i="2"/>
  <c r="K57" i="2"/>
  <c r="E49" i="5"/>
  <c r="K85" i="2"/>
  <c r="E47" i="5"/>
  <c r="K10" i="2"/>
  <c r="E11" i="5"/>
  <c r="K61" i="2"/>
  <c r="E35" i="5"/>
  <c r="K44" i="2"/>
  <c r="E28" i="5"/>
  <c r="K102" i="2"/>
  <c r="E65" i="5"/>
  <c r="K97" i="2"/>
  <c r="E59" i="5"/>
  <c r="K45" i="2"/>
  <c r="E29" i="5"/>
  <c r="K103" i="2"/>
  <c r="K27" i="2"/>
  <c r="K28" i="2"/>
  <c r="E22" i="5"/>
  <c r="K53" i="2"/>
  <c r="E31" i="5"/>
  <c r="K30" i="2"/>
  <c r="E23" i="5"/>
  <c r="K55" i="2"/>
  <c r="E33" i="5"/>
  <c r="J156" i="2"/>
  <c r="K22" i="2"/>
  <c r="E21" i="5"/>
  <c r="K9" i="2"/>
  <c r="E10" i="5"/>
  <c r="H14" i="27"/>
  <c r="P115" i="5"/>
  <c r="N115" i="5"/>
  <c r="L115" i="5"/>
  <c r="O115" i="5"/>
  <c r="P114" i="5"/>
  <c r="O114" i="5"/>
  <c r="N114" i="5"/>
  <c r="P113" i="5"/>
  <c r="O113" i="5"/>
  <c r="N113" i="5"/>
  <c r="J51" i="5"/>
  <c r="X19" i="22"/>
  <c r="I31" i="27"/>
  <c r="G31" i="27"/>
  <c r="O55" i="26"/>
  <c r="K55" i="26"/>
  <c r="G55" i="26"/>
  <c r="E118" i="5"/>
  <c r="Y34" i="30"/>
  <c r="AA34" i="30"/>
  <c r="AB34" i="30"/>
  <c r="X34" i="30"/>
  <c r="AC48" i="23"/>
  <c r="AE48" i="23"/>
  <c r="AF48" i="23"/>
  <c r="AB48" i="23"/>
  <c r="AC50" i="26"/>
  <c r="AE50" i="26"/>
  <c r="AF50" i="26"/>
  <c r="AB50" i="26"/>
  <c r="I147" i="2"/>
  <c r="I149" i="2"/>
  <c r="I150" i="2"/>
  <c r="I157" i="2"/>
  <c r="I32" i="2"/>
  <c r="D11" i="2"/>
  <c r="E11" i="2"/>
  <c r="F11" i="2"/>
  <c r="D32" i="2"/>
  <c r="E32" i="2"/>
  <c r="F32" i="2"/>
  <c r="D35" i="2"/>
  <c r="E35" i="2"/>
  <c r="F35" i="2"/>
  <c r="D57" i="2"/>
  <c r="E57" i="2"/>
  <c r="F57" i="2"/>
  <c r="D58" i="2"/>
  <c r="E58" i="2"/>
  <c r="F58" i="2"/>
  <c r="D59" i="2"/>
  <c r="E59" i="2"/>
  <c r="F59" i="2"/>
  <c r="D60" i="2"/>
  <c r="E60" i="2"/>
  <c r="F60" i="2"/>
  <c r="D76" i="2"/>
  <c r="E76" i="2"/>
  <c r="F76" i="2"/>
  <c r="D112" i="2"/>
  <c r="E112" i="2"/>
  <c r="F112" i="2"/>
  <c r="D139" i="2"/>
  <c r="E139" i="2"/>
  <c r="F139" i="2"/>
  <c r="D75" i="2"/>
  <c r="E75" i="2"/>
  <c r="F75" i="2"/>
  <c r="P19" i="29"/>
  <c r="Z40" i="29"/>
  <c r="E4" i="29"/>
  <c r="P11" i="22"/>
  <c r="C37" i="24"/>
  <c r="S47" i="26"/>
  <c r="S48" i="26"/>
  <c r="L112" i="5"/>
  <c r="H16" i="5"/>
  <c r="I16" i="5"/>
  <c r="J16" i="5"/>
  <c r="I17" i="5"/>
  <c r="J17" i="5"/>
  <c r="P112" i="5"/>
  <c r="E112" i="5"/>
  <c r="Z41" i="29"/>
  <c r="Z39" i="29"/>
  <c r="Z38" i="29"/>
  <c r="Z37" i="29"/>
  <c r="Z36" i="29"/>
  <c r="Z35" i="29"/>
  <c r="Z34" i="29"/>
  <c r="M34" i="2"/>
  <c r="S43" i="26"/>
  <c r="S44" i="26"/>
  <c r="S47" i="19"/>
  <c r="S48" i="19"/>
  <c r="Z39" i="18"/>
  <c r="Z51" i="18"/>
  <c r="Z52" i="18"/>
  <c r="Z40" i="18"/>
  <c r="H46" i="19"/>
  <c r="I42" i="19"/>
  <c r="L37" i="19"/>
  <c r="R6" i="23"/>
  <c r="S43" i="19"/>
  <c r="S44" i="19"/>
  <c r="R24" i="29"/>
  <c r="S24" i="29"/>
  <c r="T24" i="29"/>
  <c r="U24" i="29"/>
  <c r="V24" i="29"/>
  <c r="W24" i="29"/>
  <c r="Q24" i="29"/>
  <c r="R23" i="29"/>
  <c r="S23" i="29"/>
  <c r="T23" i="29"/>
  <c r="U23" i="29"/>
  <c r="V23" i="29"/>
  <c r="W23" i="29"/>
  <c r="Q23" i="29"/>
  <c r="R22" i="29"/>
  <c r="S22" i="29"/>
  <c r="T22" i="29"/>
  <c r="U22" i="29"/>
  <c r="V22" i="29"/>
  <c r="W22" i="29"/>
  <c r="Q22" i="29"/>
  <c r="C38" i="18"/>
  <c r="M84" i="2"/>
  <c r="M85" i="2"/>
  <c r="M86" i="2"/>
  <c r="M56" i="2"/>
  <c r="M57" i="2"/>
  <c r="M58" i="2"/>
  <c r="M47" i="2"/>
  <c r="M48" i="2"/>
  <c r="M97" i="2"/>
  <c r="M146" i="2"/>
  <c r="I27" i="5"/>
  <c r="I26" i="5"/>
  <c r="E64" i="26"/>
  <c r="M83" i="2"/>
  <c r="M82" i="2"/>
  <c r="M81" i="2"/>
  <c r="M59" i="2"/>
  <c r="J26" i="5"/>
  <c r="J27" i="5"/>
  <c r="M9" i="2"/>
  <c r="H86" i="2"/>
  <c r="C86" i="2"/>
  <c r="D86" i="2"/>
  <c r="E86" i="2"/>
  <c r="F86" i="2"/>
  <c r="G48" i="5"/>
  <c r="I86" i="2"/>
  <c r="G24" i="5"/>
  <c r="I38" i="2"/>
  <c r="AF51" i="23"/>
  <c r="AF50" i="23"/>
  <c r="AE51" i="23"/>
  <c r="AE50" i="23"/>
  <c r="AC51" i="23"/>
  <c r="AC50" i="23"/>
  <c r="AB51" i="23"/>
  <c r="AB50" i="23"/>
  <c r="C33" i="27"/>
  <c r="D106" i="17"/>
  <c r="D100" i="17"/>
  <c r="D94" i="17"/>
  <c r="D108" i="20"/>
  <c r="D96" i="20"/>
  <c r="D102" i="20"/>
  <c r="H11" i="2"/>
  <c r="I11" i="2"/>
  <c r="G30" i="5"/>
  <c r="H30" i="5"/>
  <c r="I52" i="2"/>
  <c r="G32" i="5"/>
  <c r="H32" i="5"/>
  <c r="I32" i="5"/>
  <c r="J32" i="5"/>
  <c r="I54" i="2"/>
  <c r="G34" i="5"/>
  <c r="H34" i="5"/>
  <c r="I34" i="5"/>
  <c r="J34" i="5"/>
  <c r="I30" i="5"/>
  <c r="J30" i="5"/>
  <c r="G38" i="5"/>
  <c r="I75" i="2"/>
  <c r="G37" i="5"/>
  <c r="I76" i="2"/>
  <c r="I152" i="2"/>
  <c r="M77" i="2"/>
  <c r="M78" i="2"/>
  <c r="M75" i="2"/>
  <c r="M76" i="2"/>
  <c r="C97" i="2"/>
  <c r="D97" i="2"/>
  <c r="E97" i="2"/>
  <c r="F97" i="2"/>
  <c r="C17" i="2"/>
  <c r="D17" i="2"/>
  <c r="E17" i="2"/>
  <c r="F17" i="2"/>
  <c r="C142" i="2"/>
  <c r="D142" i="2"/>
  <c r="E142" i="2"/>
  <c r="F142" i="2"/>
  <c r="C143" i="2"/>
  <c r="D143" i="2"/>
  <c r="E143" i="2"/>
  <c r="F143" i="2"/>
  <c r="C146" i="2"/>
  <c r="D146" i="2"/>
  <c r="E146" i="2"/>
  <c r="F146" i="2"/>
  <c r="C140" i="2"/>
  <c r="D140" i="2"/>
  <c r="E140" i="2"/>
  <c r="F140" i="2"/>
  <c r="C82" i="2"/>
  <c r="D82" i="2"/>
  <c r="E82" i="2"/>
  <c r="F82" i="2"/>
  <c r="C83" i="2"/>
  <c r="D83" i="2"/>
  <c r="E83" i="2"/>
  <c r="F83" i="2"/>
  <c r="C84" i="2"/>
  <c r="D84" i="2"/>
  <c r="E84" i="2"/>
  <c r="F84" i="2"/>
  <c r="C85" i="2"/>
  <c r="D85" i="2"/>
  <c r="E85" i="2"/>
  <c r="F85" i="2"/>
  <c r="C81" i="2"/>
  <c r="D81" i="2"/>
  <c r="E81" i="2"/>
  <c r="F81" i="2"/>
  <c r="M143" i="2"/>
  <c r="M142" i="2"/>
  <c r="M140" i="2"/>
  <c r="G47" i="5"/>
  <c r="H85" i="2"/>
  <c r="I85" i="2"/>
  <c r="H59" i="2"/>
  <c r="I59" i="2"/>
  <c r="H58" i="2"/>
  <c r="G50" i="5"/>
  <c r="I58" i="2"/>
  <c r="H57" i="2"/>
  <c r="G49" i="5"/>
  <c r="I57" i="2"/>
  <c r="H142" i="2"/>
  <c r="H143" i="2"/>
  <c r="H146" i="2"/>
  <c r="I146" i="2"/>
  <c r="H81" i="2"/>
  <c r="I81" i="2"/>
  <c r="H82" i="2"/>
  <c r="I82" i="2"/>
  <c r="H83" i="2"/>
  <c r="I83" i="2"/>
  <c r="H84" i="2"/>
  <c r="G79" i="5"/>
  <c r="I143" i="2"/>
  <c r="I142" i="2"/>
  <c r="I84" i="2"/>
  <c r="F6" i="23"/>
  <c r="C27" i="18"/>
  <c r="H53" i="2"/>
  <c r="G31" i="5"/>
  <c r="H31" i="5"/>
  <c r="I31" i="5"/>
  <c r="J31" i="5"/>
  <c r="I53" i="2"/>
  <c r="H140" i="2"/>
  <c r="I140" i="2"/>
  <c r="G78" i="5"/>
  <c r="H78" i="5"/>
  <c r="I78" i="5"/>
  <c r="J78" i="5"/>
  <c r="H78" i="2"/>
  <c r="G43" i="5"/>
  <c r="I78" i="2"/>
  <c r="H77" i="2"/>
  <c r="G42" i="5"/>
  <c r="I77" i="2"/>
  <c r="Q6" i="23"/>
  <c r="P6" i="23"/>
  <c r="O6" i="23"/>
  <c r="N6" i="23"/>
  <c r="M6" i="23"/>
  <c r="L6" i="23"/>
  <c r="K6" i="23"/>
  <c r="J6" i="23"/>
  <c r="I6" i="23"/>
  <c r="H6" i="23"/>
  <c r="D21" i="29"/>
  <c r="Y39" i="18"/>
  <c r="Z41" i="18"/>
  <c r="Y41" i="18"/>
  <c r="N41" i="19"/>
  <c r="Y51" i="18"/>
  <c r="Z53" i="18"/>
  <c r="I65" i="5"/>
  <c r="J65" i="5"/>
  <c r="N121" i="5"/>
  <c r="I69" i="5"/>
  <c r="N120" i="5"/>
  <c r="C77" i="2"/>
  <c r="D77" i="2"/>
  <c r="E77" i="2"/>
  <c r="F77" i="2"/>
  <c r="C78" i="2"/>
  <c r="D78" i="2"/>
  <c r="E78" i="2"/>
  <c r="F78" i="2"/>
  <c r="M110" i="5"/>
  <c r="I12" i="5"/>
  <c r="N110" i="5"/>
  <c r="O106" i="5"/>
  <c r="O105" i="5"/>
  <c r="O109" i="5"/>
  <c r="O108" i="5"/>
  <c r="O107" i="5"/>
  <c r="P107" i="5"/>
  <c r="P108" i="5"/>
  <c r="P109" i="5"/>
  <c r="N109" i="5"/>
  <c r="M107" i="5"/>
  <c r="M108" i="5"/>
  <c r="M109" i="5"/>
  <c r="L107" i="5"/>
  <c r="L108" i="5"/>
  <c r="L109" i="5"/>
  <c r="E107" i="5"/>
  <c r="E108" i="5"/>
  <c r="E109" i="5"/>
  <c r="N108" i="5"/>
  <c r="N107" i="5"/>
  <c r="C56" i="2"/>
  <c r="D56" i="2"/>
  <c r="E56" i="2"/>
  <c r="F56" i="2"/>
  <c r="P105" i="5"/>
  <c r="P106" i="5"/>
  <c r="M105" i="5"/>
  <c r="M106" i="5"/>
  <c r="N106" i="5"/>
  <c r="N105" i="5"/>
  <c r="E105" i="5"/>
  <c r="E106" i="5"/>
  <c r="L105" i="5"/>
  <c r="L106" i="5"/>
  <c r="C23" i="24"/>
  <c r="C24" i="24"/>
  <c r="C25" i="24"/>
  <c r="C26" i="24"/>
  <c r="C30" i="24"/>
  <c r="C31" i="24"/>
  <c r="C32" i="24"/>
  <c r="C33" i="24"/>
  <c r="C38" i="24"/>
  <c r="C39" i="24"/>
  <c r="C40" i="24"/>
  <c r="C44" i="24"/>
  <c r="C45" i="24"/>
  <c r="C46" i="24"/>
  <c r="C47" i="24"/>
  <c r="H124" i="2"/>
  <c r="I124" i="2"/>
  <c r="J124" i="2"/>
  <c r="K124" i="2"/>
  <c r="C47" i="2"/>
  <c r="D47" i="2"/>
  <c r="E47" i="2"/>
  <c r="F47" i="2"/>
  <c r="C48" i="2"/>
  <c r="D48" i="2"/>
  <c r="E48" i="2"/>
  <c r="F48" i="2"/>
  <c r="P30" i="30"/>
  <c r="F30" i="30"/>
  <c r="L27" i="17"/>
  <c r="D27" i="17"/>
  <c r="H68" i="2"/>
  <c r="I68" i="2"/>
  <c r="J68" i="2"/>
  <c r="K68" i="2"/>
  <c r="H69" i="2"/>
  <c r="I69" i="2"/>
  <c r="J69" i="2"/>
  <c r="K69" i="2"/>
  <c r="P29" i="30"/>
  <c r="M27" i="17"/>
  <c r="F29" i="30"/>
  <c r="E27" i="17"/>
  <c r="P30" i="23"/>
  <c r="F30" i="23"/>
  <c r="P29" i="23"/>
  <c r="L28" i="17"/>
  <c r="D28" i="17"/>
  <c r="L26" i="17"/>
  <c r="D26" i="17"/>
  <c r="G29" i="26"/>
  <c r="G28" i="26"/>
  <c r="E29" i="20"/>
  <c r="Q28" i="26"/>
  <c r="O29" i="20"/>
  <c r="E26" i="17"/>
  <c r="F29" i="23"/>
  <c r="E28" i="17"/>
  <c r="M26" i="17"/>
  <c r="M28" i="17"/>
  <c r="N29" i="20"/>
  <c r="D29" i="20"/>
  <c r="Q29" i="26"/>
  <c r="B76" i="17"/>
  <c r="B75" i="17"/>
  <c r="B83" i="17"/>
  <c r="B82" i="17"/>
  <c r="B90" i="17"/>
  <c r="B89" i="17"/>
  <c r="J90" i="17"/>
  <c r="J89" i="17"/>
  <c r="J83" i="17"/>
  <c r="J82" i="17"/>
  <c r="J76" i="17"/>
  <c r="J75" i="17"/>
  <c r="H24" i="2"/>
  <c r="I24" i="2"/>
  <c r="J24" i="2"/>
  <c r="K24" i="2"/>
  <c r="L114" i="18"/>
  <c r="B114" i="18"/>
  <c r="L99" i="18"/>
  <c r="B99" i="18"/>
  <c r="L78" i="20"/>
  <c r="L77" i="20"/>
  <c r="L85" i="20"/>
  <c r="L84" i="20"/>
  <c r="L92" i="20"/>
  <c r="L91" i="20"/>
  <c r="B92" i="20"/>
  <c r="B91" i="20"/>
  <c r="B85" i="20"/>
  <c r="B84" i="20"/>
  <c r="B78" i="20"/>
  <c r="B77" i="20"/>
  <c r="B113" i="22"/>
  <c r="J113" i="22"/>
  <c r="J98" i="22"/>
  <c r="B98" i="22"/>
  <c r="D30" i="20"/>
  <c r="D28" i="20"/>
  <c r="N28" i="20"/>
  <c r="N30" i="20"/>
  <c r="E30" i="20"/>
  <c r="Q28" i="19"/>
  <c r="O28" i="20"/>
  <c r="Q29" i="19"/>
  <c r="O30" i="20"/>
  <c r="E28" i="20"/>
  <c r="G28" i="19"/>
  <c r="G29" i="19"/>
  <c r="H17" i="2"/>
  <c r="G156" i="2"/>
  <c r="H155" i="2"/>
  <c r="I155" i="2"/>
  <c r="H154" i="2"/>
  <c r="I154" i="2"/>
  <c r="H48" i="2"/>
  <c r="H47" i="2"/>
  <c r="H151" i="2"/>
  <c r="I151" i="2"/>
  <c r="O103" i="5"/>
  <c r="O104" i="5"/>
  <c r="P103" i="5"/>
  <c r="P104" i="5"/>
  <c r="N104" i="5"/>
  <c r="M104" i="5"/>
  <c r="N103" i="5"/>
  <c r="M103" i="5"/>
  <c r="AN30" i="19"/>
  <c r="C152" i="2"/>
  <c r="D152" i="2"/>
  <c r="C151" i="2"/>
  <c r="D151" i="2"/>
  <c r="C54" i="2"/>
  <c r="D54" i="2"/>
  <c r="E54" i="2"/>
  <c r="F54" i="2"/>
  <c r="C52" i="2"/>
  <c r="D52" i="2"/>
  <c r="E52" i="2"/>
  <c r="F52" i="2"/>
  <c r="C34" i="2"/>
  <c r="D34" i="2"/>
  <c r="E34" i="2"/>
  <c r="F34" i="2"/>
  <c r="C36" i="2"/>
  <c r="D36" i="2"/>
  <c r="E36" i="2"/>
  <c r="F36" i="2"/>
  <c r="C33" i="2"/>
  <c r="D33" i="2"/>
  <c r="E33" i="2"/>
  <c r="F33" i="2"/>
  <c r="H123" i="2"/>
  <c r="I123" i="2"/>
  <c r="AF55" i="18"/>
  <c r="AG55" i="18"/>
  <c r="AF53" i="18"/>
  <c r="AG53" i="18"/>
  <c r="AF51" i="18"/>
  <c r="AG51" i="18"/>
  <c r="AF50" i="18"/>
  <c r="AG50" i="18"/>
  <c r="AE49" i="18"/>
  <c r="AF49" i="18"/>
  <c r="AG49" i="18"/>
  <c r="AF44" i="18"/>
  <c r="AG44" i="18"/>
  <c r="AE38" i="18"/>
  <c r="AF38" i="18"/>
  <c r="AG38" i="18"/>
  <c r="AF42" i="18"/>
  <c r="AG42" i="18"/>
  <c r="G77" i="5"/>
  <c r="H77" i="5"/>
  <c r="Y40" i="18"/>
  <c r="Y53" i="18"/>
  <c r="AF52" i="18"/>
  <c r="AG52" i="18"/>
  <c r="Y54" i="18"/>
  <c r="AF39" i="18"/>
  <c r="AG39" i="18"/>
  <c r="AF45" i="18"/>
  <c r="AG45" i="18"/>
  <c r="AF40" i="18"/>
  <c r="AG40" i="18"/>
  <c r="Y52" i="18"/>
  <c r="Z54" i="18"/>
  <c r="AF41" i="18"/>
  <c r="AG41" i="18"/>
  <c r="AF56" i="18"/>
  <c r="AG56" i="18"/>
  <c r="Z42" i="18"/>
  <c r="E10" i="22"/>
  <c r="P10" i="22"/>
  <c r="E9" i="22"/>
  <c r="P9" i="22"/>
  <c r="E7" i="22"/>
  <c r="P7" i="22"/>
  <c r="E8" i="22"/>
  <c r="P8" i="22"/>
  <c r="AF47" i="18"/>
  <c r="AG47" i="18"/>
  <c r="AF57" i="18"/>
  <c r="AG57" i="18"/>
  <c r="AF58" i="18"/>
  <c r="AG58" i="18"/>
  <c r="AF46" i="18"/>
  <c r="AG46" i="18"/>
  <c r="AE30" i="19"/>
  <c r="AF30" i="19"/>
  <c r="D74" i="17"/>
  <c r="G6" i="30"/>
  <c r="Y33" i="27"/>
  <c r="Y33" i="29"/>
  <c r="E63" i="26"/>
  <c r="Z38" i="18"/>
  <c r="F41" i="26"/>
  <c r="F36" i="26"/>
  <c r="J6" i="30"/>
  <c r="R6" i="30"/>
  <c r="Q6" i="30"/>
  <c r="P6" i="30"/>
  <c r="O6" i="30"/>
  <c r="N6" i="30"/>
  <c r="M6" i="30"/>
  <c r="L6" i="30"/>
  <c r="K6" i="30"/>
  <c r="I6" i="30"/>
  <c r="H6" i="30"/>
  <c r="F6" i="30"/>
  <c r="F41" i="19"/>
  <c r="F51" i="19"/>
  <c r="F36" i="19"/>
  <c r="F37" i="19"/>
  <c r="E27" i="20"/>
  <c r="F37" i="26"/>
  <c r="F38" i="26"/>
  <c r="F44" i="26"/>
  <c r="F48" i="26"/>
  <c r="F45" i="26"/>
  <c r="F55" i="26"/>
  <c r="F51" i="26"/>
  <c r="N51" i="19"/>
  <c r="J51" i="19"/>
  <c r="E102" i="20"/>
  <c r="E96" i="20"/>
  <c r="E108" i="20"/>
  <c r="AA38" i="18"/>
  <c r="AB38" i="18"/>
  <c r="F42" i="26"/>
  <c r="F46" i="26"/>
  <c r="F43" i="26"/>
  <c r="F47" i="26"/>
  <c r="F42" i="19"/>
  <c r="F43" i="19"/>
  <c r="F38" i="19"/>
  <c r="F44" i="19"/>
  <c r="Z33" i="27"/>
  <c r="Z33" i="29"/>
  <c r="J51" i="26"/>
  <c r="N51" i="26"/>
  <c r="N55" i="26"/>
  <c r="J55" i="26"/>
  <c r="AA33" i="27"/>
  <c r="AB33" i="27"/>
  <c r="AB33" i="29"/>
  <c r="AA33" i="29"/>
  <c r="E7" i="29"/>
  <c r="O30" i="30"/>
  <c r="E30" i="30"/>
  <c r="L102" i="5"/>
  <c r="G102" i="5"/>
  <c r="J70" i="5"/>
  <c r="S9" i="5"/>
  <c r="H9" i="5"/>
  <c r="I9" i="5"/>
  <c r="J9" i="5"/>
  <c r="V9" i="5"/>
  <c r="C3" i="20"/>
  <c r="T9" i="5"/>
  <c r="U9" i="5"/>
  <c r="H35" i="2"/>
  <c r="I35" i="2"/>
  <c r="H34" i="2"/>
  <c r="G27" i="5"/>
  <c r="I34" i="2"/>
  <c r="O121" i="5"/>
  <c r="C20" i="2"/>
  <c r="D20" i="2"/>
  <c r="E20" i="2"/>
  <c r="F20" i="2"/>
  <c r="C138" i="2"/>
  <c r="D138" i="2"/>
  <c r="E138" i="2"/>
  <c r="F138" i="2"/>
  <c r="C137" i="2"/>
  <c r="D137" i="2"/>
  <c r="E137" i="2"/>
  <c r="F137" i="2"/>
  <c r="C136" i="2"/>
  <c r="D136" i="2"/>
  <c r="E136" i="2"/>
  <c r="F136" i="2"/>
  <c r="C135" i="2"/>
  <c r="D135" i="2"/>
  <c r="E135" i="2"/>
  <c r="F135" i="2"/>
  <c r="C134" i="2"/>
  <c r="D134" i="2"/>
  <c r="E134" i="2"/>
  <c r="F134" i="2"/>
  <c r="C133" i="2"/>
  <c r="D133" i="2"/>
  <c r="E133" i="2"/>
  <c r="F133" i="2"/>
  <c r="C132" i="2"/>
  <c r="D132" i="2"/>
  <c r="E132" i="2"/>
  <c r="F132" i="2"/>
  <c r="C131" i="2"/>
  <c r="D131" i="2"/>
  <c r="E131" i="2"/>
  <c r="F131" i="2"/>
  <c r="C130" i="2"/>
  <c r="D130" i="2"/>
  <c r="E130" i="2"/>
  <c r="F130" i="2"/>
  <c r="C129" i="2"/>
  <c r="D129" i="2"/>
  <c r="E129" i="2"/>
  <c r="F129" i="2"/>
  <c r="C128" i="2"/>
  <c r="D128" i="2"/>
  <c r="E128" i="2"/>
  <c r="F128" i="2"/>
  <c r="C126" i="2"/>
  <c r="D126" i="2"/>
  <c r="E126" i="2"/>
  <c r="F126" i="2"/>
  <c r="C125" i="2"/>
  <c r="D125" i="2"/>
  <c r="E125" i="2"/>
  <c r="F125" i="2"/>
  <c r="C124" i="2"/>
  <c r="D124" i="2"/>
  <c r="E124" i="2"/>
  <c r="F124" i="2"/>
  <c r="C123" i="2"/>
  <c r="D123" i="2"/>
  <c r="E123" i="2"/>
  <c r="F123" i="2"/>
  <c r="C122" i="2"/>
  <c r="D122" i="2"/>
  <c r="E122" i="2"/>
  <c r="F122" i="2"/>
  <c r="C117" i="2"/>
  <c r="D117" i="2"/>
  <c r="E117" i="2"/>
  <c r="F117" i="2"/>
  <c r="C115" i="2"/>
  <c r="D115" i="2"/>
  <c r="E115" i="2"/>
  <c r="F115" i="2"/>
  <c r="C113" i="2"/>
  <c r="D113" i="2"/>
  <c r="E113" i="2"/>
  <c r="F113" i="2"/>
  <c r="C111" i="2"/>
  <c r="D111" i="2"/>
  <c r="E111" i="2"/>
  <c r="F111" i="2"/>
  <c r="C110" i="2"/>
  <c r="D110" i="2"/>
  <c r="E110" i="2"/>
  <c r="F110" i="2"/>
  <c r="C109" i="2"/>
  <c r="D109" i="2"/>
  <c r="E109" i="2"/>
  <c r="F109" i="2"/>
  <c r="C108" i="2"/>
  <c r="D108" i="2"/>
  <c r="E108" i="2"/>
  <c r="F108" i="2"/>
  <c r="C107" i="2"/>
  <c r="D107" i="2"/>
  <c r="E107" i="2"/>
  <c r="F107" i="2"/>
  <c r="C106" i="2"/>
  <c r="D106" i="2"/>
  <c r="E106" i="2"/>
  <c r="F106" i="2"/>
  <c r="C105" i="2"/>
  <c r="D105" i="2"/>
  <c r="E105" i="2"/>
  <c r="F105" i="2"/>
  <c r="C104" i="2"/>
  <c r="D104" i="2"/>
  <c r="E104" i="2"/>
  <c r="F104" i="2"/>
  <c r="C103" i="2"/>
  <c r="D103" i="2"/>
  <c r="E103" i="2"/>
  <c r="F103" i="2"/>
  <c r="C101" i="2"/>
  <c r="D101" i="2"/>
  <c r="E101" i="2"/>
  <c r="F101" i="2"/>
  <c r="C100" i="2"/>
  <c r="D100" i="2"/>
  <c r="E100" i="2"/>
  <c r="F100" i="2"/>
  <c r="C99" i="2"/>
  <c r="D99" i="2"/>
  <c r="E99" i="2"/>
  <c r="F99" i="2"/>
  <c r="C74" i="2"/>
  <c r="D74" i="2"/>
  <c r="E74" i="2"/>
  <c r="F74" i="2"/>
  <c r="C73" i="2"/>
  <c r="D73" i="2"/>
  <c r="E73" i="2"/>
  <c r="F73" i="2"/>
  <c r="C69" i="2"/>
  <c r="D69" i="2"/>
  <c r="E69" i="2"/>
  <c r="F69" i="2"/>
  <c r="C68" i="2"/>
  <c r="D68" i="2"/>
  <c r="E68" i="2"/>
  <c r="F68" i="2"/>
  <c r="C66" i="2"/>
  <c r="D66" i="2"/>
  <c r="E66" i="2"/>
  <c r="F66" i="2"/>
  <c r="C65" i="2"/>
  <c r="D65" i="2"/>
  <c r="E65" i="2"/>
  <c r="F65" i="2"/>
  <c r="C64" i="2"/>
  <c r="D64" i="2"/>
  <c r="E64" i="2"/>
  <c r="F64" i="2"/>
  <c r="C63" i="2"/>
  <c r="D63" i="2"/>
  <c r="E63" i="2"/>
  <c r="F63" i="2"/>
  <c r="C46" i="2"/>
  <c r="D46" i="2"/>
  <c r="E46" i="2"/>
  <c r="F46" i="2"/>
  <c r="C44" i="2"/>
  <c r="D44" i="2"/>
  <c r="E44" i="2"/>
  <c r="F44" i="2"/>
  <c r="C43" i="2"/>
  <c r="D43" i="2"/>
  <c r="E43" i="2"/>
  <c r="F43" i="2"/>
  <c r="C41" i="2"/>
  <c r="D41" i="2"/>
  <c r="E41" i="2"/>
  <c r="F41" i="2"/>
  <c r="C40" i="2"/>
  <c r="D40" i="2"/>
  <c r="E40" i="2"/>
  <c r="F40" i="2"/>
  <c r="C37" i="2"/>
  <c r="D37" i="2"/>
  <c r="E37" i="2"/>
  <c r="F37" i="2"/>
  <c r="C31" i="2"/>
  <c r="D31" i="2"/>
  <c r="E31" i="2"/>
  <c r="F31" i="2"/>
  <c r="C30" i="2"/>
  <c r="D30" i="2"/>
  <c r="E30" i="2"/>
  <c r="F30" i="2"/>
  <c r="C29" i="2"/>
  <c r="D29" i="2"/>
  <c r="E29" i="2"/>
  <c r="F29" i="2"/>
  <c r="C28" i="2"/>
  <c r="D28" i="2"/>
  <c r="E28" i="2"/>
  <c r="F28" i="2"/>
  <c r="C27" i="2"/>
  <c r="D27" i="2"/>
  <c r="E27" i="2"/>
  <c r="F27" i="2"/>
  <c r="C26" i="2"/>
  <c r="D26" i="2"/>
  <c r="E26" i="2"/>
  <c r="F26" i="2"/>
  <c r="C25" i="2"/>
  <c r="D25" i="2"/>
  <c r="E25" i="2"/>
  <c r="F25" i="2"/>
  <c r="C24" i="2"/>
  <c r="D24" i="2"/>
  <c r="E24" i="2"/>
  <c r="F24" i="2"/>
  <c r="C23" i="2"/>
  <c r="D23" i="2"/>
  <c r="E23" i="2"/>
  <c r="F23" i="2"/>
  <c r="C22" i="2"/>
  <c r="D22" i="2"/>
  <c r="E22" i="2"/>
  <c r="F22" i="2"/>
  <c r="C21" i="2"/>
  <c r="D21" i="2"/>
  <c r="E21" i="2"/>
  <c r="F21" i="2"/>
  <c r="C19" i="2"/>
  <c r="D19" i="2"/>
  <c r="E19" i="2"/>
  <c r="F19" i="2"/>
  <c r="C18" i="2"/>
  <c r="D18" i="2"/>
  <c r="E18" i="2"/>
  <c r="F18" i="2"/>
  <c r="C16" i="2"/>
  <c r="D16" i="2"/>
  <c r="E16" i="2"/>
  <c r="F16" i="2"/>
  <c r="C15" i="2"/>
  <c r="D15" i="2"/>
  <c r="E15" i="2"/>
  <c r="F15" i="2"/>
  <c r="C13" i="2"/>
  <c r="D13" i="2"/>
  <c r="E13" i="2"/>
  <c r="F13" i="2"/>
  <c r="C12" i="2"/>
  <c r="D12" i="2"/>
  <c r="E12" i="2"/>
  <c r="F12" i="2"/>
  <c r="C10" i="2"/>
  <c r="D10" i="2"/>
  <c r="E10" i="2"/>
  <c r="F10" i="2"/>
  <c r="C42" i="2"/>
  <c r="D42" i="2"/>
  <c r="E42" i="2"/>
  <c r="F42" i="2"/>
  <c r="C121" i="2"/>
  <c r="D121" i="2"/>
  <c r="E121" i="2"/>
  <c r="F121" i="2"/>
  <c r="C127" i="2"/>
  <c r="D127" i="2"/>
  <c r="E127" i="2"/>
  <c r="F127" i="2"/>
  <c r="C9" i="2"/>
  <c r="D9" i="2"/>
  <c r="E9" i="2"/>
  <c r="F9" i="2"/>
  <c r="H125" i="2"/>
  <c r="I125" i="2"/>
  <c r="J125" i="2"/>
  <c r="K125" i="2"/>
  <c r="H21" i="2"/>
  <c r="I21" i="2"/>
  <c r="H138" i="2"/>
  <c r="I138" i="2"/>
  <c r="J138" i="2"/>
  <c r="H139" i="2"/>
  <c r="I139" i="2"/>
  <c r="J139" i="2"/>
  <c r="K139" i="2"/>
  <c r="H104" i="2"/>
  <c r="I104" i="2"/>
  <c r="J104" i="2"/>
  <c r="K104" i="2"/>
  <c r="H106" i="2"/>
  <c r="I106" i="2"/>
  <c r="J106" i="2"/>
  <c r="K106" i="2"/>
  <c r="C45" i="2"/>
  <c r="D45" i="2"/>
  <c r="E45" i="2"/>
  <c r="F45" i="2"/>
  <c r="C38" i="2"/>
  <c r="D38" i="2"/>
  <c r="E38" i="2"/>
  <c r="F38" i="2"/>
  <c r="C39" i="2"/>
  <c r="D39" i="2"/>
  <c r="E39" i="2"/>
  <c r="F39" i="2"/>
  <c r="C14" i="2"/>
  <c r="D14" i="2"/>
  <c r="E14" i="2"/>
  <c r="F14" i="2"/>
  <c r="C116" i="2"/>
  <c r="D116" i="2"/>
  <c r="E116" i="2"/>
  <c r="F116" i="2"/>
  <c r="C118" i="2"/>
  <c r="D118" i="2"/>
  <c r="E118" i="2"/>
  <c r="F118" i="2"/>
  <c r="C49" i="2"/>
  <c r="D49" i="2"/>
  <c r="E49" i="2"/>
  <c r="F49" i="2"/>
  <c r="C119" i="2"/>
  <c r="D119" i="2"/>
  <c r="E119" i="2"/>
  <c r="F119" i="2"/>
  <c r="C50" i="2"/>
  <c r="D50" i="2"/>
  <c r="E50" i="2"/>
  <c r="F50" i="2"/>
  <c r="C120" i="2"/>
  <c r="D120" i="2"/>
  <c r="E120" i="2"/>
  <c r="F120" i="2"/>
  <c r="C98" i="2"/>
  <c r="D98" i="2"/>
  <c r="E98" i="2"/>
  <c r="F98" i="2"/>
  <c r="C61" i="2"/>
  <c r="D61" i="2"/>
  <c r="E61" i="2"/>
  <c r="F61" i="2"/>
  <c r="C62" i="2"/>
  <c r="D62" i="2"/>
  <c r="E62" i="2"/>
  <c r="F62" i="2"/>
  <c r="C51" i="2"/>
  <c r="D51" i="2"/>
  <c r="E51" i="2"/>
  <c r="F51" i="2"/>
  <c r="C102" i="2"/>
  <c r="D102" i="2"/>
  <c r="E102" i="2"/>
  <c r="F102" i="2"/>
  <c r="C114" i="2"/>
  <c r="D114" i="2"/>
  <c r="E114" i="2"/>
  <c r="F114" i="2"/>
  <c r="G94" i="5"/>
  <c r="K138" i="2"/>
  <c r="G20" i="5"/>
  <c r="H20" i="5"/>
  <c r="H126" i="2"/>
  <c r="I126" i="2"/>
  <c r="J126" i="2"/>
  <c r="K126" i="2"/>
  <c r="H40" i="2"/>
  <c r="I40" i="2"/>
  <c r="J40" i="2"/>
  <c r="H23" i="2"/>
  <c r="I23" i="2"/>
  <c r="H66" i="2"/>
  <c r="I66" i="2"/>
  <c r="J66" i="2"/>
  <c r="K66" i="2"/>
  <c r="H99" i="2"/>
  <c r="I99" i="2"/>
  <c r="J99" i="2"/>
  <c r="K99" i="2"/>
  <c r="H33" i="2"/>
  <c r="C55" i="2"/>
  <c r="D55" i="2"/>
  <c r="E55" i="2"/>
  <c r="F55" i="2"/>
  <c r="C53" i="2"/>
  <c r="D53" i="2"/>
  <c r="E53" i="2"/>
  <c r="F53" i="2"/>
  <c r="C155" i="2"/>
  <c r="D155" i="2"/>
  <c r="C154" i="2"/>
  <c r="D154" i="2"/>
  <c r="K23" i="2"/>
  <c r="K40" i="2"/>
  <c r="G26" i="5"/>
  <c r="I33" i="2"/>
  <c r="I20" i="5"/>
  <c r="H65" i="2"/>
  <c r="I65" i="2"/>
  <c r="J65" i="2"/>
  <c r="K65" i="2"/>
  <c r="H64" i="2"/>
  <c r="H63" i="2"/>
  <c r="H51" i="2"/>
  <c r="C153" i="2"/>
  <c r="D153" i="2"/>
  <c r="M13" i="2"/>
  <c r="M130" i="2"/>
  <c r="H101" i="2"/>
  <c r="I101" i="2"/>
  <c r="G94" i="2"/>
  <c r="I64" i="2"/>
  <c r="I51" i="2"/>
  <c r="I63" i="2"/>
  <c r="J20" i="5"/>
  <c r="H49" i="2"/>
  <c r="H50" i="2"/>
  <c r="I50" i="2"/>
  <c r="J50" i="2"/>
  <c r="H19" i="2"/>
  <c r="H108" i="2"/>
  <c r="I108" i="2"/>
  <c r="H111" i="2"/>
  <c r="I111" i="2"/>
  <c r="H20" i="2"/>
  <c r="H29" i="2"/>
  <c r="I29" i="2"/>
  <c r="H109" i="2"/>
  <c r="I109" i="2"/>
  <c r="H128" i="2"/>
  <c r="I128" i="2"/>
  <c r="H37" i="2"/>
  <c r="I37" i="2"/>
  <c r="H16" i="2"/>
  <c r="I16" i="2"/>
  <c r="H112" i="2"/>
  <c r="I112" i="2"/>
  <c r="J112" i="2"/>
  <c r="K112" i="2"/>
  <c r="H113" i="2"/>
  <c r="I113" i="2"/>
  <c r="H131" i="2"/>
  <c r="I131" i="2"/>
  <c r="H107" i="2"/>
  <c r="I107" i="2"/>
  <c r="H137" i="2"/>
  <c r="I137" i="2"/>
  <c r="H122" i="2"/>
  <c r="I122" i="2"/>
  <c r="H41" i="2"/>
  <c r="I41" i="2"/>
  <c r="H43" i="2"/>
  <c r="I43" i="2"/>
  <c r="H129" i="2"/>
  <c r="I129" i="2"/>
  <c r="H18" i="2"/>
  <c r="I18" i="2"/>
  <c r="H103" i="2"/>
  <c r="I103" i="2"/>
  <c r="H117" i="2"/>
  <c r="I117" i="2"/>
  <c r="H31" i="2"/>
  <c r="I31" i="2"/>
  <c r="H130" i="2"/>
  <c r="I130" i="2"/>
  <c r="H110" i="2"/>
  <c r="I110" i="2"/>
  <c r="H115" i="2"/>
  <c r="I115" i="2"/>
  <c r="H46" i="2"/>
  <c r="I46" i="2"/>
  <c r="H133" i="2"/>
  <c r="I133" i="2"/>
  <c r="H28" i="2"/>
  <c r="H135" i="2"/>
  <c r="I135" i="2"/>
  <c r="H13" i="2"/>
  <c r="H102" i="2"/>
  <c r="I102" i="2"/>
  <c r="K50" i="2"/>
  <c r="I49" i="2"/>
  <c r="J49" i="2"/>
  <c r="G19" i="5"/>
  <c r="H19" i="5"/>
  <c r="I19" i="5"/>
  <c r="J19" i="5"/>
  <c r="I20" i="2"/>
  <c r="G22" i="5"/>
  <c r="H22" i="5"/>
  <c r="I28" i="2"/>
  <c r="G18" i="5"/>
  <c r="I13" i="2"/>
  <c r="G17" i="5"/>
  <c r="I19" i="2"/>
  <c r="G65" i="5"/>
  <c r="G14" i="5"/>
  <c r="H100" i="2"/>
  <c r="I100" i="2"/>
  <c r="H98" i="2"/>
  <c r="I98" i="2"/>
  <c r="J98" i="2"/>
  <c r="H45" i="2"/>
  <c r="I45" i="2"/>
  <c r="H39" i="2"/>
  <c r="H44" i="2"/>
  <c r="H36" i="2"/>
  <c r="I36" i="2"/>
  <c r="H30" i="2"/>
  <c r="H15" i="2"/>
  <c r="I15" i="2"/>
  <c r="H26" i="2"/>
  <c r="H25" i="2"/>
  <c r="I25" i="2"/>
  <c r="M74" i="2"/>
  <c r="M69" i="2"/>
  <c r="K98" i="2"/>
  <c r="K148" i="2"/>
  <c r="K49" i="2"/>
  <c r="I22" i="5"/>
  <c r="J22" i="5"/>
  <c r="J148" i="2"/>
  <c r="I26" i="2"/>
  <c r="G23" i="5"/>
  <c r="H23" i="5"/>
  <c r="I30" i="2"/>
  <c r="G28" i="5"/>
  <c r="H28" i="5"/>
  <c r="I28" i="5"/>
  <c r="J28" i="5"/>
  <c r="I44" i="2"/>
  <c r="G25" i="5"/>
  <c r="I39" i="2"/>
  <c r="G29" i="5"/>
  <c r="H29" i="5"/>
  <c r="I29" i="5"/>
  <c r="J29" i="5"/>
  <c r="G61" i="5"/>
  <c r="H61" i="5"/>
  <c r="I61" i="5"/>
  <c r="J61" i="5"/>
  <c r="H97" i="2"/>
  <c r="I97" i="2"/>
  <c r="H116" i="2"/>
  <c r="I116" i="2"/>
  <c r="H118" i="2"/>
  <c r="I118" i="2"/>
  <c r="H132" i="2"/>
  <c r="I132" i="2"/>
  <c r="H134" i="2"/>
  <c r="I134" i="2"/>
  <c r="H136" i="2"/>
  <c r="I136" i="2"/>
  <c r="H119" i="2"/>
  <c r="I119" i="2"/>
  <c r="H120" i="2"/>
  <c r="I120" i="2"/>
  <c r="H127" i="2"/>
  <c r="I127" i="2"/>
  <c r="H114" i="2"/>
  <c r="I114" i="2"/>
  <c r="H61" i="2"/>
  <c r="H55" i="2"/>
  <c r="H62" i="2"/>
  <c r="H42" i="2"/>
  <c r="I42" i="2"/>
  <c r="I23" i="5"/>
  <c r="G35" i="5"/>
  <c r="H35" i="5"/>
  <c r="I61" i="2"/>
  <c r="G36" i="5"/>
  <c r="I62" i="2"/>
  <c r="G33" i="5"/>
  <c r="H33" i="5"/>
  <c r="I33" i="5"/>
  <c r="J33" i="5"/>
  <c r="I55" i="2"/>
  <c r="G62" i="5"/>
  <c r="G69" i="5"/>
  <c r="G72" i="5"/>
  <c r="G71" i="5"/>
  <c r="G70" i="5"/>
  <c r="G75" i="5"/>
  <c r="H75" i="5"/>
  <c r="G74" i="5"/>
  <c r="G60" i="5"/>
  <c r="G73" i="5"/>
  <c r="H60" i="2"/>
  <c r="J23" i="5"/>
  <c r="I60" i="2"/>
  <c r="J60" i="2"/>
  <c r="G59" i="5"/>
  <c r="H12" i="2"/>
  <c r="I12" i="2"/>
  <c r="H22" i="2"/>
  <c r="I22" i="2"/>
  <c r="H10" i="2"/>
  <c r="I10" i="2"/>
  <c r="H14" i="2"/>
  <c r="I14" i="2"/>
  <c r="J14" i="2"/>
  <c r="M24" i="2"/>
  <c r="M119" i="2"/>
  <c r="K14" i="2"/>
  <c r="K60" i="2"/>
  <c r="J94" i="2"/>
  <c r="G21" i="5"/>
  <c r="H21" i="5"/>
  <c r="G11" i="5"/>
  <c r="G13" i="5"/>
  <c r="H73" i="2"/>
  <c r="K94" i="2"/>
  <c r="K158" i="2"/>
  <c r="I21" i="5"/>
  <c r="G12" i="5"/>
  <c r="AB27" i="19"/>
  <c r="H9" i="2"/>
  <c r="I9" i="2"/>
  <c r="K160" i="2"/>
  <c r="C5" i="5"/>
  <c r="J21" i="5"/>
  <c r="G10" i="5"/>
  <c r="H27" i="2"/>
  <c r="I27" i="2"/>
  <c r="I94" i="2"/>
  <c r="G108" i="20"/>
  <c r="F108" i="20"/>
  <c r="G102" i="20"/>
  <c r="F102" i="20"/>
  <c r="G96" i="20"/>
  <c r="F96" i="20"/>
  <c r="H153" i="2"/>
  <c r="G95" i="5"/>
  <c r="H95" i="5"/>
  <c r="I153" i="2"/>
  <c r="I156" i="2"/>
  <c r="H156" i="2"/>
  <c r="C4" i="23"/>
  <c r="F11" i="23"/>
  <c r="C5" i="23"/>
  <c r="C6" i="23"/>
  <c r="C7" i="23"/>
  <c r="C9" i="23"/>
  <c r="C10" i="23"/>
  <c r="C11" i="23"/>
  <c r="O28" i="30"/>
  <c r="E28" i="30"/>
  <c r="E23" i="30"/>
  <c r="C17" i="30"/>
  <c r="S11" i="30"/>
  <c r="C16" i="30"/>
  <c r="Q11" i="30"/>
  <c r="Q10" i="30"/>
  <c r="C15" i="30"/>
  <c r="R11" i="30"/>
  <c r="C14" i="30"/>
  <c r="N11" i="30"/>
  <c r="C13" i="30"/>
  <c r="K11" i="30"/>
  <c r="C12" i="30"/>
  <c r="M11" i="30"/>
  <c r="C11" i="30"/>
  <c r="P11" i="30"/>
  <c r="P10" i="30"/>
  <c r="C10" i="30"/>
  <c r="I11" i="30"/>
  <c r="I10" i="30"/>
  <c r="C9" i="30"/>
  <c r="H11" i="30"/>
  <c r="C8" i="30"/>
  <c r="L11" i="30"/>
  <c r="C7" i="30"/>
  <c r="O11" i="30"/>
  <c r="C6" i="30"/>
  <c r="G11" i="30"/>
  <c r="C5" i="30"/>
  <c r="J11" i="30"/>
  <c r="C4" i="30"/>
  <c r="K10" i="30"/>
  <c r="R10" i="30"/>
  <c r="C18" i="30"/>
  <c r="M10" i="30"/>
  <c r="N10" i="30"/>
  <c r="G10" i="30"/>
  <c r="O10" i="30"/>
  <c r="S21" i="30"/>
  <c r="M20" i="30"/>
  <c r="Q20" i="30"/>
  <c r="L20" i="30"/>
  <c r="I21" i="30"/>
  <c r="S20" i="30"/>
  <c r="L21" i="30"/>
  <c r="M21" i="30"/>
  <c r="I20" i="30"/>
  <c r="Q21" i="30"/>
  <c r="L10" i="30"/>
  <c r="H10" i="30"/>
  <c r="J10" i="30"/>
  <c r="F11" i="30"/>
  <c r="G20" i="30"/>
  <c r="O20" i="30"/>
  <c r="G21" i="30"/>
  <c r="O21" i="30"/>
  <c r="W25" i="30"/>
  <c r="N20" i="30"/>
  <c r="N21" i="30"/>
  <c r="H20" i="30"/>
  <c r="P20" i="30"/>
  <c r="H21" i="30"/>
  <c r="P21" i="30"/>
  <c r="J20" i="30"/>
  <c r="R20" i="30"/>
  <c r="J21" i="30"/>
  <c r="R21" i="30"/>
  <c r="K20" i="30"/>
  <c r="K21" i="30"/>
  <c r="W24" i="30"/>
  <c r="T21" i="30"/>
  <c r="U21" i="30"/>
  <c r="G30" i="30"/>
  <c r="T11" i="30"/>
  <c r="Q30" i="30"/>
  <c r="F10" i="30"/>
  <c r="R30" i="30"/>
  <c r="H30" i="30"/>
  <c r="AB41" i="29"/>
  <c r="AB39" i="29"/>
  <c r="AB38" i="29"/>
  <c r="C31" i="29"/>
  <c r="D28" i="29"/>
  <c r="D27" i="29"/>
  <c r="D26" i="29"/>
  <c r="D25" i="29"/>
  <c r="D24" i="29"/>
  <c r="D23" i="29"/>
  <c r="D34" i="29"/>
  <c r="D108" i="17"/>
  <c r="G7" i="29"/>
  <c r="AB37" i="29"/>
  <c r="AA37" i="29"/>
  <c r="E10" i="29"/>
  <c r="G10" i="29"/>
  <c r="D35" i="29"/>
  <c r="D109" i="17"/>
  <c r="C35" i="29"/>
  <c r="D22" i="29"/>
  <c r="AB34" i="29"/>
  <c r="AA34" i="29"/>
  <c r="D33" i="29"/>
  <c r="D107" i="17"/>
  <c r="C34" i="29"/>
  <c r="AB35" i="29"/>
  <c r="E8" i="29"/>
  <c r="G8" i="29"/>
  <c r="AA35" i="29"/>
  <c r="H14" i="29"/>
  <c r="F34" i="29"/>
  <c r="E108" i="17"/>
  <c r="F33" i="29"/>
  <c r="E107" i="17"/>
  <c r="F35" i="29"/>
  <c r="E109" i="17"/>
  <c r="AB36" i="29"/>
  <c r="AA36" i="29"/>
  <c r="AA39" i="29"/>
  <c r="E12" i="29"/>
  <c r="G12" i="29"/>
  <c r="C33" i="29"/>
  <c r="AA38" i="29"/>
  <c r="E11" i="29"/>
  <c r="G11" i="29"/>
  <c r="AA41" i="29"/>
  <c r="E14" i="29"/>
  <c r="G14" i="29"/>
  <c r="E9" i="29"/>
  <c r="G9" i="29"/>
  <c r="G15" i="29"/>
  <c r="D102" i="17"/>
  <c r="D96" i="17"/>
  <c r="D101" i="17"/>
  <c r="D95" i="17"/>
  <c r="D103" i="17"/>
  <c r="D97" i="17"/>
  <c r="E34" i="29"/>
  <c r="E33" i="29"/>
  <c r="E35" i="29"/>
  <c r="E28" i="29"/>
  <c r="I14" i="29"/>
  <c r="E97" i="17"/>
  <c r="E103" i="17"/>
  <c r="E95" i="17"/>
  <c r="E101" i="17"/>
  <c r="E96" i="17"/>
  <c r="E102" i="17"/>
  <c r="AJ32" i="26"/>
  <c r="AK32" i="26"/>
  <c r="AC32" i="26"/>
  <c r="AB32" i="26"/>
  <c r="AJ31" i="26"/>
  <c r="P37" i="26"/>
  <c r="P38" i="26"/>
  <c r="S37" i="26"/>
  <c r="S38" i="26"/>
  <c r="R37" i="26"/>
  <c r="R38" i="26"/>
  <c r="Q37" i="26"/>
  <c r="Q38" i="26"/>
  <c r="O37" i="26"/>
  <c r="O38" i="26"/>
  <c r="N37" i="26"/>
  <c r="N38" i="26"/>
  <c r="M37" i="26"/>
  <c r="M38" i="26"/>
  <c r="L37" i="26"/>
  <c r="L38" i="26"/>
  <c r="K37" i="26"/>
  <c r="K38" i="26"/>
  <c r="J37" i="26"/>
  <c r="J38" i="26"/>
  <c r="J6" i="26"/>
  <c r="I37" i="26"/>
  <c r="I38" i="26"/>
  <c r="G37" i="26"/>
  <c r="G38" i="26"/>
  <c r="AK31" i="26"/>
  <c r="AM30" i="26"/>
  <c r="AK40" i="26"/>
  <c r="AJ40" i="26"/>
  <c r="AK39" i="26"/>
  <c r="AJ39" i="26"/>
  <c r="AK38" i="26"/>
  <c r="AJ38" i="26"/>
  <c r="AK37" i="26"/>
  <c r="AJ37" i="26"/>
  <c r="AK36" i="26"/>
  <c r="AJ36" i="26"/>
  <c r="AK35" i="26"/>
  <c r="AJ35" i="26"/>
  <c r="AK34" i="26"/>
  <c r="AJ34" i="26"/>
  <c r="AK33" i="26"/>
  <c r="AJ33" i="26"/>
  <c r="AK30" i="26"/>
  <c r="AJ30" i="26"/>
  <c r="O56" i="26"/>
  <c r="K56" i="26"/>
  <c r="G56" i="26"/>
  <c r="J12" i="5"/>
  <c r="O110" i="5"/>
  <c r="D35" i="27"/>
  <c r="C35" i="27"/>
  <c r="E4" i="27"/>
  <c r="AB41" i="27"/>
  <c r="AA41" i="27"/>
  <c r="AB35" i="27"/>
  <c r="AB36" i="27"/>
  <c r="AB37" i="27"/>
  <c r="AB38" i="27"/>
  <c r="AB39" i="27"/>
  <c r="AA35" i="27"/>
  <c r="AA36" i="27"/>
  <c r="AA37" i="27"/>
  <c r="AA38" i="27"/>
  <c r="AA39" i="27"/>
  <c r="E14" i="27"/>
  <c r="D111" i="20"/>
  <c r="D34" i="27"/>
  <c r="D105" i="20"/>
  <c r="D99" i="20"/>
  <c r="D33" i="27"/>
  <c r="C34" i="27"/>
  <c r="E12" i="27"/>
  <c r="D27" i="27"/>
  <c r="AN30" i="26"/>
  <c r="D110" i="20"/>
  <c r="D109" i="20"/>
  <c r="D104" i="20"/>
  <c r="D98" i="20"/>
  <c r="D97" i="20"/>
  <c r="D103" i="20"/>
  <c r="G14" i="27"/>
  <c r="D28" i="27"/>
  <c r="H37" i="26"/>
  <c r="H38" i="26"/>
  <c r="O53" i="26"/>
  <c r="O54" i="26"/>
  <c r="K53" i="26"/>
  <c r="K54" i="26"/>
  <c r="G54" i="26"/>
  <c r="G53" i="26"/>
  <c r="F27" i="26"/>
  <c r="P27" i="26"/>
  <c r="G19" i="26"/>
  <c r="S6" i="26"/>
  <c r="R6" i="26"/>
  <c r="Q6" i="26"/>
  <c r="P6" i="26"/>
  <c r="O6" i="26"/>
  <c r="N6" i="26"/>
  <c r="M6" i="26"/>
  <c r="L6" i="26"/>
  <c r="K6" i="26"/>
  <c r="I6" i="26"/>
  <c r="G6" i="26"/>
  <c r="D22" i="27"/>
  <c r="D23" i="27"/>
  <c r="D24" i="27"/>
  <c r="D25" i="27"/>
  <c r="D26" i="27"/>
  <c r="C31" i="27"/>
  <c r="H41" i="26"/>
  <c r="I41" i="26"/>
  <c r="J41" i="26"/>
  <c r="K41" i="26"/>
  <c r="L41" i="26"/>
  <c r="M41" i="26"/>
  <c r="N41" i="26"/>
  <c r="O41" i="26"/>
  <c r="P41" i="26"/>
  <c r="Q41" i="26"/>
  <c r="T41" i="26"/>
  <c r="H42" i="26"/>
  <c r="H44" i="26"/>
  <c r="H19" i="26"/>
  <c r="I42" i="26"/>
  <c r="I44" i="26"/>
  <c r="J42" i="26"/>
  <c r="J43" i="26"/>
  <c r="K42" i="26"/>
  <c r="K44" i="26"/>
  <c r="L42" i="26"/>
  <c r="L44" i="26"/>
  <c r="M42" i="26"/>
  <c r="M43" i="26"/>
  <c r="N42" i="26"/>
  <c r="N43" i="26"/>
  <c r="O42" i="26"/>
  <c r="O44" i="26"/>
  <c r="P42" i="26"/>
  <c r="P43" i="26"/>
  <c r="Q42" i="26"/>
  <c r="Q44" i="26"/>
  <c r="R42" i="26"/>
  <c r="R44" i="26"/>
  <c r="T42" i="26"/>
  <c r="G43" i="26"/>
  <c r="T43" i="26"/>
  <c r="G44" i="26"/>
  <c r="T44" i="26"/>
  <c r="H46" i="26"/>
  <c r="H47" i="26"/>
  <c r="I46" i="26"/>
  <c r="I48" i="26"/>
  <c r="J46" i="26"/>
  <c r="J48" i="26"/>
  <c r="K46" i="26"/>
  <c r="K47" i="26"/>
  <c r="L46" i="26"/>
  <c r="L48" i="26"/>
  <c r="M46" i="26"/>
  <c r="M48" i="26"/>
  <c r="N46" i="26"/>
  <c r="N47" i="26"/>
  <c r="O46" i="26"/>
  <c r="O48" i="26"/>
  <c r="P46" i="26"/>
  <c r="P48" i="26"/>
  <c r="Q46" i="26"/>
  <c r="Q48" i="26"/>
  <c r="R46" i="26"/>
  <c r="R48" i="26"/>
  <c r="T46" i="26"/>
  <c r="G47" i="26"/>
  <c r="G20" i="26"/>
  <c r="F58" i="26"/>
  <c r="G48" i="26"/>
  <c r="F52" i="26"/>
  <c r="J52" i="26"/>
  <c r="F53" i="26"/>
  <c r="J53" i="26"/>
  <c r="F54" i="26"/>
  <c r="J54" i="26"/>
  <c r="F56" i="26"/>
  <c r="J56" i="26"/>
  <c r="F57" i="26"/>
  <c r="N57" i="26"/>
  <c r="AB19" i="26"/>
  <c r="J57" i="26"/>
  <c r="N56" i="26"/>
  <c r="F28" i="26"/>
  <c r="P44" i="26"/>
  <c r="P19" i="26"/>
  <c r="N54" i="26"/>
  <c r="O43" i="26"/>
  <c r="O19" i="26"/>
  <c r="E34" i="27"/>
  <c r="E35" i="27"/>
  <c r="E33" i="27"/>
  <c r="F34" i="27"/>
  <c r="F33" i="27"/>
  <c r="F35" i="27"/>
  <c r="J44" i="26"/>
  <c r="J19" i="26"/>
  <c r="R43" i="26"/>
  <c r="R19" i="26"/>
  <c r="J14" i="27"/>
  <c r="E28" i="27"/>
  <c r="I14" i="27"/>
  <c r="T19" i="26"/>
  <c r="K43" i="26"/>
  <c r="K19" i="26"/>
  <c r="H43" i="26"/>
  <c r="R47" i="26"/>
  <c r="J47" i="26"/>
  <c r="M44" i="26"/>
  <c r="M19" i="26"/>
  <c r="S19" i="26"/>
  <c r="G12" i="27"/>
  <c r="P47" i="26"/>
  <c r="O47" i="26"/>
  <c r="H48" i="26"/>
  <c r="M47" i="26"/>
  <c r="K48" i="26"/>
  <c r="E9" i="27"/>
  <c r="G9" i="27"/>
  <c r="E8" i="27"/>
  <c r="G8" i="27"/>
  <c r="E11" i="27"/>
  <c r="G11" i="27"/>
  <c r="E10" i="27"/>
  <c r="G10" i="27"/>
  <c r="J58" i="26"/>
  <c r="N58" i="26"/>
  <c r="N53" i="26"/>
  <c r="L47" i="26"/>
  <c r="N44" i="26"/>
  <c r="N19" i="26"/>
  <c r="L43" i="26"/>
  <c r="L19" i="26"/>
  <c r="N48" i="26"/>
  <c r="N52" i="26"/>
  <c r="Q47" i="26"/>
  <c r="I47" i="26"/>
  <c r="Q43" i="26"/>
  <c r="Q19" i="26"/>
  <c r="I43" i="26"/>
  <c r="I19" i="26"/>
  <c r="P28" i="26"/>
  <c r="E97" i="20"/>
  <c r="E111" i="20"/>
  <c r="E109" i="20"/>
  <c r="E110" i="20"/>
  <c r="E103" i="20"/>
  <c r="E99" i="20"/>
  <c r="E105" i="20"/>
  <c r="E98" i="20"/>
  <c r="E104" i="20"/>
  <c r="F28" i="27"/>
  <c r="K14" i="27"/>
  <c r="AC19" i="26"/>
  <c r="M73" i="2"/>
  <c r="AC40" i="26"/>
  <c r="AC39" i="26"/>
  <c r="AC38" i="26"/>
  <c r="AC37" i="26"/>
  <c r="AC36" i="26"/>
  <c r="AC35" i="26"/>
  <c r="AC34" i="26"/>
  <c r="AC33" i="26"/>
  <c r="AC31" i="26"/>
  <c r="AC30" i="26"/>
  <c r="AB40" i="26"/>
  <c r="AB39" i="26"/>
  <c r="AB38" i="26"/>
  <c r="AB37" i="26"/>
  <c r="AB36" i="26"/>
  <c r="AB35" i="26"/>
  <c r="AB34" i="26"/>
  <c r="AB33" i="26"/>
  <c r="AB31" i="26"/>
  <c r="AB30" i="26"/>
  <c r="AE30" i="26"/>
  <c r="AF30" i="26"/>
  <c r="F28" i="30"/>
  <c r="P28" i="30"/>
  <c r="E31" i="29"/>
  <c r="G4" i="29"/>
  <c r="F4" i="29"/>
  <c r="I45" i="26"/>
  <c r="I20" i="26"/>
  <c r="Q45" i="26"/>
  <c r="Q20" i="26"/>
  <c r="J45" i="26"/>
  <c r="J20" i="26"/>
  <c r="R45" i="26"/>
  <c r="R20" i="26"/>
  <c r="P45" i="26"/>
  <c r="P20" i="26"/>
  <c r="K45" i="26"/>
  <c r="K20" i="26"/>
  <c r="L45" i="26"/>
  <c r="L20" i="26"/>
  <c r="T45" i="26"/>
  <c r="N45" i="26"/>
  <c r="N20" i="26"/>
  <c r="O45" i="26"/>
  <c r="O20" i="26"/>
  <c r="M45" i="26"/>
  <c r="M20" i="26"/>
  <c r="H45" i="26"/>
  <c r="H20" i="26"/>
  <c r="G27" i="26"/>
  <c r="Q27" i="26"/>
  <c r="D21" i="27"/>
  <c r="E31" i="27"/>
  <c r="G4" i="27"/>
  <c r="F4" i="27"/>
  <c r="O83" i="22"/>
  <c r="O99" i="22"/>
  <c r="O114" i="22"/>
  <c r="G114" i="22"/>
  <c r="G99" i="22"/>
  <c r="G83" i="22"/>
  <c r="G67" i="22"/>
  <c r="O67" i="22"/>
  <c r="C51" i="22"/>
  <c r="O51" i="22"/>
  <c r="K51" i="22"/>
  <c r="C27" i="22"/>
  <c r="K35" i="22"/>
  <c r="C35" i="22"/>
  <c r="G35" i="22"/>
  <c r="O35" i="22"/>
  <c r="G51" i="22"/>
  <c r="M68" i="2"/>
  <c r="S17" i="5"/>
  <c r="AM30" i="19"/>
  <c r="J69" i="5"/>
  <c r="O120" i="5"/>
  <c r="M106" i="2"/>
  <c r="M107" i="2"/>
  <c r="M108" i="2"/>
  <c r="M109" i="2"/>
  <c r="M110" i="2"/>
  <c r="M111" i="2"/>
  <c r="M112" i="2"/>
  <c r="M113" i="2"/>
  <c r="M114" i="2"/>
  <c r="M115" i="2"/>
  <c r="M116" i="2"/>
  <c r="M117" i="2"/>
  <c r="M118" i="2"/>
  <c r="M120" i="2"/>
  <c r="M121" i="2"/>
  <c r="M122" i="2"/>
  <c r="M123" i="2"/>
  <c r="M124" i="2"/>
  <c r="M125" i="2"/>
  <c r="M126" i="2"/>
  <c r="M127" i="2"/>
  <c r="M128" i="2"/>
  <c r="M129" i="2"/>
  <c r="M131" i="2"/>
  <c r="M132" i="2"/>
  <c r="M133" i="2"/>
  <c r="M134" i="2"/>
  <c r="M135" i="2"/>
  <c r="M136" i="2"/>
  <c r="M137" i="2"/>
  <c r="M138" i="2"/>
  <c r="M139" i="2"/>
  <c r="M66" i="2"/>
  <c r="M10" i="2"/>
  <c r="M11" i="2"/>
  <c r="M12" i="2"/>
  <c r="M14" i="2"/>
  <c r="M15" i="2"/>
  <c r="M16" i="2"/>
  <c r="M17" i="2"/>
  <c r="M18" i="2"/>
  <c r="M19" i="2"/>
  <c r="M20" i="2"/>
  <c r="M21" i="2"/>
  <c r="M22" i="2"/>
  <c r="M23" i="2"/>
  <c r="M25" i="2"/>
  <c r="M26" i="2"/>
  <c r="M27" i="2"/>
  <c r="M28" i="2"/>
  <c r="H90" i="5"/>
  <c r="I90" i="5"/>
  <c r="J90" i="5"/>
  <c r="M29" i="2"/>
  <c r="M30" i="2"/>
  <c r="H86" i="5"/>
  <c r="I86" i="5"/>
  <c r="J86" i="5"/>
  <c r="M31" i="2"/>
  <c r="M32" i="2"/>
  <c r="M33" i="2"/>
  <c r="M35" i="2"/>
  <c r="M36" i="2"/>
  <c r="M37" i="2"/>
  <c r="M38" i="2"/>
  <c r="M39" i="2"/>
  <c r="M40" i="2"/>
  <c r="M41" i="2"/>
  <c r="M42" i="2"/>
  <c r="M43" i="2"/>
  <c r="M44" i="2"/>
  <c r="M45" i="2"/>
  <c r="M46" i="2"/>
  <c r="M49" i="2"/>
  <c r="M50" i="2"/>
  <c r="M51" i="2"/>
  <c r="M52" i="2"/>
  <c r="M53" i="2"/>
  <c r="M54" i="2"/>
  <c r="M55" i="2"/>
  <c r="M60" i="2"/>
  <c r="M61" i="2"/>
  <c r="M62" i="2"/>
  <c r="M63" i="2"/>
  <c r="M64" i="2"/>
  <c r="M65" i="2"/>
  <c r="H91" i="5"/>
  <c r="I91" i="5"/>
  <c r="J91" i="5"/>
  <c r="E89" i="5"/>
  <c r="G89" i="5"/>
  <c r="H89" i="5"/>
  <c r="H88" i="5"/>
  <c r="H85" i="5"/>
  <c r="I85" i="5"/>
  <c r="J85" i="5"/>
  <c r="E88" i="5"/>
  <c r="E85" i="5"/>
  <c r="G85" i="5"/>
  <c r="E86" i="5"/>
  <c r="G86" i="5"/>
  <c r="E90" i="5"/>
  <c r="G90" i="5"/>
  <c r="E83" i="5"/>
  <c r="E91" i="5"/>
  <c r="I88" i="5"/>
  <c r="T15" i="5"/>
  <c r="I89" i="5"/>
  <c r="T18" i="5"/>
  <c r="T110" i="5"/>
  <c r="G91" i="5"/>
  <c r="G88" i="5"/>
  <c r="S15" i="5"/>
  <c r="S18" i="5"/>
  <c r="S110" i="5"/>
  <c r="G83" i="5"/>
  <c r="J89" i="5"/>
  <c r="V18" i="5"/>
  <c r="V110" i="5"/>
  <c r="U18" i="5"/>
  <c r="U110" i="5"/>
  <c r="J88" i="5"/>
  <c r="V15" i="5"/>
  <c r="U15" i="5"/>
  <c r="T35" i="19"/>
  <c r="H36" i="19"/>
  <c r="G6" i="23"/>
  <c r="S6" i="23"/>
  <c r="AB50" i="18"/>
  <c r="AA50" i="18"/>
  <c r="Z50" i="18"/>
  <c r="Y50" i="18"/>
  <c r="S115" i="18"/>
  <c r="Q115" i="18"/>
  <c r="I115" i="18"/>
  <c r="G115" i="18"/>
  <c r="S100" i="18"/>
  <c r="Q100" i="18"/>
  <c r="I100" i="18"/>
  <c r="G100" i="18"/>
  <c r="S84" i="18"/>
  <c r="Q84" i="18"/>
  <c r="I84" i="18"/>
  <c r="G84" i="18"/>
  <c r="S68" i="18"/>
  <c r="Q68" i="18"/>
  <c r="I68" i="18"/>
  <c r="G68" i="18"/>
  <c r="S52" i="18"/>
  <c r="Q52" i="18"/>
  <c r="I52" i="18"/>
  <c r="G52" i="18"/>
  <c r="F54" i="19"/>
  <c r="F53" i="19"/>
  <c r="F52" i="19"/>
  <c r="F48" i="19"/>
  <c r="F58" i="19"/>
  <c r="F47" i="19"/>
  <c r="F57" i="19"/>
  <c r="F46" i="19"/>
  <c r="F56" i="19"/>
  <c r="F45" i="19"/>
  <c r="F55" i="19"/>
  <c r="J55" i="19"/>
  <c r="N55" i="19"/>
  <c r="J56" i="19"/>
  <c r="N56" i="19"/>
  <c r="N58" i="19"/>
  <c r="J58" i="19"/>
  <c r="N57" i="19"/>
  <c r="J57" i="19"/>
  <c r="J52" i="19"/>
  <c r="N52" i="19"/>
  <c r="J53" i="19"/>
  <c r="N53" i="19"/>
  <c r="J54" i="19"/>
  <c r="N54" i="19"/>
  <c r="M99" i="2"/>
  <c r="M115" i="18"/>
  <c r="C100" i="18"/>
  <c r="C52" i="18"/>
  <c r="C84" i="18"/>
  <c r="C68" i="18"/>
  <c r="M100" i="18"/>
  <c r="M84" i="18"/>
  <c r="M68" i="18"/>
  <c r="M52" i="18"/>
  <c r="C115" i="18"/>
  <c r="D21" i="17"/>
  <c r="H11" i="5"/>
  <c r="E4" i="22"/>
  <c r="M111" i="5"/>
  <c r="I11" i="5"/>
  <c r="E4" i="18"/>
  <c r="E15" i="18"/>
  <c r="E15" i="22"/>
  <c r="E16" i="18"/>
  <c r="E16" i="22"/>
  <c r="E12" i="18"/>
  <c r="P15" i="18"/>
  <c r="M112" i="5"/>
  <c r="Q11" i="24"/>
  <c r="N111" i="5"/>
  <c r="I10" i="5"/>
  <c r="U23" i="5"/>
  <c r="E11" i="18"/>
  <c r="J11" i="5"/>
  <c r="T45" i="19"/>
  <c r="C17" i="23"/>
  <c r="S11" i="23"/>
  <c r="K16" i="18"/>
  <c r="G16" i="18"/>
  <c r="I16" i="18"/>
  <c r="K15" i="18"/>
  <c r="I15" i="18"/>
  <c r="G15" i="18"/>
  <c r="P15" i="22"/>
  <c r="T15" i="22"/>
  <c r="T15" i="18"/>
  <c r="R15" i="18"/>
  <c r="V15" i="18"/>
  <c r="I15" i="22"/>
  <c r="G15" i="22"/>
  <c r="I16" i="22"/>
  <c r="G16" i="22"/>
  <c r="O111" i="5"/>
  <c r="J124" i="5"/>
  <c r="N112" i="5"/>
  <c r="V23" i="5"/>
  <c r="J10" i="5"/>
  <c r="S21" i="23"/>
  <c r="T41" i="19"/>
  <c r="S20" i="23"/>
  <c r="R15" i="22"/>
  <c r="O112" i="5"/>
  <c r="O57" i="19"/>
  <c r="O57" i="26"/>
  <c r="O53" i="19"/>
  <c r="G53" i="19"/>
  <c r="T42" i="19"/>
  <c r="T46" i="19"/>
  <c r="K53" i="19"/>
  <c r="K57" i="19"/>
  <c r="K57" i="26"/>
  <c r="G57" i="19"/>
  <c r="G57" i="26"/>
  <c r="T47" i="26"/>
  <c r="T47" i="19"/>
  <c r="T43" i="19"/>
  <c r="S38" i="19"/>
  <c r="S37" i="19"/>
  <c r="S6" i="19"/>
  <c r="S20" i="26"/>
  <c r="M98" i="2"/>
  <c r="H87" i="5"/>
  <c r="I87" i="5"/>
  <c r="J87" i="5"/>
  <c r="M100" i="2"/>
  <c r="H84" i="5"/>
  <c r="I84" i="5"/>
  <c r="J84" i="5"/>
  <c r="M101" i="2"/>
  <c r="M102" i="2"/>
  <c r="M103" i="2"/>
  <c r="M104" i="2"/>
  <c r="M105" i="2"/>
  <c r="M151" i="2"/>
  <c r="M152" i="2"/>
  <c r="M153" i="2"/>
  <c r="M154" i="2"/>
  <c r="M155" i="2"/>
  <c r="E84" i="5"/>
  <c r="G84" i="5"/>
  <c r="E87" i="5"/>
  <c r="S20" i="19"/>
  <c r="S19" i="19"/>
  <c r="E97" i="5"/>
  <c r="G87" i="5"/>
  <c r="R21" i="23"/>
  <c r="R20" i="23"/>
  <c r="I124" i="5"/>
  <c r="H74" i="5"/>
  <c r="I74" i="5"/>
  <c r="H73" i="5"/>
  <c r="J74" i="5"/>
  <c r="I73" i="5"/>
  <c r="S13" i="5"/>
  <c r="J73" i="5"/>
  <c r="H59" i="5"/>
  <c r="S22" i="5"/>
  <c r="T17" i="5"/>
  <c r="I59" i="5"/>
  <c r="T13" i="5"/>
  <c r="U13" i="5"/>
  <c r="J59" i="5"/>
  <c r="U17" i="5"/>
  <c r="V17" i="5"/>
  <c r="T22" i="5"/>
  <c r="S11" i="5"/>
  <c r="S14" i="5"/>
  <c r="H62" i="5"/>
  <c r="V13" i="5"/>
  <c r="U22" i="5"/>
  <c r="V22" i="5"/>
  <c r="I62" i="5"/>
  <c r="I63" i="5"/>
  <c r="H60" i="5"/>
  <c r="T16" i="5"/>
  <c r="V21" i="5"/>
  <c r="J62" i="5"/>
  <c r="I60" i="5"/>
  <c r="T11" i="5"/>
  <c r="T14" i="5"/>
  <c r="J60" i="5"/>
  <c r="J63" i="5"/>
  <c r="U11" i="5"/>
  <c r="V11" i="5"/>
  <c r="U14" i="5"/>
  <c r="U16" i="5"/>
  <c r="C14" i="23"/>
  <c r="N11" i="23"/>
  <c r="C15" i="23"/>
  <c r="R11" i="23"/>
  <c r="R10" i="23"/>
  <c r="C16" i="23"/>
  <c r="O124" i="5"/>
  <c r="V16" i="5"/>
  <c r="V14" i="5"/>
  <c r="Q11" i="23"/>
  <c r="AC17" i="19"/>
  <c r="R37" i="19"/>
  <c r="R38" i="19"/>
  <c r="R6" i="19"/>
  <c r="Q10" i="23"/>
  <c r="Q21" i="23"/>
  <c r="Q20" i="23"/>
  <c r="V10" i="5"/>
  <c r="R46" i="19"/>
  <c r="R42" i="19"/>
  <c r="H42" i="19"/>
  <c r="R43" i="19"/>
  <c r="R47" i="19"/>
  <c r="R44" i="19"/>
  <c r="R48" i="19"/>
  <c r="H41" i="19"/>
  <c r="R45" i="19"/>
  <c r="R20" i="19"/>
  <c r="R41" i="19"/>
  <c r="R19" i="19"/>
  <c r="C16" i="26"/>
  <c r="R11" i="26"/>
  <c r="R10" i="26"/>
  <c r="R23" i="26"/>
  <c r="O28" i="23"/>
  <c r="E28" i="23"/>
  <c r="E23" i="23"/>
  <c r="O58" i="19"/>
  <c r="O58" i="26"/>
  <c r="P29" i="26"/>
  <c r="Q42" i="19"/>
  <c r="K58" i="19"/>
  <c r="K58" i="26"/>
  <c r="F29" i="26"/>
  <c r="T48" i="26"/>
  <c r="T20" i="26"/>
  <c r="T48" i="19"/>
  <c r="T20" i="19"/>
  <c r="G58" i="19"/>
  <c r="AB20" i="19"/>
  <c r="AC20" i="19"/>
  <c r="G58" i="26"/>
  <c r="AB20" i="26"/>
  <c r="AC20" i="26"/>
  <c r="L88" i="17"/>
  <c r="L81" i="17"/>
  <c r="L74" i="17"/>
  <c r="L67" i="17"/>
  <c r="L60" i="17"/>
  <c r="L53" i="17"/>
  <c r="L46" i="17"/>
  <c r="L39" i="17"/>
  <c r="L32" i="17"/>
  <c r="D88" i="17"/>
  <c r="D81" i="17"/>
  <c r="D67" i="17"/>
  <c r="D60" i="17"/>
  <c r="D53" i="17"/>
  <c r="D39" i="17"/>
  <c r="D32" i="17"/>
  <c r="P17" i="17"/>
  <c r="E25" i="17"/>
  <c r="E106" i="17"/>
  <c r="E100" i="17"/>
  <c r="E94" i="17"/>
  <c r="C83" i="22"/>
  <c r="K114" i="22"/>
  <c r="K83" i="22"/>
  <c r="C67" i="22"/>
  <c r="C114" i="22"/>
  <c r="C99" i="22"/>
  <c r="K99" i="22"/>
  <c r="K67" i="22"/>
  <c r="M81" i="17"/>
  <c r="M67" i="17"/>
  <c r="M53" i="17"/>
  <c r="M39" i="17"/>
  <c r="M88" i="17"/>
  <c r="M74" i="17"/>
  <c r="M60" i="17"/>
  <c r="M46" i="17"/>
  <c r="M32" i="17"/>
  <c r="E81" i="17"/>
  <c r="E60" i="17"/>
  <c r="E88" i="17"/>
  <c r="E67" i="17"/>
  <c r="E74" i="17"/>
  <c r="E53" i="17"/>
  <c r="H25" i="17"/>
  <c r="H106" i="17"/>
  <c r="H100" i="17"/>
  <c r="H94" i="17"/>
  <c r="P88" i="17"/>
  <c r="P74" i="17"/>
  <c r="P60" i="17"/>
  <c r="P46" i="17"/>
  <c r="P32" i="17"/>
  <c r="P81" i="17"/>
  <c r="P67" i="17"/>
  <c r="P53" i="17"/>
  <c r="P39" i="17"/>
  <c r="H88" i="17"/>
  <c r="H67" i="17"/>
  <c r="H74" i="17"/>
  <c r="H53" i="17"/>
  <c r="H81" i="17"/>
  <c r="H60" i="17"/>
  <c r="S36" i="18"/>
  <c r="Q36" i="18"/>
  <c r="I36" i="18"/>
  <c r="G36" i="18"/>
  <c r="M36" i="18"/>
  <c r="C36" i="18"/>
  <c r="Q90" i="20"/>
  <c r="P90" i="20"/>
  <c r="N90" i="20"/>
  <c r="Q83" i="20"/>
  <c r="P83" i="20"/>
  <c r="N83" i="20"/>
  <c r="Q76" i="20"/>
  <c r="P76" i="20"/>
  <c r="N76" i="20"/>
  <c r="Q69" i="20"/>
  <c r="P69" i="20"/>
  <c r="N69" i="20"/>
  <c r="Q62" i="20"/>
  <c r="P62" i="20"/>
  <c r="N62" i="20"/>
  <c r="Q55" i="20"/>
  <c r="P55" i="20"/>
  <c r="N55" i="20"/>
  <c r="Q48" i="20"/>
  <c r="P48" i="20"/>
  <c r="N48" i="20"/>
  <c r="Q41" i="20"/>
  <c r="P41" i="20"/>
  <c r="N41" i="20"/>
  <c r="Q34" i="20"/>
  <c r="P34" i="20"/>
  <c r="N34" i="20"/>
  <c r="R33" i="22"/>
  <c r="N31" i="22"/>
  <c r="N27" i="22"/>
  <c r="N23" i="22"/>
  <c r="J29" i="22"/>
  <c r="J25" i="22"/>
  <c r="M26" i="22"/>
  <c r="I24" i="22"/>
  <c r="J31" i="22"/>
  <c r="J23" i="22"/>
  <c r="N28" i="22"/>
  <c r="I30" i="22"/>
  <c r="M31" i="22"/>
  <c r="M27" i="22"/>
  <c r="M23" i="22"/>
  <c r="I29" i="22"/>
  <c r="I25" i="22"/>
  <c r="J24" i="22"/>
  <c r="M22" i="22"/>
  <c r="N29" i="22"/>
  <c r="M25" i="22"/>
  <c r="I31" i="22"/>
  <c r="I23" i="22"/>
  <c r="J26" i="22"/>
  <c r="M24" i="22"/>
  <c r="I22" i="22"/>
  <c r="N30" i="22"/>
  <c r="N26" i="22"/>
  <c r="N22" i="22"/>
  <c r="J28" i="22"/>
  <c r="I28" i="22"/>
  <c r="J27" i="22"/>
  <c r="M29" i="22"/>
  <c r="I27" i="22"/>
  <c r="J30" i="22"/>
  <c r="M28" i="22"/>
  <c r="I26" i="22"/>
  <c r="M30" i="22"/>
  <c r="N25" i="22"/>
  <c r="N24" i="22"/>
  <c r="J22" i="22"/>
  <c r="O54" i="19"/>
  <c r="Q11" i="17"/>
  <c r="P11" i="17"/>
  <c r="D74" i="22"/>
  <c r="D78" i="22"/>
  <c r="D73" i="22"/>
  <c r="D75" i="22"/>
  <c r="D72" i="22"/>
  <c r="D76" i="22"/>
  <c r="P12" i="17"/>
  <c r="Q12" i="17"/>
  <c r="D77" i="22"/>
  <c r="D71" i="22"/>
  <c r="D70" i="22"/>
  <c r="K54" i="19"/>
  <c r="F28" i="19"/>
  <c r="G54" i="19"/>
  <c r="AB19" i="19"/>
  <c r="AC19" i="19"/>
  <c r="AB16" i="19"/>
  <c r="T44" i="19"/>
  <c r="T19" i="19"/>
  <c r="R33" i="18"/>
  <c r="N24" i="18"/>
  <c r="M26" i="18"/>
  <c r="J28" i="18"/>
  <c r="D44" i="18"/>
  <c r="I30" i="18"/>
  <c r="C46" i="18"/>
  <c r="I22" i="18"/>
  <c r="N31" i="18"/>
  <c r="N23" i="18"/>
  <c r="M25" i="18"/>
  <c r="J27" i="18"/>
  <c r="D43" i="18"/>
  <c r="I29" i="18"/>
  <c r="N22" i="18"/>
  <c r="M24" i="18"/>
  <c r="J26" i="18"/>
  <c r="D42" i="18"/>
  <c r="N29" i="18"/>
  <c r="M31" i="18"/>
  <c r="J25" i="18"/>
  <c r="D41" i="18"/>
  <c r="N28" i="18"/>
  <c r="J24" i="18"/>
  <c r="D40" i="18"/>
  <c r="M29" i="18"/>
  <c r="M28" i="18"/>
  <c r="I24" i="18"/>
  <c r="C40" i="18"/>
  <c r="J29" i="18"/>
  <c r="I28" i="18"/>
  <c r="C44" i="18"/>
  <c r="I26" i="18"/>
  <c r="C42" i="18"/>
  <c r="J31" i="18"/>
  <c r="D47" i="18"/>
  <c r="I25" i="18"/>
  <c r="C41" i="18"/>
  <c r="J30" i="18"/>
  <c r="D46" i="18"/>
  <c r="M27" i="18"/>
  <c r="I31" i="18"/>
  <c r="C47" i="18"/>
  <c r="N30" i="18"/>
  <c r="M23" i="18"/>
  <c r="I27" i="18"/>
  <c r="C43" i="18"/>
  <c r="M30" i="18"/>
  <c r="M22" i="18"/>
  <c r="M38" i="18"/>
  <c r="N27" i="18"/>
  <c r="J23" i="18"/>
  <c r="D39" i="18"/>
  <c r="J22" i="18"/>
  <c r="D38" i="18"/>
  <c r="N25" i="18"/>
  <c r="I23" i="18"/>
  <c r="C39" i="18"/>
  <c r="N26" i="18"/>
  <c r="C54" i="18"/>
  <c r="H15" i="18"/>
  <c r="D30" i="18"/>
  <c r="S15" i="18"/>
  <c r="D124" i="18"/>
  <c r="D92" i="20"/>
  <c r="D45" i="18"/>
  <c r="D48" i="18"/>
  <c r="C124" i="18"/>
  <c r="D85" i="20"/>
  <c r="C45" i="18"/>
  <c r="D24" i="18"/>
  <c r="H16" i="18"/>
  <c r="C91" i="18"/>
  <c r="C122" i="18"/>
  <c r="C75" i="18"/>
  <c r="C107" i="18"/>
  <c r="N89" i="18"/>
  <c r="N73" i="18"/>
  <c r="C121" i="18"/>
  <c r="C90" i="18"/>
  <c r="C74" i="18"/>
  <c r="C106" i="18"/>
  <c r="M87" i="18"/>
  <c r="M71" i="18"/>
  <c r="N87" i="18"/>
  <c r="N71" i="18"/>
  <c r="N94" i="18"/>
  <c r="N78" i="18"/>
  <c r="D86" i="18"/>
  <c r="D117" i="18"/>
  <c r="D70" i="18"/>
  <c r="D102" i="18"/>
  <c r="C86" i="18"/>
  <c r="C117" i="18"/>
  <c r="C70" i="18"/>
  <c r="C102" i="18"/>
  <c r="D125" i="18"/>
  <c r="D94" i="18"/>
  <c r="D110" i="18"/>
  <c r="D78" i="18"/>
  <c r="D120" i="18"/>
  <c r="D89" i="18"/>
  <c r="D73" i="18"/>
  <c r="D105" i="18"/>
  <c r="C87" i="18"/>
  <c r="C118" i="18"/>
  <c r="C103" i="18"/>
  <c r="C71" i="18"/>
  <c r="M95" i="18"/>
  <c r="M79" i="18"/>
  <c r="N93" i="18"/>
  <c r="N77" i="18"/>
  <c r="C126" i="18"/>
  <c r="C95" i="18"/>
  <c r="C111" i="18"/>
  <c r="C79" i="18"/>
  <c r="D90" i="18"/>
  <c r="D121" i="18"/>
  <c r="D74" i="18"/>
  <c r="D106" i="18"/>
  <c r="D118" i="18"/>
  <c r="D87" i="18"/>
  <c r="D103" i="18"/>
  <c r="D71" i="18"/>
  <c r="C125" i="18"/>
  <c r="C94" i="18"/>
  <c r="C78" i="18"/>
  <c r="C110" i="18"/>
  <c r="M90" i="18"/>
  <c r="M74" i="18"/>
  <c r="N90" i="18"/>
  <c r="N74" i="18"/>
  <c r="M89" i="18"/>
  <c r="M73" i="18"/>
  <c r="C92" i="18"/>
  <c r="C123" i="18"/>
  <c r="C108" i="18"/>
  <c r="C76" i="18"/>
  <c r="D93" i="18"/>
  <c r="D109" i="18"/>
  <c r="D77" i="18"/>
  <c r="N95" i="18"/>
  <c r="N79" i="18"/>
  <c r="C119" i="18"/>
  <c r="C88" i="18"/>
  <c r="C104" i="18"/>
  <c r="C72" i="18"/>
  <c r="M91" i="18"/>
  <c r="M75" i="18"/>
  <c r="M92" i="18"/>
  <c r="M76" i="18"/>
  <c r="M88" i="18"/>
  <c r="M72" i="18"/>
  <c r="N91" i="18"/>
  <c r="N75" i="18"/>
  <c r="M93" i="18"/>
  <c r="M77" i="18"/>
  <c r="Q10" i="20"/>
  <c r="N86" i="18"/>
  <c r="N70" i="18"/>
  <c r="D92" i="18"/>
  <c r="D123" i="18"/>
  <c r="D76" i="18"/>
  <c r="D108" i="18"/>
  <c r="M86" i="18"/>
  <c r="M70" i="18"/>
  <c r="C120" i="18"/>
  <c r="C89" i="18"/>
  <c r="C105" i="18"/>
  <c r="C73" i="18"/>
  <c r="D88" i="18"/>
  <c r="D119" i="18"/>
  <c r="D104" i="18"/>
  <c r="D72" i="18"/>
  <c r="C93" i="18"/>
  <c r="C109" i="18"/>
  <c r="C77" i="18"/>
  <c r="D63" i="20"/>
  <c r="P10" i="20"/>
  <c r="M94" i="18"/>
  <c r="M78" i="18"/>
  <c r="D126" i="18"/>
  <c r="D95" i="18"/>
  <c r="D79" i="18"/>
  <c r="D111" i="18"/>
  <c r="N92" i="18"/>
  <c r="N76" i="18"/>
  <c r="D122" i="18"/>
  <c r="D91" i="18"/>
  <c r="D75" i="18"/>
  <c r="D107" i="18"/>
  <c r="N88" i="18"/>
  <c r="N72" i="18"/>
  <c r="Q15" i="17"/>
  <c r="Q11" i="20"/>
  <c r="Q14" i="20"/>
  <c r="G90" i="20"/>
  <c r="F90" i="20"/>
  <c r="D90" i="20"/>
  <c r="G83" i="20"/>
  <c r="F83" i="20"/>
  <c r="D83" i="20"/>
  <c r="G76" i="20"/>
  <c r="F76" i="20"/>
  <c r="D76" i="20"/>
  <c r="G69" i="20"/>
  <c r="F69" i="20"/>
  <c r="D69" i="20"/>
  <c r="G62" i="20"/>
  <c r="F62" i="20"/>
  <c r="D62" i="20"/>
  <c r="G55" i="20"/>
  <c r="F55" i="20"/>
  <c r="D55" i="20"/>
  <c r="E30" i="18"/>
  <c r="U15" i="18"/>
  <c r="J15" i="18"/>
  <c r="J16" i="18"/>
  <c r="E24" i="18"/>
  <c r="E25" i="18"/>
  <c r="C48" i="18"/>
  <c r="N63" i="20"/>
  <c r="N71" i="20"/>
  <c r="N64" i="20"/>
  <c r="Q12" i="20"/>
  <c r="Q15" i="20"/>
  <c r="Q13" i="20"/>
  <c r="Q14" i="17"/>
  <c r="Q13" i="17"/>
  <c r="Q16" i="17"/>
  <c r="N70" i="20"/>
  <c r="F24" i="18"/>
  <c r="F30" i="18"/>
  <c r="N57" i="20"/>
  <c r="N56" i="20"/>
  <c r="N72" i="20"/>
  <c r="N65" i="20"/>
  <c r="N58" i="20"/>
  <c r="D22" i="18"/>
  <c r="P73" i="18"/>
  <c r="O71" i="18"/>
  <c r="F72" i="18"/>
  <c r="P44" i="18"/>
  <c r="O104" i="18"/>
  <c r="P72" i="18"/>
  <c r="F71" i="18"/>
  <c r="P74" i="18"/>
  <c r="P71" i="18"/>
  <c r="E76" i="18"/>
  <c r="P39" i="18"/>
  <c r="F70" i="18"/>
  <c r="O105" i="18"/>
  <c r="P70" i="18"/>
  <c r="E79" i="18"/>
  <c r="O78" i="18"/>
  <c r="E78" i="18"/>
  <c r="P40" i="18"/>
  <c r="P46" i="18"/>
  <c r="E71" i="18"/>
  <c r="P102" i="18"/>
  <c r="E70" i="18"/>
  <c r="O79" i="18"/>
  <c r="F79" i="18"/>
  <c r="E77" i="18"/>
  <c r="P47" i="18"/>
  <c r="E104" i="18"/>
  <c r="O102" i="18"/>
  <c r="P79" i="18"/>
  <c r="O77" i="18"/>
  <c r="O63" i="20"/>
  <c r="F78" i="18"/>
  <c r="E75" i="18"/>
  <c r="P41" i="18"/>
  <c r="P38" i="18"/>
  <c r="P75" i="18"/>
  <c r="O70" i="18"/>
  <c r="E108" i="18"/>
  <c r="P78" i="18"/>
  <c r="O76" i="18"/>
  <c r="F77" i="18"/>
  <c r="E74" i="18"/>
  <c r="F74" i="18"/>
  <c r="P77" i="18"/>
  <c r="O70" i="20"/>
  <c r="O75" i="18"/>
  <c r="F76" i="18"/>
  <c r="E73" i="18"/>
  <c r="P42" i="18"/>
  <c r="P43" i="18"/>
  <c r="O72" i="18"/>
  <c r="O108" i="18"/>
  <c r="P76" i="18"/>
  <c r="O74" i="18"/>
  <c r="F75" i="18"/>
  <c r="E72" i="18"/>
  <c r="O73" i="18"/>
  <c r="F73" i="18"/>
  <c r="F46" i="18"/>
  <c r="F47" i="18"/>
  <c r="D34" i="20"/>
  <c r="O56" i="20"/>
  <c r="C11" i="26"/>
  <c r="Q11" i="26"/>
  <c r="Q10" i="26"/>
  <c r="C7" i="26"/>
  <c r="P11" i="26"/>
  <c r="P10" i="26"/>
  <c r="W23" i="26"/>
  <c r="Q23" i="26"/>
  <c r="P23" i="26"/>
  <c r="W22" i="26"/>
  <c r="R4" i="22"/>
  <c r="Q4" i="22"/>
  <c r="G4" i="22"/>
  <c r="F4" i="22"/>
  <c r="H21" i="23"/>
  <c r="G21" i="23"/>
  <c r="I21" i="23"/>
  <c r="P21" i="23"/>
  <c r="O21" i="23"/>
  <c r="N21" i="23"/>
  <c r="M21" i="23"/>
  <c r="K21" i="23"/>
  <c r="L21" i="23"/>
  <c r="J21" i="23"/>
  <c r="L4" i="20"/>
  <c r="F22" i="26"/>
  <c r="P4" i="22"/>
  <c r="P4" i="18"/>
  <c r="AB54" i="18"/>
  <c r="AA54" i="18"/>
  <c r="P10" i="18"/>
  <c r="P12" i="18"/>
  <c r="AB52" i="18"/>
  <c r="AA52" i="18"/>
  <c r="AA51" i="18"/>
  <c r="AB51" i="18"/>
  <c r="P11" i="18"/>
  <c r="AB53" i="18"/>
  <c r="AA53" i="18"/>
  <c r="P9" i="18"/>
  <c r="P7" i="18"/>
  <c r="P8" i="18"/>
  <c r="F27" i="19"/>
  <c r="P27" i="19"/>
  <c r="I45" i="19"/>
  <c r="J45" i="19"/>
  <c r="K45" i="19"/>
  <c r="L45" i="19"/>
  <c r="M45" i="19"/>
  <c r="N45" i="19"/>
  <c r="O45" i="19"/>
  <c r="P45" i="19"/>
  <c r="Q45" i="19"/>
  <c r="H45" i="19"/>
  <c r="I41" i="19"/>
  <c r="J41" i="19"/>
  <c r="K41" i="19"/>
  <c r="L41" i="19"/>
  <c r="M41" i="19"/>
  <c r="O41" i="19"/>
  <c r="P41" i="19"/>
  <c r="Q41" i="19"/>
  <c r="G48" i="19"/>
  <c r="G47" i="19"/>
  <c r="G20" i="19"/>
  <c r="G44" i="19"/>
  <c r="G43" i="19"/>
  <c r="G19" i="19"/>
  <c r="Q37" i="19"/>
  <c r="P38" i="19"/>
  <c r="O38" i="19"/>
  <c r="N37" i="19"/>
  <c r="M37" i="19"/>
  <c r="L38" i="19"/>
  <c r="K38" i="19"/>
  <c r="J37" i="19"/>
  <c r="I37" i="19"/>
  <c r="G37" i="19"/>
  <c r="G38" i="19"/>
  <c r="G6" i="19"/>
  <c r="F10" i="23"/>
  <c r="N38" i="19"/>
  <c r="N6" i="19"/>
  <c r="J38" i="19"/>
  <c r="J6" i="19"/>
  <c r="P37" i="19"/>
  <c r="P6" i="19"/>
  <c r="L6" i="19"/>
  <c r="Q38" i="19"/>
  <c r="Q6" i="19"/>
  <c r="M38" i="19"/>
  <c r="M6" i="19"/>
  <c r="I38" i="19"/>
  <c r="I6" i="19"/>
  <c r="O37" i="19"/>
  <c r="O6" i="19"/>
  <c r="K37" i="19"/>
  <c r="K6" i="19"/>
  <c r="P28" i="19"/>
  <c r="P29" i="19"/>
  <c r="F29" i="19"/>
  <c r="L46" i="19"/>
  <c r="M46" i="19"/>
  <c r="N46" i="19"/>
  <c r="I46" i="19"/>
  <c r="O46" i="19"/>
  <c r="J46" i="19"/>
  <c r="P46" i="19"/>
  <c r="K46" i="19"/>
  <c r="Q46" i="19"/>
  <c r="P42" i="19"/>
  <c r="K42" i="19"/>
  <c r="M42" i="19"/>
  <c r="O42" i="19"/>
  <c r="N42" i="19"/>
  <c r="L42" i="19"/>
  <c r="J42" i="19"/>
  <c r="J43" i="19"/>
  <c r="J44" i="19"/>
  <c r="J19" i="19"/>
  <c r="M44" i="19"/>
  <c r="M43" i="19"/>
  <c r="Q47" i="19"/>
  <c r="Q48" i="19"/>
  <c r="O47" i="19"/>
  <c r="O48" i="19"/>
  <c r="L43" i="19"/>
  <c r="L44" i="19"/>
  <c r="L19" i="19"/>
  <c r="K48" i="19"/>
  <c r="K47" i="19"/>
  <c r="M47" i="19"/>
  <c r="M48" i="19"/>
  <c r="H44" i="19"/>
  <c r="H43" i="19"/>
  <c r="K43" i="19"/>
  <c r="K44" i="19"/>
  <c r="K19" i="19"/>
  <c r="I48" i="19"/>
  <c r="I47" i="19"/>
  <c r="N43" i="19"/>
  <c r="N44" i="19"/>
  <c r="P44" i="19"/>
  <c r="P19" i="19"/>
  <c r="P43" i="19"/>
  <c r="P47" i="19"/>
  <c r="P48" i="19"/>
  <c r="P20" i="19"/>
  <c r="N48" i="19"/>
  <c r="N47" i="19"/>
  <c r="H48" i="19"/>
  <c r="H47" i="19"/>
  <c r="Q43" i="19"/>
  <c r="Q44" i="19"/>
  <c r="I44" i="19"/>
  <c r="I43" i="19"/>
  <c r="O43" i="19"/>
  <c r="O44" i="19"/>
  <c r="O19" i="19"/>
  <c r="J48" i="19"/>
  <c r="J47" i="19"/>
  <c r="L48" i="19"/>
  <c r="L47" i="19"/>
  <c r="L20" i="19"/>
  <c r="H20" i="19"/>
  <c r="H19" i="19"/>
  <c r="J20" i="19"/>
  <c r="N19" i="19"/>
  <c r="M20" i="19"/>
  <c r="Q20" i="19"/>
  <c r="M19" i="19"/>
  <c r="N20" i="19"/>
  <c r="K20" i="19"/>
  <c r="I19" i="19"/>
  <c r="I20" i="19"/>
  <c r="Q19" i="19"/>
  <c r="O20" i="19"/>
  <c r="AC16" i="19"/>
  <c r="S20" i="5"/>
  <c r="H94" i="5"/>
  <c r="S19" i="5"/>
  <c r="S111" i="5"/>
  <c r="H27" i="20"/>
  <c r="T19" i="5"/>
  <c r="T111" i="5"/>
  <c r="T20" i="5"/>
  <c r="I94" i="5"/>
  <c r="I95" i="5"/>
  <c r="R90" i="20"/>
  <c r="R76" i="20"/>
  <c r="R83" i="20"/>
  <c r="R69" i="20"/>
  <c r="R41" i="20"/>
  <c r="R48" i="20"/>
  <c r="R34" i="20"/>
  <c r="R55" i="20"/>
  <c r="R62" i="20"/>
  <c r="H83" i="20"/>
  <c r="H69" i="20"/>
  <c r="H55" i="20"/>
  <c r="H90" i="20"/>
  <c r="H76" i="20"/>
  <c r="H62" i="20"/>
  <c r="I27" i="20"/>
  <c r="G27" i="19"/>
  <c r="F28" i="23"/>
  <c r="I108" i="20"/>
  <c r="I102" i="20"/>
  <c r="I96" i="20"/>
  <c r="U19" i="5"/>
  <c r="U111" i="5"/>
  <c r="J94" i="5"/>
  <c r="U20" i="5"/>
  <c r="J95" i="5"/>
  <c r="S90" i="20"/>
  <c r="S83" i="20"/>
  <c r="S76" i="20"/>
  <c r="S41" i="20"/>
  <c r="S48" i="20"/>
  <c r="S34" i="20"/>
  <c r="S69" i="20"/>
  <c r="S55" i="20"/>
  <c r="S62" i="20"/>
  <c r="I90" i="20"/>
  <c r="I62" i="20"/>
  <c r="I69" i="20"/>
  <c r="I76" i="20"/>
  <c r="I83" i="20"/>
  <c r="I55" i="20"/>
  <c r="V20" i="5"/>
  <c r="C14" i="26"/>
  <c r="O11" i="26"/>
  <c r="O10" i="26"/>
  <c r="O23" i="26"/>
  <c r="V19" i="5"/>
  <c r="V111" i="5"/>
  <c r="G25" i="17"/>
  <c r="C13" i="26"/>
  <c r="L11" i="26"/>
  <c r="L10" i="26"/>
  <c r="L23" i="26"/>
  <c r="G106" i="17"/>
  <c r="G100" i="17"/>
  <c r="G94" i="17"/>
  <c r="O81" i="17"/>
  <c r="O53" i="17"/>
  <c r="G88" i="17"/>
  <c r="G60" i="17"/>
  <c r="O67" i="17"/>
  <c r="O88" i="17"/>
  <c r="O74" i="17"/>
  <c r="O46" i="17"/>
  <c r="G81" i="17"/>
  <c r="G53" i="17"/>
  <c r="O39" i="17"/>
  <c r="G74" i="17"/>
  <c r="O60" i="17"/>
  <c r="O32" i="17"/>
  <c r="G67" i="17"/>
  <c r="L83" i="17"/>
  <c r="G32" i="17"/>
  <c r="L89" i="17"/>
  <c r="L82" i="17"/>
  <c r="L61" i="17"/>
  <c r="D21" i="18"/>
  <c r="R4" i="18"/>
  <c r="Q4" i="18"/>
  <c r="G4" i="18"/>
  <c r="F4" i="18"/>
  <c r="L75" i="17"/>
  <c r="L69" i="17"/>
  <c r="L68" i="17"/>
  <c r="L54" i="17"/>
  <c r="L90" i="17"/>
  <c r="L91" i="17"/>
  <c r="L62" i="17"/>
  <c r="L84" i="17"/>
  <c r="P19" i="22"/>
  <c r="L55" i="17"/>
  <c r="L77" i="17"/>
  <c r="L76" i="17"/>
  <c r="L70" i="17"/>
  <c r="L63" i="17"/>
  <c r="L56" i="17"/>
  <c r="C16" i="19"/>
  <c r="S101" i="5"/>
  <c r="H102" i="5"/>
  <c r="I102" i="5"/>
  <c r="J102" i="5"/>
  <c r="M102" i="5"/>
  <c r="T101" i="5"/>
  <c r="R11" i="19"/>
  <c r="R10" i="19"/>
  <c r="K20" i="23"/>
  <c r="O20" i="23"/>
  <c r="P20" i="23"/>
  <c r="H20" i="23"/>
  <c r="L20" i="23"/>
  <c r="I20" i="23"/>
  <c r="M20" i="23"/>
  <c r="G20" i="23"/>
  <c r="J20" i="23"/>
  <c r="N20" i="23"/>
  <c r="I34" i="20"/>
  <c r="R27" i="20"/>
  <c r="H48" i="20"/>
  <c r="H41" i="20"/>
  <c r="H34" i="20"/>
  <c r="G11" i="23"/>
  <c r="O11" i="23"/>
  <c r="T25" i="23"/>
  <c r="C8" i="23"/>
  <c r="L11" i="23"/>
  <c r="H11" i="23"/>
  <c r="I11" i="23"/>
  <c r="P11" i="23"/>
  <c r="C12" i="23"/>
  <c r="M11" i="23"/>
  <c r="C13" i="23"/>
  <c r="K11" i="23"/>
  <c r="N102" i="5"/>
  <c r="U101" i="5"/>
  <c r="C18" i="23"/>
  <c r="J11" i="23"/>
  <c r="T11" i="23"/>
  <c r="Q30" i="23"/>
  <c r="M10" i="23"/>
  <c r="O102" i="5"/>
  <c r="V101" i="5"/>
  <c r="D13" i="19"/>
  <c r="T21" i="23"/>
  <c r="U21" i="23"/>
  <c r="G30" i="23"/>
  <c r="D30" i="22"/>
  <c r="D29" i="22"/>
  <c r="D28" i="22"/>
  <c r="D24" i="22"/>
  <c r="D23" i="22"/>
  <c r="D22" i="22"/>
  <c r="R12" i="22"/>
  <c r="G12" i="22"/>
  <c r="R11" i="22"/>
  <c r="G11" i="22"/>
  <c r="R10" i="22"/>
  <c r="G10" i="22"/>
  <c r="R9" i="22"/>
  <c r="G9" i="22"/>
  <c r="R8" i="22"/>
  <c r="G8" i="22"/>
  <c r="R7" i="22"/>
  <c r="G7" i="22"/>
  <c r="F22" i="19"/>
  <c r="D12" i="26"/>
  <c r="N120" i="22"/>
  <c r="M119" i="22"/>
  <c r="M116" i="22"/>
  <c r="F125" i="22"/>
  <c r="E125" i="22"/>
  <c r="N91" i="22"/>
  <c r="M90" i="22"/>
  <c r="F86" i="22"/>
  <c r="F94" i="22"/>
  <c r="E93" i="22"/>
  <c r="N121" i="22"/>
  <c r="M120" i="22"/>
  <c r="F117" i="22"/>
  <c r="F116" i="22"/>
  <c r="E118" i="22"/>
  <c r="N92" i="22"/>
  <c r="M91" i="22"/>
  <c r="F87" i="22"/>
  <c r="F85" i="22"/>
  <c r="E94" i="22"/>
  <c r="N122" i="22"/>
  <c r="M121" i="22"/>
  <c r="F118" i="22"/>
  <c r="E119" i="22"/>
  <c r="E117" i="22"/>
  <c r="N93" i="22"/>
  <c r="M92" i="22"/>
  <c r="F88" i="22"/>
  <c r="E87" i="22"/>
  <c r="E86" i="22"/>
  <c r="N123" i="22"/>
  <c r="M122" i="22"/>
  <c r="F119" i="22"/>
  <c r="E120" i="22"/>
  <c r="E116" i="22"/>
  <c r="N94" i="22"/>
  <c r="M93" i="22"/>
  <c r="F89" i="22"/>
  <c r="E88" i="22"/>
  <c r="E85" i="22"/>
  <c r="F120" i="22"/>
  <c r="N124" i="22"/>
  <c r="M123" i="22"/>
  <c r="F121" i="22"/>
  <c r="E121" i="22"/>
  <c r="N87" i="22"/>
  <c r="N86" i="22"/>
  <c r="M94" i="22"/>
  <c r="F90" i="22"/>
  <c r="E89" i="22"/>
  <c r="N117" i="22"/>
  <c r="N125" i="22"/>
  <c r="M124" i="22"/>
  <c r="F122" i="22"/>
  <c r="E122" i="22"/>
  <c r="N88" i="22"/>
  <c r="M87" i="22"/>
  <c r="M86" i="22"/>
  <c r="F91" i="22"/>
  <c r="E90" i="22"/>
  <c r="N118" i="22"/>
  <c r="M117" i="22"/>
  <c r="M125" i="22"/>
  <c r="F123" i="22"/>
  <c r="E123" i="22"/>
  <c r="N89" i="22"/>
  <c r="M88" i="22"/>
  <c r="N85" i="22"/>
  <c r="F92" i="22"/>
  <c r="E91" i="22"/>
  <c r="N119" i="22"/>
  <c r="M118" i="22"/>
  <c r="N116" i="22"/>
  <c r="F124" i="22"/>
  <c r="E124" i="22"/>
  <c r="N90" i="22"/>
  <c r="M89" i="22"/>
  <c r="M85" i="22"/>
  <c r="F93" i="22"/>
  <c r="E92" i="22"/>
  <c r="N106" i="22"/>
  <c r="M105" i="22"/>
  <c r="F102" i="22"/>
  <c r="F110" i="22"/>
  <c r="E108" i="22"/>
  <c r="N74" i="22"/>
  <c r="M72" i="22"/>
  <c r="F69" i="22"/>
  <c r="F78" i="22"/>
  <c r="E78" i="22"/>
  <c r="N107" i="22"/>
  <c r="M106" i="22"/>
  <c r="F103" i="22"/>
  <c r="F101" i="22"/>
  <c r="E109" i="22"/>
  <c r="N75" i="22"/>
  <c r="M73" i="22"/>
  <c r="F71" i="22"/>
  <c r="F70" i="22"/>
  <c r="E71" i="22"/>
  <c r="N108" i="22"/>
  <c r="M107" i="22"/>
  <c r="F104" i="22"/>
  <c r="E102" i="22"/>
  <c r="E110" i="22"/>
  <c r="N76" i="22"/>
  <c r="M74" i="22"/>
  <c r="F72" i="22"/>
  <c r="E72" i="22"/>
  <c r="E70" i="22"/>
  <c r="N109" i="22"/>
  <c r="M108" i="22"/>
  <c r="F105" i="22"/>
  <c r="E103" i="22"/>
  <c r="E101" i="22"/>
  <c r="N77" i="22"/>
  <c r="M75" i="22"/>
  <c r="F73" i="22"/>
  <c r="E73" i="22"/>
  <c r="E69" i="22"/>
  <c r="N102" i="22"/>
  <c r="N110" i="22"/>
  <c r="M109" i="22"/>
  <c r="F106" i="22"/>
  <c r="E104" i="22"/>
  <c r="N70" i="22"/>
  <c r="N78" i="22"/>
  <c r="M76" i="22"/>
  <c r="F74" i="22"/>
  <c r="E74" i="22"/>
  <c r="N103" i="22"/>
  <c r="M102" i="22"/>
  <c r="M110" i="22"/>
  <c r="F107" i="22"/>
  <c r="E105" i="22"/>
  <c r="N71" i="22"/>
  <c r="N69" i="22"/>
  <c r="M77" i="22"/>
  <c r="F75" i="22"/>
  <c r="E75" i="22"/>
  <c r="N104" i="22"/>
  <c r="M103" i="22"/>
  <c r="N101" i="22"/>
  <c r="F108" i="22"/>
  <c r="E106" i="22"/>
  <c r="N72" i="22"/>
  <c r="M70" i="22"/>
  <c r="M78" i="22"/>
  <c r="F76" i="22"/>
  <c r="E76" i="22"/>
  <c r="N105" i="22"/>
  <c r="M104" i="22"/>
  <c r="M101" i="22"/>
  <c r="F109" i="22"/>
  <c r="E107" i="22"/>
  <c r="N73" i="22"/>
  <c r="M71" i="22"/>
  <c r="M69" i="22"/>
  <c r="F77" i="22"/>
  <c r="E77" i="22"/>
  <c r="D13" i="26"/>
  <c r="D12" i="19"/>
  <c r="N14" i="19"/>
  <c r="Y8" i="22"/>
  <c r="P16" i="20"/>
  <c r="E62" i="17"/>
  <c r="E61" i="17"/>
  <c r="E83" i="17"/>
  <c r="D83" i="17"/>
  <c r="D82" i="17"/>
  <c r="D62" i="17"/>
  <c r="D90" i="17"/>
  <c r="D89" i="17"/>
  <c r="E89" i="17"/>
  <c r="E68" i="17"/>
  <c r="E82" i="17"/>
  <c r="E69" i="17"/>
  <c r="D69" i="17"/>
  <c r="D61" i="17"/>
  <c r="D68" i="17"/>
  <c r="M89" i="17"/>
  <c r="M69" i="17"/>
  <c r="M90" i="17"/>
  <c r="M61" i="17"/>
  <c r="M82" i="17"/>
  <c r="E90" i="17"/>
  <c r="M68" i="17"/>
  <c r="M83" i="17"/>
  <c r="M62" i="17"/>
  <c r="D75" i="17"/>
  <c r="D55" i="17"/>
  <c r="D76" i="17"/>
  <c r="M76" i="17"/>
  <c r="M55" i="17"/>
  <c r="E54" i="17"/>
  <c r="D54" i="17"/>
  <c r="M75" i="17"/>
  <c r="E76" i="17"/>
  <c r="M54" i="17"/>
  <c r="E75" i="17"/>
  <c r="E55" i="17"/>
  <c r="E63" i="17"/>
  <c r="D84" i="17"/>
  <c r="D91" i="17"/>
  <c r="E91" i="17"/>
  <c r="D70" i="17"/>
  <c r="E84" i="17"/>
  <c r="D63" i="17"/>
  <c r="E70" i="17"/>
  <c r="M70" i="17"/>
  <c r="M84" i="17"/>
  <c r="M63" i="17"/>
  <c r="M91" i="17"/>
  <c r="P28" i="23"/>
  <c r="P10" i="23"/>
  <c r="O10" i="23"/>
  <c r="T24" i="23"/>
  <c r="N10" i="23"/>
  <c r="L10" i="23"/>
  <c r="K10" i="23"/>
  <c r="J10" i="23"/>
  <c r="I10" i="23"/>
  <c r="H10" i="23"/>
  <c r="M56" i="17"/>
  <c r="E77" i="17"/>
  <c r="D56" i="17"/>
  <c r="D77" i="17"/>
  <c r="E56" i="17"/>
  <c r="M77" i="17"/>
  <c r="Q27" i="19"/>
  <c r="F28" i="17"/>
  <c r="R30" i="23"/>
  <c r="N28" i="17"/>
  <c r="H30" i="23"/>
  <c r="P15" i="17"/>
  <c r="P11" i="20"/>
  <c r="P14" i="20"/>
  <c r="I48" i="20"/>
  <c r="G48" i="20"/>
  <c r="F48" i="20"/>
  <c r="D48" i="20"/>
  <c r="I41" i="20"/>
  <c r="G41" i="20"/>
  <c r="F41" i="20"/>
  <c r="D41" i="20"/>
  <c r="G34" i="20"/>
  <c r="F34" i="20"/>
  <c r="S27" i="20"/>
  <c r="Q27" i="20"/>
  <c r="P27" i="20"/>
  <c r="N27" i="20"/>
  <c r="G27" i="20"/>
  <c r="F27" i="20"/>
  <c r="D29" i="18"/>
  <c r="D28" i="18"/>
  <c r="F117" i="18"/>
  <c r="D23" i="18"/>
  <c r="D27" i="18"/>
  <c r="E52" i="18"/>
  <c r="R12" i="18"/>
  <c r="G12" i="18"/>
  <c r="R11" i="18"/>
  <c r="G11" i="18"/>
  <c r="R10" i="18"/>
  <c r="R9" i="18"/>
  <c r="R8" i="18"/>
  <c r="R7" i="18"/>
  <c r="D21" i="22"/>
  <c r="P110" i="18"/>
  <c r="O47" i="18"/>
  <c r="O110" i="18"/>
  <c r="P86" i="18"/>
  <c r="O118" i="18"/>
  <c r="P124" i="18"/>
  <c r="F120" i="18"/>
  <c r="F126" i="18"/>
  <c r="F95" i="18"/>
  <c r="E54" i="18"/>
  <c r="P57" i="18"/>
  <c r="P63" i="18"/>
  <c r="F58" i="18"/>
  <c r="F119" i="18"/>
  <c r="P62" i="18"/>
  <c r="O87" i="18"/>
  <c r="P118" i="18"/>
  <c r="O125" i="18"/>
  <c r="E121" i="18"/>
  <c r="E87" i="18"/>
  <c r="O58" i="18"/>
  <c r="P54" i="18"/>
  <c r="E59" i="18"/>
  <c r="P123" i="18"/>
  <c r="O119" i="18"/>
  <c r="O88" i="18"/>
  <c r="P119" i="18"/>
  <c r="P125" i="18"/>
  <c r="F121" i="18"/>
  <c r="E117" i="18"/>
  <c r="E88" i="18"/>
  <c r="P58" i="18"/>
  <c r="F59" i="18"/>
  <c r="P95" i="18"/>
  <c r="P88" i="18"/>
  <c r="O89" i="18"/>
  <c r="O120" i="18"/>
  <c r="O126" i="18"/>
  <c r="E122" i="18"/>
  <c r="E86" i="18"/>
  <c r="E89" i="18"/>
  <c r="O54" i="18"/>
  <c r="O59" i="18"/>
  <c r="F54" i="18"/>
  <c r="E60" i="18"/>
  <c r="O86" i="18"/>
  <c r="F94" i="18"/>
  <c r="P89" i="18"/>
  <c r="O90" i="18"/>
  <c r="P120" i="18"/>
  <c r="P126" i="18"/>
  <c r="F122" i="18"/>
  <c r="F87" i="18"/>
  <c r="E90" i="18"/>
  <c r="P59" i="18"/>
  <c r="F60" i="18"/>
  <c r="E61" i="18"/>
  <c r="E56" i="18"/>
  <c r="P90" i="18"/>
  <c r="O91" i="18"/>
  <c r="O121" i="18"/>
  <c r="P117" i="18"/>
  <c r="E123" i="18"/>
  <c r="F88" i="18"/>
  <c r="E91" i="18"/>
  <c r="O60" i="18"/>
  <c r="E57" i="18"/>
  <c r="F61" i="18"/>
  <c r="E63" i="18"/>
  <c r="F125" i="18"/>
  <c r="P56" i="18"/>
  <c r="O63" i="18"/>
  <c r="P91" i="18"/>
  <c r="O92" i="18"/>
  <c r="P121" i="18"/>
  <c r="O117" i="18"/>
  <c r="F123" i="18"/>
  <c r="F89" i="18"/>
  <c r="E92" i="18"/>
  <c r="P60" i="18"/>
  <c r="E55" i="18"/>
  <c r="E62" i="18"/>
  <c r="P61" i="18"/>
  <c r="F86" i="18"/>
  <c r="O124" i="18"/>
  <c r="O57" i="18"/>
  <c r="P92" i="18"/>
  <c r="O93" i="18"/>
  <c r="O122" i="18"/>
  <c r="E118" i="18"/>
  <c r="E124" i="18"/>
  <c r="F90" i="18"/>
  <c r="E93" i="18"/>
  <c r="O55" i="18"/>
  <c r="O61" i="18"/>
  <c r="F55" i="18"/>
  <c r="F62" i="18"/>
  <c r="P55" i="18"/>
  <c r="P87" i="18"/>
  <c r="E58" i="18"/>
  <c r="P93" i="18"/>
  <c r="O94" i="18"/>
  <c r="P122" i="18"/>
  <c r="F118" i="18"/>
  <c r="F124" i="18"/>
  <c r="F91" i="18"/>
  <c r="E94" i="18"/>
  <c r="F93" i="18"/>
  <c r="E126" i="18"/>
  <c r="P94" i="18"/>
  <c r="O95" i="18"/>
  <c r="O123" i="18"/>
  <c r="E119" i="18"/>
  <c r="E125" i="18"/>
  <c r="F92" i="18"/>
  <c r="E95" i="18"/>
  <c r="O56" i="18"/>
  <c r="O62" i="18"/>
  <c r="F56" i="18"/>
  <c r="F63" i="18"/>
  <c r="F57" i="18"/>
  <c r="E120" i="18"/>
  <c r="P103" i="18"/>
  <c r="E105" i="18"/>
  <c r="F103" i="18"/>
  <c r="P106" i="18"/>
  <c r="P109" i="18"/>
  <c r="E111" i="18"/>
  <c r="O40" i="18"/>
  <c r="O43" i="18"/>
  <c r="E41" i="18"/>
  <c r="F104" i="18"/>
  <c r="O46" i="18"/>
  <c r="O106" i="18"/>
  <c r="F107" i="18"/>
  <c r="F109" i="18"/>
  <c r="E47" i="18"/>
  <c r="P105" i="18"/>
  <c r="F110" i="18"/>
  <c r="O38" i="18"/>
  <c r="E110" i="18"/>
  <c r="F41" i="18"/>
  <c r="E107" i="18"/>
  <c r="P45" i="18"/>
  <c r="F111" i="18"/>
  <c r="O39" i="18"/>
  <c r="O103" i="18"/>
  <c r="P111" i="18"/>
  <c r="O42" i="18"/>
  <c r="E39" i="18"/>
  <c r="F38" i="18"/>
  <c r="E38" i="18"/>
  <c r="F39" i="18"/>
  <c r="F102" i="18"/>
  <c r="F42" i="18"/>
  <c r="O45" i="18"/>
  <c r="F106" i="18"/>
  <c r="P108" i="18"/>
  <c r="E45" i="18"/>
  <c r="E43" i="18"/>
  <c r="E103" i="18"/>
  <c r="E46" i="18"/>
  <c r="F43" i="18"/>
  <c r="O109" i="18"/>
  <c r="P104" i="18"/>
  <c r="O111" i="18"/>
  <c r="P107" i="18"/>
  <c r="E109" i="18"/>
  <c r="E84" i="20"/>
  <c r="F45" i="18"/>
  <c r="E44" i="18"/>
  <c r="O107" i="18"/>
  <c r="F108" i="18"/>
  <c r="F44" i="18"/>
  <c r="O44" i="18"/>
  <c r="E106" i="18"/>
  <c r="O41" i="18"/>
  <c r="E102" i="18"/>
  <c r="E40" i="18"/>
  <c r="E42" i="18"/>
  <c r="F105" i="18"/>
  <c r="F40" i="18"/>
  <c r="M114" i="22"/>
  <c r="M51" i="22"/>
  <c r="M99" i="22"/>
  <c r="D27" i="22"/>
  <c r="E51" i="22"/>
  <c r="M83" i="22"/>
  <c r="M67" i="22"/>
  <c r="M35" i="22"/>
  <c r="O115" i="18"/>
  <c r="E100" i="18"/>
  <c r="E84" i="18"/>
  <c r="E68" i="18"/>
  <c r="E115" i="18"/>
  <c r="O100" i="18"/>
  <c r="O52" i="18"/>
  <c r="O68" i="18"/>
  <c r="O84" i="18"/>
  <c r="P14" i="17"/>
  <c r="P13" i="17"/>
  <c r="P16" i="17"/>
  <c r="P13" i="20"/>
  <c r="P12" i="20"/>
  <c r="P15" i="20"/>
  <c r="O83" i="20"/>
  <c r="O76" i="20"/>
  <c r="O90" i="20"/>
  <c r="E36" i="18"/>
  <c r="O36" i="18"/>
  <c r="O62" i="20"/>
  <c r="O55" i="20"/>
  <c r="O69" i="20"/>
  <c r="O34" i="20"/>
  <c r="O41" i="20"/>
  <c r="O48" i="20"/>
  <c r="O27" i="20"/>
  <c r="E76" i="20"/>
  <c r="E83" i="20"/>
  <c r="E55" i="20"/>
  <c r="E90" i="20"/>
  <c r="E62" i="20"/>
  <c r="E69" i="20"/>
  <c r="D91" i="20"/>
  <c r="D71" i="20"/>
  <c r="E41" i="20"/>
  <c r="E48" i="20"/>
  <c r="E34" i="20"/>
  <c r="E99" i="22"/>
  <c r="E67" i="22"/>
  <c r="E114" i="22"/>
  <c r="E83" i="22"/>
  <c r="E63" i="20"/>
  <c r="E71" i="20"/>
  <c r="E35" i="22"/>
  <c r="E91" i="20"/>
  <c r="E64" i="20"/>
  <c r="D78" i="20"/>
  <c r="E85" i="20"/>
  <c r="E92" i="20"/>
  <c r="D70" i="20"/>
  <c r="D56" i="20"/>
  <c r="D64" i="20"/>
  <c r="D57" i="20"/>
  <c r="D84" i="20"/>
  <c r="D77" i="20"/>
  <c r="E70" i="20"/>
  <c r="O71" i="20"/>
  <c r="O72" i="20"/>
  <c r="O64" i="20"/>
  <c r="D93" i="20"/>
  <c r="E57" i="20"/>
  <c r="O57" i="20"/>
  <c r="E77" i="20"/>
  <c r="E56" i="20"/>
  <c r="E78" i="20"/>
  <c r="E65" i="20"/>
  <c r="E86" i="20"/>
  <c r="E93" i="20"/>
  <c r="D72" i="20"/>
  <c r="D86" i="20"/>
  <c r="D79" i="20"/>
  <c r="D65" i="20"/>
  <c r="E72" i="20"/>
  <c r="O65" i="20"/>
  <c r="O58" i="20"/>
  <c r="E58" i="20"/>
  <c r="E79" i="20"/>
  <c r="D58" i="20"/>
  <c r="G46" i="17"/>
  <c r="D46" i="17"/>
  <c r="G39" i="17"/>
  <c r="O25" i="17"/>
  <c r="L25" i="17"/>
  <c r="H32" i="17"/>
  <c r="E39" i="17"/>
  <c r="M25" i="17"/>
  <c r="E32" i="17"/>
  <c r="E46" i="17"/>
  <c r="H46" i="17"/>
  <c r="H39" i="17"/>
  <c r="P25" i="17"/>
  <c r="O28" i="17"/>
  <c r="P28" i="17"/>
  <c r="H28" i="17"/>
  <c r="G28" i="17"/>
  <c r="L14" i="26"/>
  <c r="L13" i="26"/>
  <c r="B3" i="5"/>
  <c r="B2" i="5"/>
  <c r="C13" i="19"/>
  <c r="L11" i="19"/>
  <c r="L10" i="19"/>
  <c r="L14" i="19"/>
  <c r="C5" i="26"/>
  <c r="K11" i="26"/>
  <c r="K10" i="26"/>
  <c r="K23" i="26"/>
  <c r="C8" i="26"/>
  <c r="M11" i="26"/>
  <c r="M10" i="26"/>
  <c r="M23" i="26"/>
  <c r="C12" i="26"/>
  <c r="N11" i="26"/>
  <c r="N10" i="26"/>
  <c r="N14" i="26"/>
  <c r="N13" i="26"/>
  <c r="N23" i="26"/>
  <c r="C12" i="19"/>
  <c r="N11" i="19"/>
  <c r="N10" i="19"/>
  <c r="N13" i="19"/>
  <c r="C7" i="19"/>
  <c r="P11" i="19"/>
  <c r="W23" i="19"/>
  <c r="C11" i="19"/>
  <c r="Q11" i="19"/>
  <c r="C14" i="19"/>
  <c r="Q10" i="19"/>
  <c r="O11" i="19"/>
  <c r="O10" i="19"/>
  <c r="L13" i="19"/>
  <c r="P10" i="19"/>
  <c r="W22" i="19"/>
  <c r="C8" i="19"/>
  <c r="M11" i="19"/>
  <c r="C5" i="19"/>
  <c r="K11" i="19"/>
  <c r="K10" i="19"/>
  <c r="M10" i="19"/>
  <c r="C9" i="26"/>
  <c r="I11" i="26"/>
  <c r="I10" i="26"/>
  <c r="I23" i="26"/>
  <c r="C9" i="19"/>
  <c r="I11" i="19"/>
  <c r="I10" i="19"/>
  <c r="N124" i="5"/>
  <c r="H6" i="26"/>
  <c r="AA39" i="18"/>
  <c r="AB39" i="18"/>
  <c r="E7" i="18"/>
  <c r="AA40" i="18"/>
  <c r="AB40" i="18"/>
  <c r="AA41" i="18"/>
  <c r="AB41" i="18"/>
  <c r="AA42" i="18"/>
  <c r="AB42" i="18"/>
  <c r="E10" i="18"/>
  <c r="AA34" i="27"/>
  <c r="AB34" i="27"/>
  <c r="G10" i="18"/>
  <c r="E8" i="18"/>
  <c r="G8" i="18"/>
  <c r="E7" i="27"/>
  <c r="G7" i="27"/>
  <c r="G15" i="27"/>
  <c r="G7" i="18"/>
  <c r="E9" i="18"/>
  <c r="G9" i="18"/>
  <c r="AD29" i="22"/>
  <c r="V29" i="22"/>
  <c r="AC28" i="22"/>
  <c r="U23" i="22"/>
  <c r="Y8" i="18"/>
  <c r="V26" i="22"/>
  <c r="R26" i="22"/>
  <c r="U28" i="22"/>
  <c r="Q23" i="22"/>
  <c r="Y29" i="22"/>
  <c r="M45" i="18"/>
  <c r="O10" i="20"/>
  <c r="R23" i="22"/>
  <c r="Q29" i="22"/>
  <c r="N10" i="20"/>
  <c r="Q22" i="22"/>
  <c r="R30" i="22"/>
  <c r="Z23" i="22"/>
  <c r="N39" i="18"/>
  <c r="Y22" i="22"/>
  <c r="AC23" i="22"/>
  <c r="C62" i="18"/>
  <c r="S30" i="22"/>
  <c r="M125" i="18"/>
  <c r="M110" i="18"/>
  <c r="D57" i="18"/>
  <c r="N105" i="18"/>
  <c r="T25" i="22"/>
  <c r="N120" i="18"/>
  <c r="M62" i="18"/>
  <c r="AA30" i="22"/>
  <c r="AB25" i="22"/>
  <c r="N57" i="18"/>
  <c r="V27" i="22"/>
  <c r="Q26" i="22"/>
  <c r="Q27" i="22"/>
  <c r="U26" i="22"/>
  <c r="Y26" i="22"/>
  <c r="M42" i="18"/>
  <c r="M40" i="18"/>
  <c r="Y24" i="22"/>
  <c r="AC25" i="22"/>
  <c r="Z25" i="22"/>
  <c r="N41" i="18"/>
  <c r="V24" i="22"/>
  <c r="D56" i="18"/>
  <c r="T24" i="22"/>
  <c r="N119" i="18"/>
  <c r="N104" i="18"/>
  <c r="D60" i="18"/>
  <c r="N123" i="18"/>
  <c r="N108" i="18"/>
  <c r="T28" i="22"/>
  <c r="C60" i="18"/>
  <c r="M123" i="18"/>
  <c r="M108" i="18"/>
  <c r="S28" i="22"/>
  <c r="AD24" i="22"/>
  <c r="N56" i="18"/>
  <c r="AB24" i="22"/>
  <c r="N60" i="18"/>
  <c r="AB28" i="22"/>
  <c r="M60" i="18"/>
  <c r="AA28" i="22"/>
  <c r="U29" i="22"/>
  <c r="R27" i="22"/>
  <c r="Q31" i="22"/>
  <c r="AC29" i="22"/>
  <c r="AC27" i="22"/>
  <c r="Z27" i="22"/>
  <c r="N43" i="18"/>
  <c r="M44" i="18"/>
  <c r="Y28" i="22"/>
  <c r="D58" i="18"/>
  <c r="N106" i="18"/>
  <c r="N121" i="18"/>
  <c r="T26" i="22"/>
  <c r="C59" i="18"/>
  <c r="M122" i="18"/>
  <c r="M107" i="18"/>
  <c r="S27" i="22"/>
  <c r="D54" i="18"/>
  <c r="T22" i="22"/>
  <c r="N117" i="18"/>
  <c r="N102" i="18"/>
  <c r="V31" i="22"/>
  <c r="N58" i="18"/>
  <c r="AB26" i="22"/>
  <c r="AA27" i="22"/>
  <c r="M59" i="18"/>
  <c r="N54" i="18"/>
  <c r="AB22" i="22"/>
  <c r="AD31" i="22"/>
  <c r="N47" i="18"/>
  <c r="Z31" i="22"/>
  <c r="N45" i="18"/>
  <c r="Z29" i="22"/>
  <c r="O11" i="20"/>
  <c r="Y30" i="22"/>
  <c r="M46" i="18"/>
  <c r="AC31" i="22"/>
  <c r="C61" i="18"/>
  <c r="M109" i="18"/>
  <c r="M124" i="18"/>
  <c r="S29" i="22"/>
  <c r="N13" i="20"/>
  <c r="V30" i="22"/>
  <c r="C57" i="18"/>
  <c r="S25" i="22"/>
  <c r="M120" i="18"/>
  <c r="M105" i="18"/>
  <c r="C55" i="18"/>
  <c r="S23" i="22"/>
  <c r="M118" i="18"/>
  <c r="M103" i="18"/>
  <c r="AA29" i="22"/>
  <c r="M61" i="18"/>
  <c r="O13" i="20"/>
  <c r="AD30" i="22"/>
  <c r="M57" i="18"/>
  <c r="AA25" i="22"/>
  <c r="M55" i="18"/>
  <c r="AA23" i="22"/>
  <c r="U31" i="22"/>
  <c r="Z26" i="22"/>
  <c r="N42" i="18"/>
  <c r="M43" i="18"/>
  <c r="Y27" i="22"/>
  <c r="U25" i="22"/>
  <c r="R31" i="22"/>
  <c r="Q24" i="22"/>
  <c r="Q30" i="22"/>
  <c r="U30" i="22"/>
  <c r="Z22" i="22"/>
  <c r="N38" i="18"/>
  <c r="D55" i="18"/>
  <c r="T23" i="22"/>
  <c r="N103" i="18"/>
  <c r="N118" i="18"/>
  <c r="C63" i="18"/>
  <c r="M126" i="18"/>
  <c r="M111" i="18"/>
  <c r="S31" i="22"/>
  <c r="V28" i="22"/>
  <c r="AB23" i="22"/>
  <c r="N55" i="18"/>
  <c r="AA31" i="22"/>
  <c r="M63" i="18"/>
  <c r="AD28" i="22"/>
  <c r="Y23" i="22"/>
  <c r="M39" i="18"/>
  <c r="U27" i="22"/>
  <c r="R28" i="22"/>
  <c r="R25" i="22"/>
  <c r="R29" i="22"/>
  <c r="N11" i="20"/>
  <c r="R22" i="22"/>
  <c r="Q28" i="22"/>
  <c r="AC24" i="22"/>
  <c r="Z24" i="22"/>
  <c r="N40" i="18"/>
  <c r="M41" i="18"/>
  <c r="Y25" i="22"/>
  <c r="C58" i="18"/>
  <c r="M106" i="18"/>
  <c r="S26" i="22"/>
  <c r="M121" i="18"/>
  <c r="C56" i="18"/>
  <c r="S24" i="22"/>
  <c r="M119" i="18"/>
  <c r="M104" i="18"/>
  <c r="M102" i="18"/>
  <c r="S22" i="22"/>
  <c r="M117" i="18"/>
  <c r="D62" i="18"/>
  <c r="T30" i="22"/>
  <c r="N125" i="18"/>
  <c r="N110" i="18"/>
  <c r="M58" i="18"/>
  <c r="AA26" i="22"/>
  <c r="AA24" i="22"/>
  <c r="M56" i="18"/>
  <c r="M54" i="18"/>
  <c r="AA22" i="22"/>
  <c r="N62" i="18"/>
  <c r="AB30" i="22"/>
  <c r="AC26" i="22"/>
  <c r="U24" i="22"/>
  <c r="R24" i="22"/>
  <c r="Q25" i="22"/>
  <c r="V25" i="22"/>
  <c r="AD27" i="22"/>
  <c r="AD25" i="22"/>
  <c r="AD26" i="22"/>
  <c r="N44" i="18"/>
  <c r="Z28" i="22"/>
  <c r="AC30" i="22"/>
  <c r="Z30" i="22"/>
  <c r="N46" i="18"/>
  <c r="D63" i="18"/>
  <c r="N126" i="18"/>
  <c r="N111" i="18"/>
  <c r="T31" i="22"/>
  <c r="D61" i="18"/>
  <c r="T29" i="22"/>
  <c r="N124" i="18"/>
  <c r="N109" i="18"/>
  <c r="N14" i="20"/>
  <c r="D59" i="18"/>
  <c r="T27" i="22"/>
  <c r="N122" i="18"/>
  <c r="N107" i="18"/>
  <c r="V23" i="22"/>
  <c r="AB31" i="22"/>
  <c r="N63" i="18"/>
  <c r="N61" i="18"/>
  <c r="AB29" i="22"/>
  <c r="O14" i="20"/>
  <c r="AB27" i="22"/>
  <c r="N59" i="18"/>
  <c r="AD23" i="22"/>
  <c r="M47" i="18"/>
  <c r="Y31" i="22"/>
  <c r="L53" i="22"/>
  <c r="N53" i="22"/>
  <c r="C42" i="22"/>
  <c r="E42" i="22"/>
  <c r="D56" i="22"/>
  <c r="F56" i="22"/>
  <c r="K37" i="22"/>
  <c r="M37" i="22"/>
  <c r="N46" i="22"/>
  <c r="L46" i="22"/>
  <c r="L62" i="22"/>
  <c r="N62" i="22"/>
  <c r="N58" i="22"/>
  <c r="L58" i="22"/>
  <c r="F62" i="22"/>
  <c r="D62" i="22"/>
  <c r="K40" i="22"/>
  <c r="M40" i="22"/>
  <c r="F44" i="22"/>
  <c r="D44" i="22"/>
  <c r="M62" i="22"/>
  <c r="K62" i="22"/>
  <c r="E39" i="22"/>
  <c r="C39" i="22"/>
  <c r="M54" i="22"/>
  <c r="K54" i="22"/>
  <c r="M45" i="22"/>
  <c r="K45" i="22"/>
  <c r="D53" i="22"/>
  <c r="F53" i="22"/>
  <c r="C46" i="22"/>
  <c r="E46" i="22"/>
  <c r="N40" i="22"/>
  <c r="L40" i="22"/>
  <c r="E41" i="22"/>
  <c r="C41" i="22"/>
  <c r="E45" i="22"/>
  <c r="C45" i="22"/>
  <c r="L55" i="22"/>
  <c r="N55" i="22"/>
  <c r="L61" i="22"/>
  <c r="N61" i="22"/>
  <c r="F42" i="22"/>
  <c r="D42" i="22"/>
  <c r="N38" i="22"/>
  <c r="L38" i="22"/>
  <c r="M44" i="22"/>
  <c r="M40" i="17"/>
  <c r="K44" i="22"/>
  <c r="L40" i="17"/>
  <c r="E61" i="22"/>
  <c r="C61" i="22"/>
  <c r="K60" i="22"/>
  <c r="M60" i="22"/>
  <c r="M41" i="17"/>
  <c r="D58" i="22"/>
  <c r="F58" i="22"/>
  <c r="D40" i="22"/>
  <c r="F40" i="22"/>
  <c r="D46" i="22"/>
  <c r="F46" i="22"/>
  <c r="L60" i="22"/>
  <c r="N60" i="22"/>
  <c r="C55" i="22"/>
  <c r="E55" i="22"/>
  <c r="F43" i="22"/>
  <c r="D43" i="22"/>
  <c r="L54" i="22"/>
  <c r="N54" i="22"/>
  <c r="F54" i="22"/>
  <c r="D54" i="22"/>
  <c r="M56" i="22"/>
  <c r="K56" i="22"/>
  <c r="C54" i="22"/>
  <c r="E54" i="22"/>
  <c r="E60" i="22"/>
  <c r="C60" i="22"/>
  <c r="L44" i="22"/>
  <c r="N44" i="22"/>
  <c r="K58" i="22"/>
  <c r="M58" i="22"/>
  <c r="C58" i="22"/>
  <c r="E58" i="22"/>
  <c r="M43" i="22"/>
  <c r="K43" i="22"/>
  <c r="C59" i="22"/>
  <c r="E59" i="22"/>
  <c r="K39" i="22"/>
  <c r="M39" i="22"/>
  <c r="D45" i="22"/>
  <c r="F45" i="22"/>
  <c r="C38" i="22"/>
  <c r="E38" i="22"/>
  <c r="M46" i="22"/>
  <c r="K46" i="22"/>
  <c r="M61" i="22"/>
  <c r="K61" i="22"/>
  <c r="L43" i="22"/>
  <c r="N43" i="22"/>
  <c r="K57" i="22"/>
  <c r="M57" i="22"/>
  <c r="M53" i="22"/>
  <c r="K53" i="22"/>
  <c r="F61" i="22"/>
  <c r="D61" i="22"/>
  <c r="N39" i="22"/>
  <c r="L39" i="22"/>
  <c r="K42" i="22"/>
  <c r="M42" i="22"/>
  <c r="N57" i="22"/>
  <c r="L57" i="22"/>
  <c r="K59" i="22"/>
  <c r="M59" i="22"/>
  <c r="L56" i="22"/>
  <c r="N56" i="22"/>
  <c r="C37" i="22"/>
  <c r="E37" i="22"/>
  <c r="D41" i="22"/>
  <c r="F41" i="22"/>
  <c r="C62" i="22"/>
  <c r="E62" i="22"/>
  <c r="E40" i="22"/>
  <c r="C40" i="22"/>
  <c r="C57" i="22"/>
  <c r="E57" i="22"/>
  <c r="M38" i="22"/>
  <c r="K38" i="22"/>
  <c r="N37" i="22"/>
  <c r="L37" i="22"/>
  <c r="L42" i="22"/>
  <c r="N42" i="22"/>
  <c r="L59" i="22"/>
  <c r="N59" i="22"/>
  <c r="K41" i="22"/>
  <c r="M41" i="22"/>
  <c r="E44" i="22"/>
  <c r="C44" i="22"/>
  <c r="D40" i="17"/>
  <c r="D55" i="22"/>
  <c r="F55" i="22"/>
  <c r="L45" i="22"/>
  <c r="N45" i="22"/>
  <c r="E43" i="22"/>
  <c r="C43" i="22"/>
  <c r="F60" i="22"/>
  <c r="D60" i="22"/>
  <c r="D48" i="17"/>
  <c r="D39" i="22"/>
  <c r="F39" i="22"/>
  <c r="M55" i="22"/>
  <c r="K55" i="22"/>
  <c r="C53" i="22"/>
  <c r="E53" i="22"/>
  <c r="D37" i="22"/>
  <c r="F37" i="22"/>
  <c r="L41" i="22"/>
  <c r="N41" i="22"/>
  <c r="C56" i="22"/>
  <c r="E56" i="22"/>
  <c r="D57" i="22"/>
  <c r="F57" i="22"/>
  <c r="D59" i="22"/>
  <c r="F59" i="22"/>
  <c r="D38" i="22"/>
  <c r="F38" i="22"/>
  <c r="O43" i="20"/>
  <c r="O50" i="20"/>
  <c r="N43" i="20"/>
  <c r="D43" i="20"/>
  <c r="E42" i="20"/>
  <c r="N50" i="20"/>
  <c r="E50" i="20"/>
  <c r="D42" i="20"/>
  <c r="E49" i="20"/>
  <c r="O49" i="20"/>
  <c r="E43" i="20"/>
  <c r="O42" i="20"/>
  <c r="D50" i="20"/>
  <c r="D49" i="20"/>
  <c r="N49" i="20"/>
  <c r="N42" i="20"/>
  <c r="N84" i="20"/>
  <c r="O91" i="20"/>
  <c r="N91" i="20"/>
  <c r="O84" i="20"/>
  <c r="N85" i="20"/>
  <c r="O92" i="20"/>
  <c r="O85" i="20"/>
  <c r="N92" i="20"/>
  <c r="N48" i="18"/>
  <c r="M112" i="18"/>
  <c r="O15" i="17"/>
  <c r="L48" i="17"/>
  <c r="M48" i="17"/>
  <c r="M64" i="18"/>
  <c r="O112" i="18"/>
  <c r="D47" i="17"/>
  <c r="N12" i="17"/>
  <c r="E47" i="17"/>
  <c r="O15" i="20"/>
  <c r="D41" i="17"/>
  <c r="N14" i="17"/>
  <c r="E41" i="17"/>
  <c r="P64" i="18"/>
  <c r="N127" i="18"/>
  <c r="E48" i="18"/>
  <c r="U22" i="22"/>
  <c r="D80" i="18"/>
  <c r="C112" i="18"/>
  <c r="D112" i="18"/>
  <c r="C80" i="18"/>
  <c r="F80" i="18"/>
  <c r="E80" i="18"/>
  <c r="E112" i="18"/>
  <c r="F112" i="18"/>
  <c r="M127" i="18"/>
  <c r="F48" i="18"/>
  <c r="O48" i="18"/>
  <c r="O12" i="20"/>
  <c r="P48" i="18"/>
  <c r="O14" i="17"/>
  <c r="L41" i="17"/>
  <c r="N64" i="18"/>
  <c r="D64" i="18"/>
  <c r="AD22" i="22"/>
  <c r="N96" i="18"/>
  <c r="M96" i="18"/>
  <c r="P96" i="18"/>
  <c r="O96" i="18"/>
  <c r="M48" i="18"/>
  <c r="O11" i="17"/>
  <c r="N15" i="17"/>
  <c r="E48" i="17"/>
  <c r="C64" i="18"/>
  <c r="F64" i="18"/>
  <c r="AC22" i="22"/>
  <c r="N79" i="22"/>
  <c r="M80" i="18"/>
  <c r="N80" i="18"/>
  <c r="P80" i="18"/>
  <c r="O80" i="18"/>
  <c r="P127" i="18"/>
  <c r="V22" i="22"/>
  <c r="D96" i="18"/>
  <c r="C96" i="18"/>
  <c r="C127" i="18"/>
  <c r="D127" i="18"/>
  <c r="E96" i="18"/>
  <c r="E127" i="18"/>
  <c r="F96" i="18"/>
  <c r="F127" i="18"/>
  <c r="O64" i="18"/>
  <c r="O127" i="18"/>
  <c r="O12" i="17"/>
  <c r="L47" i="17"/>
  <c r="M47" i="17"/>
  <c r="P112" i="18"/>
  <c r="N12" i="20"/>
  <c r="E64" i="18"/>
  <c r="N15" i="20"/>
  <c r="N112" i="18"/>
  <c r="N11" i="17"/>
  <c r="E40" i="17"/>
  <c r="D51" i="20"/>
  <c r="O51" i="20"/>
  <c r="O77" i="20"/>
  <c r="E36" i="20"/>
  <c r="D35" i="20"/>
  <c r="N36" i="20"/>
  <c r="O36" i="20"/>
  <c r="N77" i="20"/>
  <c r="E51" i="20"/>
  <c r="O86" i="20"/>
  <c r="N35" i="20"/>
  <c r="D44" i="20"/>
  <c r="E44" i="20"/>
  <c r="O35" i="20"/>
  <c r="E35" i="20"/>
  <c r="D36" i="20"/>
  <c r="N86" i="20"/>
  <c r="O44" i="20"/>
  <c r="N44" i="20"/>
  <c r="O16" i="17"/>
  <c r="N51" i="20"/>
  <c r="O93" i="20"/>
  <c r="O78" i="20"/>
  <c r="N78" i="20"/>
  <c r="N93" i="20"/>
  <c r="N13" i="17"/>
  <c r="M49" i="17"/>
  <c r="L34" i="17"/>
  <c r="K63" i="22"/>
  <c r="M47" i="22"/>
  <c r="M34" i="17"/>
  <c r="L42" i="17"/>
  <c r="E42" i="17"/>
  <c r="E33" i="17"/>
  <c r="M63" i="22"/>
  <c r="M42" i="17"/>
  <c r="M33" i="17"/>
  <c r="N63" i="22"/>
  <c r="E63" i="22"/>
  <c r="L63" i="22"/>
  <c r="K79" i="22"/>
  <c r="K111" i="22"/>
  <c r="L79" i="22"/>
  <c r="L111" i="22"/>
  <c r="M79" i="22"/>
  <c r="M111" i="22"/>
  <c r="N111" i="22"/>
  <c r="O13" i="17"/>
  <c r="K47" i="22"/>
  <c r="C63" i="22"/>
  <c r="E49" i="17"/>
  <c r="C95" i="22"/>
  <c r="D126" i="22"/>
  <c r="D95" i="22"/>
  <c r="C126" i="22"/>
  <c r="F126" i="22"/>
  <c r="E126" i="22"/>
  <c r="E95" i="22"/>
  <c r="F95" i="22"/>
  <c r="N47" i="22"/>
  <c r="L95" i="22"/>
  <c r="L126" i="22"/>
  <c r="K95" i="22"/>
  <c r="K126" i="22"/>
  <c r="N126" i="22"/>
  <c r="M126" i="22"/>
  <c r="M95" i="22"/>
  <c r="N95" i="22"/>
  <c r="F47" i="22"/>
  <c r="L47" i="22"/>
  <c r="D47" i="22"/>
  <c r="E47" i="22"/>
  <c r="F63" i="22"/>
  <c r="C111" i="22"/>
  <c r="D79" i="22"/>
  <c r="C79" i="22"/>
  <c r="D111" i="22"/>
  <c r="F111" i="22"/>
  <c r="E111" i="22"/>
  <c r="E79" i="22"/>
  <c r="F79" i="22"/>
  <c r="E34" i="17"/>
  <c r="D49" i="17"/>
  <c r="C47" i="22"/>
  <c r="D63" i="22"/>
  <c r="N16" i="17"/>
  <c r="D33" i="17"/>
  <c r="D42" i="17"/>
  <c r="L33" i="17"/>
  <c r="L49" i="17"/>
  <c r="D34" i="17"/>
  <c r="O37" i="20"/>
  <c r="D37" i="20"/>
  <c r="E37" i="20"/>
  <c r="O79" i="20"/>
  <c r="N79" i="20"/>
  <c r="N37" i="20"/>
  <c r="M35" i="17"/>
  <c r="L35" i="17"/>
  <c r="D35" i="17"/>
  <c r="E35" i="17"/>
  <c r="S10" i="5"/>
  <c r="S102" i="5"/>
  <c r="T10" i="5"/>
  <c r="T102" i="5"/>
  <c r="U10" i="5"/>
  <c r="C4" i="26"/>
  <c r="C4" i="19"/>
  <c r="G11" i="19"/>
  <c r="G11" i="26"/>
  <c r="G10" i="26"/>
  <c r="G23" i="26"/>
  <c r="G10" i="19"/>
  <c r="U21" i="5"/>
  <c r="H37" i="19"/>
  <c r="H38" i="19"/>
  <c r="H6" i="19"/>
  <c r="G10" i="23"/>
  <c r="H74" i="2"/>
  <c r="H94" i="2"/>
  <c r="H121" i="2"/>
  <c r="I121" i="2"/>
  <c r="G63" i="5"/>
  <c r="G148" i="2"/>
  <c r="G158" i="2"/>
  <c r="G160" i="2"/>
  <c r="H105" i="2"/>
  <c r="I105" i="2"/>
  <c r="I148" i="2"/>
  <c r="I158" i="2"/>
  <c r="I160" i="2"/>
  <c r="S16" i="5"/>
  <c r="H148" i="2"/>
  <c r="G64" i="5"/>
  <c r="H64" i="5"/>
  <c r="C10" i="19"/>
  <c r="J11" i="19"/>
  <c r="J10" i="19"/>
  <c r="C10" i="26"/>
  <c r="J11" i="26"/>
  <c r="J10" i="26"/>
  <c r="J23" i="26"/>
  <c r="I64" i="5"/>
  <c r="U12" i="5"/>
  <c r="I97" i="5"/>
  <c r="J64" i="5"/>
  <c r="V12" i="5"/>
  <c r="J97" i="5"/>
  <c r="U24" i="5"/>
  <c r="V24" i="5"/>
  <c r="AB27" i="26"/>
  <c r="T35" i="26"/>
  <c r="S6" i="30"/>
  <c r="S10" i="30"/>
  <c r="T20" i="30"/>
  <c r="T10" i="30"/>
  <c r="Q29" i="30"/>
  <c r="N27" i="17"/>
  <c r="R29" i="30"/>
  <c r="O27" i="17"/>
  <c r="P27" i="17"/>
  <c r="H158" i="2"/>
  <c r="H160" i="2"/>
  <c r="S12" i="5"/>
  <c r="C6" i="19"/>
  <c r="C6" i="26"/>
  <c r="H11" i="19"/>
  <c r="H11" i="26"/>
  <c r="H10" i="19"/>
  <c r="H10" i="26"/>
  <c r="H23" i="26"/>
  <c r="E104" i="5"/>
  <c r="L104" i="5"/>
  <c r="E103" i="5"/>
  <c r="L103" i="5"/>
  <c r="L124" i="5"/>
  <c r="H124" i="5"/>
  <c r="M124" i="5"/>
  <c r="S10" i="23"/>
  <c r="T20" i="23"/>
  <c r="Y19" i="23"/>
  <c r="T10" i="23"/>
  <c r="Q29" i="23"/>
  <c r="R29" i="23"/>
  <c r="N26" i="17"/>
  <c r="Y19" i="30"/>
  <c r="Y22" i="30"/>
  <c r="U20" i="30"/>
  <c r="Y22" i="23"/>
  <c r="U20" i="23"/>
  <c r="G29" i="23"/>
  <c r="Y9" i="22"/>
  <c r="Y10" i="22"/>
  <c r="H7" i="22"/>
  <c r="I15" i="29"/>
  <c r="G29" i="30"/>
  <c r="O26" i="17"/>
  <c r="P26" i="17"/>
  <c r="F27" i="17"/>
  <c r="H29" i="30"/>
  <c r="H9" i="29"/>
  <c r="H12" i="29"/>
  <c r="H10" i="29"/>
  <c r="H8" i="29"/>
  <c r="H7" i="29"/>
  <c r="H11" i="29"/>
  <c r="H9" i="22"/>
  <c r="E22" i="22"/>
  <c r="H11" i="22"/>
  <c r="I7" i="22"/>
  <c r="H8" i="22"/>
  <c r="S7" i="22"/>
  <c r="F26" i="17"/>
  <c r="H29" i="23"/>
  <c r="P107" i="22"/>
  <c r="O70" i="22"/>
  <c r="G69" i="22"/>
  <c r="P40" i="22"/>
  <c r="P101" i="22"/>
  <c r="O71" i="22"/>
  <c r="G70" i="22"/>
  <c r="P41" i="22"/>
  <c r="P71" i="22"/>
  <c r="O73" i="22"/>
  <c r="H71" i="22"/>
  <c r="P43" i="22"/>
  <c r="O103" i="22"/>
  <c r="P73" i="22"/>
  <c r="O75" i="22"/>
  <c r="H73" i="22"/>
  <c r="P45" i="22"/>
  <c r="O104" i="22"/>
  <c r="G107" i="22"/>
  <c r="P74" i="22"/>
  <c r="O76" i="22"/>
  <c r="N61" i="17"/>
  <c r="H74" i="22"/>
  <c r="G75" i="22"/>
  <c r="P46" i="22"/>
  <c r="P109" i="22"/>
  <c r="G103" i="22"/>
  <c r="P70" i="22"/>
  <c r="O72" i="22"/>
  <c r="H70" i="22"/>
  <c r="G71" i="22"/>
  <c r="P42" i="22"/>
  <c r="G72" i="22"/>
  <c r="G74" i="22"/>
  <c r="P72" i="22"/>
  <c r="O74" i="22"/>
  <c r="H72" i="22"/>
  <c r="G73" i="22"/>
  <c r="O69" i="22"/>
  <c r="G78" i="22"/>
  <c r="P38" i="22"/>
  <c r="O107" i="22"/>
  <c r="P39" i="22"/>
  <c r="P75" i="22"/>
  <c r="H75" i="22"/>
  <c r="H76" i="22"/>
  <c r="F68" i="17"/>
  <c r="H45" i="22"/>
  <c r="P102" i="22"/>
  <c r="P77" i="22"/>
  <c r="H77" i="22"/>
  <c r="H46" i="22"/>
  <c r="P103" i="22"/>
  <c r="P78" i="22"/>
  <c r="H78" i="22"/>
  <c r="P104" i="22"/>
  <c r="P69" i="22"/>
  <c r="H69" i="22"/>
  <c r="O77" i="22"/>
  <c r="G76" i="22"/>
  <c r="F61" i="17"/>
  <c r="P106" i="22"/>
  <c r="O78" i="22"/>
  <c r="G77" i="22"/>
  <c r="P37" i="22"/>
  <c r="P76" i="22"/>
  <c r="N68" i="17"/>
  <c r="S8" i="22"/>
  <c r="T8" i="22"/>
  <c r="I8" i="22"/>
  <c r="E22" i="29"/>
  <c r="I7" i="29"/>
  <c r="E24" i="22"/>
  <c r="I11" i="22"/>
  <c r="S11" i="22"/>
  <c r="T11" i="22"/>
  <c r="H12" i="22"/>
  <c r="E23" i="29"/>
  <c r="I8" i="29"/>
  <c r="I10" i="29"/>
  <c r="E25" i="29"/>
  <c r="T7" i="22"/>
  <c r="E28" i="22"/>
  <c r="I11" i="29"/>
  <c r="E26" i="29"/>
  <c r="I12" i="29"/>
  <c r="E27" i="29"/>
  <c r="I9" i="29"/>
  <c r="E24" i="29"/>
  <c r="G26" i="17"/>
  <c r="H26" i="17"/>
  <c r="H27" i="17"/>
  <c r="G27" i="17"/>
  <c r="H10" i="22"/>
  <c r="I9" i="22"/>
  <c r="S9" i="22"/>
  <c r="E23" i="22"/>
  <c r="G42" i="22"/>
  <c r="O46" i="22"/>
  <c r="O109" i="22"/>
  <c r="O38" i="22"/>
  <c r="H40" i="22"/>
  <c r="G43" i="22"/>
  <c r="G108" i="22"/>
  <c r="F82" i="17"/>
  <c r="P44" i="22"/>
  <c r="N47" i="17"/>
  <c r="O101" i="22"/>
  <c r="O39" i="22"/>
  <c r="P105" i="22"/>
  <c r="H43" i="22"/>
  <c r="H105" i="22"/>
  <c r="G102" i="22"/>
  <c r="P108" i="22"/>
  <c r="N89" i="17"/>
  <c r="G106" i="22"/>
  <c r="O41" i="22"/>
  <c r="G41" i="22"/>
  <c r="O45" i="22"/>
  <c r="O105" i="22"/>
  <c r="H109" i="22"/>
  <c r="H44" i="22"/>
  <c r="F47" i="17"/>
  <c r="G110" i="22"/>
  <c r="H41" i="22"/>
  <c r="H39" i="22"/>
  <c r="G45" i="22"/>
  <c r="O37" i="22"/>
  <c r="G38" i="22"/>
  <c r="H102" i="22"/>
  <c r="O42" i="22"/>
  <c r="H106" i="22"/>
  <c r="G44" i="22"/>
  <c r="F40" i="17"/>
  <c r="O87" i="22"/>
  <c r="H89" i="22"/>
  <c r="G92" i="22"/>
  <c r="F62" i="17"/>
  <c r="P61" i="22"/>
  <c r="P86" i="22"/>
  <c r="O88" i="22"/>
  <c r="H90" i="22"/>
  <c r="G93" i="22"/>
  <c r="P62" i="22"/>
  <c r="P121" i="22"/>
  <c r="O90" i="22"/>
  <c r="G118" i="22"/>
  <c r="P90" i="22"/>
  <c r="H94" i="22"/>
  <c r="P91" i="22"/>
  <c r="P55" i="22"/>
  <c r="P92" i="22"/>
  <c r="N69" i="17"/>
  <c r="N70" i="17"/>
  <c r="P56" i="22"/>
  <c r="P87" i="22"/>
  <c r="O89" i="22"/>
  <c r="H91" i="22"/>
  <c r="G94" i="22"/>
  <c r="P122" i="22"/>
  <c r="P88" i="22"/>
  <c r="H92" i="22"/>
  <c r="F69" i="17"/>
  <c r="H85" i="22"/>
  <c r="P116" i="22"/>
  <c r="O92" i="22"/>
  <c r="N62" i="17"/>
  <c r="O93" i="22"/>
  <c r="O94" i="22"/>
  <c r="P89" i="22"/>
  <c r="O91" i="22"/>
  <c r="H93" i="22"/>
  <c r="G85" i="22"/>
  <c r="P124" i="22"/>
  <c r="P54" i="22"/>
  <c r="G86" i="22"/>
  <c r="G89" i="22"/>
  <c r="G90" i="22"/>
  <c r="O122" i="22"/>
  <c r="P93" i="22"/>
  <c r="G91" i="22"/>
  <c r="P59" i="22"/>
  <c r="O85" i="22"/>
  <c r="H86" i="22"/>
  <c r="P118" i="22"/>
  <c r="G122" i="22"/>
  <c r="H87" i="22"/>
  <c r="P119" i="22"/>
  <c r="H88" i="22"/>
  <c r="O118" i="22"/>
  <c r="G87" i="22"/>
  <c r="O119" i="22"/>
  <c r="G88" i="22"/>
  <c r="P94" i="22"/>
  <c r="P57" i="22"/>
  <c r="P85" i="22"/>
  <c r="P58" i="22"/>
  <c r="O86" i="22"/>
  <c r="P60" i="22"/>
  <c r="N48" i="17"/>
  <c r="P117" i="22"/>
  <c r="P53" i="22"/>
  <c r="G37" i="22"/>
  <c r="H108" i="22"/>
  <c r="F89" i="17"/>
  <c r="G40" i="22"/>
  <c r="H42" i="22"/>
  <c r="G104" i="22"/>
  <c r="O108" i="22"/>
  <c r="N82" i="17"/>
  <c r="H110" i="22"/>
  <c r="H38" i="22"/>
  <c r="P110" i="22"/>
  <c r="G101" i="22"/>
  <c r="O44" i="22"/>
  <c r="N40" i="17"/>
  <c r="G39" i="22"/>
  <c r="H37" i="22"/>
  <c r="O106" i="22"/>
  <c r="H104" i="22"/>
  <c r="O43" i="22"/>
  <c r="H101" i="22"/>
  <c r="H103" i="22"/>
  <c r="O110" i="22"/>
  <c r="G109" i="22"/>
  <c r="O40" i="22"/>
  <c r="G105" i="22"/>
  <c r="G46" i="22"/>
  <c r="H107" i="22"/>
  <c r="O102" i="22"/>
  <c r="H79" i="22"/>
  <c r="P79" i="22"/>
  <c r="G79" i="22"/>
  <c r="O79" i="22"/>
  <c r="G68" i="17"/>
  <c r="H68" i="17"/>
  <c r="S12" i="22"/>
  <c r="I12" i="22"/>
  <c r="F54" i="17"/>
  <c r="H61" i="17"/>
  <c r="G61" i="17"/>
  <c r="O68" i="17"/>
  <c r="P68" i="17"/>
  <c r="G34" i="29"/>
  <c r="G33" i="29"/>
  <c r="G35" i="29"/>
  <c r="O61" i="17"/>
  <c r="N54" i="17"/>
  <c r="P61" i="17"/>
  <c r="E29" i="22"/>
  <c r="G61" i="22"/>
  <c r="T9" i="22"/>
  <c r="H33" i="29"/>
  <c r="F107" i="17"/>
  <c r="H34" i="29"/>
  <c r="F108" i="17"/>
  <c r="H35" i="29"/>
  <c r="F109" i="17"/>
  <c r="S10" i="22"/>
  <c r="T10" i="22"/>
  <c r="I10" i="22"/>
  <c r="G116" i="22"/>
  <c r="O61" i="22"/>
  <c r="O116" i="22"/>
  <c r="O120" i="22"/>
  <c r="G58" i="22"/>
  <c r="H60" i="22"/>
  <c r="F48" i="17"/>
  <c r="F49" i="17"/>
  <c r="O60" i="22"/>
  <c r="N41" i="17"/>
  <c r="N42" i="17"/>
  <c r="G62" i="22"/>
  <c r="G123" i="22"/>
  <c r="F83" i="17"/>
  <c r="H83" i="17"/>
  <c r="G121" i="22"/>
  <c r="H55" i="22"/>
  <c r="H59" i="22"/>
  <c r="G124" i="22"/>
  <c r="H119" i="22"/>
  <c r="G119" i="22"/>
  <c r="O54" i="22"/>
  <c r="O58" i="22"/>
  <c r="P123" i="22"/>
  <c r="N90" i="17"/>
  <c r="O55" i="22"/>
  <c r="H124" i="22"/>
  <c r="G59" i="22"/>
  <c r="H56" i="22"/>
  <c r="G120" i="22"/>
  <c r="O123" i="22"/>
  <c r="N83" i="17"/>
  <c r="O83" i="17"/>
  <c r="H57" i="22"/>
  <c r="H117" i="22"/>
  <c r="H125" i="22"/>
  <c r="P120" i="22"/>
  <c r="H121" i="22"/>
  <c r="G125" i="22"/>
  <c r="H62" i="22"/>
  <c r="O56" i="22"/>
  <c r="O59" i="22"/>
  <c r="P125" i="22"/>
  <c r="O124" i="22"/>
  <c r="G55" i="22"/>
  <c r="H53" i="22"/>
  <c r="H123" i="22"/>
  <c r="F90" i="17"/>
  <c r="G90" i="17"/>
  <c r="G60" i="22"/>
  <c r="F41" i="17"/>
  <c r="O53" i="22"/>
  <c r="H116" i="22"/>
  <c r="O121" i="22"/>
  <c r="G117" i="22"/>
  <c r="H58" i="22"/>
  <c r="G56" i="22"/>
  <c r="H61" i="22"/>
  <c r="O125" i="22"/>
  <c r="H118" i="22"/>
  <c r="O57" i="22"/>
  <c r="H54" i="22"/>
  <c r="H120" i="22"/>
  <c r="O62" i="22"/>
  <c r="H122" i="22"/>
  <c r="O117" i="22"/>
  <c r="G54" i="22"/>
  <c r="G53" i="22"/>
  <c r="G57" i="22"/>
  <c r="G111" i="22"/>
  <c r="O111" i="22"/>
  <c r="P111" i="22"/>
  <c r="P63" i="22"/>
  <c r="F33" i="17"/>
  <c r="H33" i="17"/>
  <c r="G47" i="22"/>
  <c r="H111" i="22"/>
  <c r="O47" i="22"/>
  <c r="P47" i="22"/>
  <c r="H47" i="22"/>
  <c r="P95" i="22"/>
  <c r="H40" i="17"/>
  <c r="G40" i="17"/>
  <c r="H95" i="22"/>
  <c r="O95" i="22"/>
  <c r="G95" i="22"/>
  <c r="P70" i="17"/>
  <c r="O70" i="17"/>
  <c r="P47" i="17"/>
  <c r="O47" i="17"/>
  <c r="N49" i="17"/>
  <c r="P48" i="17"/>
  <c r="O48" i="17"/>
  <c r="G82" i="17"/>
  <c r="H82" i="17"/>
  <c r="F75" i="17"/>
  <c r="F63" i="17"/>
  <c r="G62" i="17"/>
  <c r="F55" i="17"/>
  <c r="H62" i="17"/>
  <c r="F97" i="17"/>
  <c r="F103" i="17"/>
  <c r="N33" i="17"/>
  <c r="O40" i="17"/>
  <c r="P40" i="17"/>
  <c r="N75" i="17"/>
  <c r="P82" i="17"/>
  <c r="O82" i="17"/>
  <c r="H69" i="17"/>
  <c r="G69" i="17"/>
  <c r="F101" i="17"/>
  <c r="F95" i="17"/>
  <c r="F102" i="17"/>
  <c r="F96" i="17"/>
  <c r="H109" i="17"/>
  <c r="G109" i="17"/>
  <c r="O54" i="17"/>
  <c r="P54" i="17"/>
  <c r="P89" i="17"/>
  <c r="O89" i="17"/>
  <c r="G108" i="17"/>
  <c r="H108" i="17"/>
  <c r="H107" i="17"/>
  <c r="G107" i="17"/>
  <c r="H47" i="17"/>
  <c r="G47" i="17"/>
  <c r="O69" i="17"/>
  <c r="P69" i="17"/>
  <c r="H54" i="17"/>
  <c r="G54" i="17"/>
  <c r="N63" i="17"/>
  <c r="O62" i="17"/>
  <c r="P62" i="17"/>
  <c r="N55" i="17"/>
  <c r="E30" i="22"/>
  <c r="T12" i="22"/>
  <c r="H89" i="17"/>
  <c r="G89" i="17"/>
  <c r="F70" i="17"/>
  <c r="G33" i="17"/>
  <c r="H126" i="22"/>
  <c r="G83" i="17"/>
  <c r="P126" i="22"/>
  <c r="G63" i="22"/>
  <c r="F84" i="17"/>
  <c r="H84" i="17"/>
  <c r="O126" i="22"/>
  <c r="H63" i="22"/>
  <c r="O63" i="22"/>
  <c r="G126" i="22"/>
  <c r="N34" i="17"/>
  <c r="O34" i="17"/>
  <c r="P41" i="17"/>
  <c r="O41" i="17"/>
  <c r="N84" i="17"/>
  <c r="O84" i="17"/>
  <c r="P83" i="17"/>
  <c r="F91" i="17"/>
  <c r="G91" i="17"/>
  <c r="H90" i="17"/>
  <c r="F76" i="17"/>
  <c r="H76" i="17"/>
  <c r="G55" i="17"/>
  <c r="H55" i="17"/>
  <c r="O63" i="17"/>
  <c r="P63" i="17"/>
  <c r="N56" i="17"/>
  <c r="N35" i="17"/>
  <c r="P42" i="17"/>
  <c r="O42" i="17"/>
  <c r="P33" i="17"/>
  <c r="O33" i="17"/>
  <c r="H63" i="17"/>
  <c r="G63" i="17"/>
  <c r="G102" i="17"/>
  <c r="H102" i="17"/>
  <c r="H103" i="17"/>
  <c r="G103" i="17"/>
  <c r="G75" i="17"/>
  <c r="H75" i="17"/>
  <c r="N91" i="17"/>
  <c r="P90" i="17"/>
  <c r="O90" i="17"/>
  <c r="G97" i="17"/>
  <c r="H97" i="17"/>
  <c r="H41" i="17"/>
  <c r="F34" i="17"/>
  <c r="G41" i="17"/>
  <c r="F42" i="17"/>
  <c r="F56" i="17"/>
  <c r="G70" i="17"/>
  <c r="H70" i="17"/>
  <c r="H95" i="17"/>
  <c r="G95" i="17"/>
  <c r="P75" i="17"/>
  <c r="O75" i="17"/>
  <c r="G48" i="17"/>
  <c r="H48" i="17"/>
  <c r="G101" i="17"/>
  <c r="H101" i="17"/>
  <c r="N76" i="17"/>
  <c r="G49" i="17"/>
  <c r="H49" i="17"/>
  <c r="P49" i="17"/>
  <c r="O49" i="17"/>
  <c r="P55" i="17"/>
  <c r="O55" i="17"/>
  <c r="G96" i="17"/>
  <c r="H96" i="17"/>
  <c r="G84" i="17"/>
  <c r="P34" i="17"/>
  <c r="F77" i="17"/>
  <c r="G77" i="17"/>
  <c r="H91" i="17"/>
  <c r="P84" i="17"/>
  <c r="N77" i="17"/>
  <c r="P77" i="17"/>
  <c r="G76" i="17"/>
  <c r="H34" i="17"/>
  <c r="G34" i="17"/>
  <c r="P56" i="17"/>
  <c r="O56" i="17"/>
  <c r="O76" i="17"/>
  <c r="P76" i="17"/>
  <c r="O35" i="17"/>
  <c r="P35" i="17"/>
  <c r="G56" i="17"/>
  <c r="H56" i="17"/>
  <c r="H42" i="17"/>
  <c r="F35" i="17"/>
  <c r="G42" i="17"/>
  <c r="O91" i="17"/>
  <c r="P91" i="17"/>
  <c r="H77" i="17"/>
  <c r="O77" i="17"/>
  <c r="G35" i="17"/>
  <c r="H35" i="17"/>
  <c r="G97" i="5"/>
  <c r="S21" i="5"/>
  <c r="S23" i="5"/>
  <c r="C15" i="26"/>
  <c r="S11" i="26"/>
  <c r="S10" i="26"/>
  <c r="C15" i="19"/>
  <c r="S11" i="19"/>
  <c r="C17" i="19"/>
  <c r="T11" i="19"/>
  <c r="U11" i="19"/>
  <c r="R29" i="19"/>
  <c r="P30" i="20"/>
  <c r="C17" i="26"/>
  <c r="C18" i="26"/>
  <c r="S24" i="5"/>
  <c r="S10" i="19"/>
  <c r="S23" i="26"/>
  <c r="C18" i="19"/>
  <c r="U20" i="19"/>
  <c r="V20" i="19"/>
  <c r="H29" i="19"/>
  <c r="F30" i="20"/>
  <c r="T29" i="19"/>
  <c r="T11" i="26"/>
  <c r="J29" i="19"/>
  <c r="U11" i="26"/>
  <c r="U20" i="26"/>
  <c r="V20" i="26"/>
  <c r="H29" i="26"/>
  <c r="J29" i="26"/>
  <c r="V107" i="5"/>
  <c r="U107" i="5"/>
  <c r="T107" i="5"/>
  <c r="T105" i="5"/>
  <c r="T109" i="5"/>
  <c r="T114" i="5"/>
  <c r="U109" i="5"/>
  <c r="U105" i="5"/>
  <c r="V109" i="5"/>
  <c r="V105" i="5"/>
  <c r="U114" i="5"/>
  <c r="V114" i="5"/>
  <c r="V113" i="5"/>
  <c r="T108" i="5"/>
  <c r="T106" i="5"/>
  <c r="T103" i="5"/>
  <c r="U106" i="5"/>
  <c r="V103" i="5"/>
  <c r="U108" i="5"/>
  <c r="U103" i="5"/>
  <c r="V106" i="5"/>
  <c r="V108" i="5"/>
  <c r="T112" i="5"/>
  <c r="U112" i="5"/>
  <c r="V112" i="5"/>
  <c r="U113" i="5"/>
  <c r="U104" i="5"/>
  <c r="V104" i="5"/>
  <c r="S115" i="5"/>
  <c r="S114" i="5"/>
  <c r="S109" i="5"/>
  <c r="S105" i="5"/>
  <c r="S112" i="5"/>
  <c r="S106" i="5"/>
  <c r="S103" i="5"/>
  <c r="S107" i="5"/>
  <c r="S108" i="5"/>
  <c r="U102" i="5"/>
  <c r="V102" i="5"/>
  <c r="D4" i="19"/>
  <c r="S104" i="5"/>
  <c r="V115" i="5"/>
  <c r="G124" i="5"/>
  <c r="E124" i="5"/>
  <c r="S113" i="5"/>
  <c r="U115" i="5"/>
  <c r="D11" i="26"/>
  <c r="Q14" i="26"/>
  <c r="Q13" i="26"/>
  <c r="D9" i="19"/>
  <c r="I14" i="19"/>
  <c r="I13" i="19"/>
  <c r="D14" i="26"/>
  <c r="O14" i="26"/>
  <c r="O13" i="26"/>
  <c r="D15" i="19"/>
  <c r="S14" i="19"/>
  <c r="S13" i="19"/>
  <c r="D7" i="26"/>
  <c r="P14" i="26"/>
  <c r="P13" i="26"/>
  <c r="X22" i="26"/>
  <c r="D10" i="19"/>
  <c r="J14" i="19"/>
  <c r="J13" i="19"/>
  <c r="D4" i="26"/>
  <c r="G14" i="26"/>
  <c r="G13" i="26"/>
  <c r="D16" i="26"/>
  <c r="R14" i="26"/>
  <c r="R13" i="26"/>
  <c r="D8" i="26"/>
  <c r="M14" i="26"/>
  <c r="M13" i="26"/>
  <c r="D6" i="19"/>
  <c r="H14" i="19"/>
  <c r="H13" i="19"/>
  <c r="D5" i="26"/>
  <c r="K14" i="26"/>
  <c r="K13" i="26"/>
  <c r="D5" i="19"/>
  <c r="K14" i="19"/>
  <c r="K13" i="19"/>
  <c r="V116" i="5"/>
  <c r="Q19" i="24"/>
  <c r="D16" i="19"/>
  <c r="R14" i="19"/>
  <c r="R13" i="19"/>
  <c r="U116" i="5"/>
  <c r="Q18" i="24"/>
  <c r="D9" i="26"/>
  <c r="I14" i="26"/>
  <c r="I13" i="26"/>
  <c r="D14" i="19"/>
  <c r="O14" i="19"/>
  <c r="O13" i="19"/>
  <c r="G14" i="19"/>
  <c r="D10" i="26"/>
  <c r="J14" i="26"/>
  <c r="J13" i="26"/>
  <c r="D6" i="26"/>
  <c r="H14" i="26"/>
  <c r="H13" i="26"/>
  <c r="D7" i="19"/>
  <c r="P14" i="19"/>
  <c r="D15" i="26"/>
  <c r="S14" i="26"/>
  <c r="S13" i="26"/>
  <c r="D8" i="19"/>
  <c r="M14" i="19"/>
  <c r="M13" i="19"/>
  <c r="D11" i="19"/>
  <c r="Q14" i="19"/>
  <c r="Q13" i="19"/>
  <c r="D17" i="26"/>
  <c r="T14" i="26"/>
  <c r="D17" i="19"/>
  <c r="T14" i="19"/>
  <c r="S116" i="5"/>
  <c r="Q16" i="24"/>
  <c r="X23" i="26"/>
  <c r="U14" i="19"/>
  <c r="S29" i="19"/>
  <c r="U29" i="19"/>
  <c r="G13" i="19"/>
  <c r="D18" i="26"/>
  <c r="W20" i="19"/>
  <c r="I29" i="19"/>
  <c r="D18" i="19"/>
  <c r="U14" i="26"/>
  <c r="W20" i="26"/>
  <c r="I29" i="26"/>
  <c r="K29" i="26"/>
  <c r="X23" i="19"/>
  <c r="P13" i="19"/>
  <c r="X22" i="19"/>
  <c r="Q30" i="20"/>
  <c r="S30" i="20"/>
  <c r="X20" i="19"/>
  <c r="X20" i="26"/>
  <c r="G30" i="20"/>
  <c r="K29" i="19"/>
  <c r="T30" i="20"/>
  <c r="R30" i="20"/>
  <c r="H30" i="20"/>
  <c r="J30" i="20"/>
  <c r="I30" i="20"/>
  <c r="J158" i="2"/>
  <c r="J160" i="2"/>
  <c r="T12" i="5"/>
  <c r="Q15" i="24"/>
  <c r="Q5" i="24"/>
  <c r="Q6" i="24"/>
  <c r="E98" i="5"/>
  <c r="T104" i="5"/>
  <c r="T21" i="5"/>
  <c r="T113" i="5"/>
  <c r="H97" i="5"/>
  <c r="T23" i="5"/>
  <c r="T115" i="5"/>
  <c r="AJ27" i="26"/>
  <c r="T36" i="26"/>
  <c r="T24" i="5"/>
  <c r="AJ27" i="19"/>
  <c r="T36" i="19"/>
  <c r="T37" i="19"/>
  <c r="T38" i="19"/>
  <c r="T6" i="19"/>
  <c r="T116" i="5"/>
  <c r="Q17" i="24"/>
  <c r="T37" i="26"/>
  <c r="T38" i="26"/>
  <c r="T6" i="26"/>
  <c r="T10" i="26"/>
  <c r="T13" i="26"/>
  <c r="U13" i="26"/>
  <c r="U19" i="26"/>
  <c r="U10" i="26"/>
  <c r="T23" i="26"/>
  <c r="T13" i="19"/>
  <c r="T10" i="19"/>
  <c r="W19" i="26"/>
  <c r="W19" i="19"/>
  <c r="U13" i="19"/>
  <c r="S28" i="19"/>
  <c r="AC18" i="19"/>
  <c r="AB18" i="19"/>
  <c r="U19" i="19"/>
  <c r="U10" i="19"/>
  <c r="R28" i="19"/>
  <c r="AC21" i="19"/>
  <c r="X19" i="19"/>
  <c r="AC18" i="26"/>
  <c r="AC21" i="26"/>
  <c r="U28" i="19"/>
  <c r="Q28" i="20"/>
  <c r="T28" i="19"/>
  <c r="P28" i="20"/>
  <c r="AB21" i="19"/>
  <c r="V19" i="19"/>
  <c r="H28" i="19"/>
  <c r="AB18" i="26"/>
  <c r="AB21" i="26"/>
  <c r="V19" i="26"/>
  <c r="T28" i="20"/>
  <c r="S28" i="20"/>
  <c r="R28" i="20"/>
  <c r="S29" i="26"/>
  <c r="U29" i="26"/>
  <c r="X19" i="26"/>
  <c r="S28" i="26"/>
  <c r="I28" i="19"/>
  <c r="Y10" i="18"/>
  <c r="J7" i="18"/>
  <c r="Y9" i="18"/>
  <c r="R29" i="26"/>
  <c r="T29" i="26"/>
  <c r="R28" i="26"/>
  <c r="I15" i="27"/>
  <c r="H7" i="27"/>
  <c r="H7" i="18"/>
  <c r="S7" i="18"/>
  <c r="Z10" i="18"/>
  <c r="G28" i="20"/>
  <c r="K28" i="19"/>
  <c r="Q29" i="20"/>
  <c r="U28" i="26"/>
  <c r="K15" i="27"/>
  <c r="I28" i="26"/>
  <c r="F28" i="20"/>
  <c r="J28" i="19"/>
  <c r="H28" i="26"/>
  <c r="P29" i="20"/>
  <c r="T28" i="26"/>
  <c r="Z9" i="18"/>
  <c r="J28" i="20"/>
  <c r="J12" i="27"/>
  <c r="J9" i="27"/>
  <c r="J11" i="27"/>
  <c r="J7" i="27"/>
  <c r="J10" i="27"/>
  <c r="J8" i="27"/>
  <c r="K28" i="26"/>
  <c r="G29" i="20"/>
  <c r="S29" i="20"/>
  <c r="R29" i="20"/>
  <c r="I28" i="20"/>
  <c r="H28" i="20"/>
  <c r="K7" i="18"/>
  <c r="J11" i="18"/>
  <c r="J8" i="18"/>
  <c r="F22" i="18"/>
  <c r="J9" i="18"/>
  <c r="U7" i="18"/>
  <c r="T29" i="20"/>
  <c r="E22" i="18"/>
  <c r="H9" i="18"/>
  <c r="H11" i="18"/>
  <c r="I7" i="18"/>
  <c r="H8" i="18"/>
  <c r="F29" i="20"/>
  <c r="J28" i="26"/>
  <c r="H10" i="27"/>
  <c r="H12" i="27"/>
  <c r="H11" i="27"/>
  <c r="H8" i="27"/>
  <c r="H9" i="27"/>
  <c r="R70" i="18"/>
  <c r="H72" i="18"/>
  <c r="G72" i="18"/>
  <c r="R42" i="18"/>
  <c r="Q105" i="18"/>
  <c r="G104" i="18"/>
  <c r="Q79" i="18"/>
  <c r="H71" i="18"/>
  <c r="G71" i="18"/>
  <c r="R102" i="18"/>
  <c r="R79" i="18"/>
  <c r="Q77" i="18"/>
  <c r="P63" i="20"/>
  <c r="G70" i="18"/>
  <c r="Q102" i="18"/>
  <c r="R78" i="18"/>
  <c r="Q76" i="18"/>
  <c r="G77" i="18"/>
  <c r="F63" i="20"/>
  <c r="R44" i="18"/>
  <c r="Q70" i="18"/>
  <c r="R77" i="18"/>
  <c r="P70" i="20"/>
  <c r="Q75" i="18"/>
  <c r="H79" i="18"/>
  <c r="H76" i="18"/>
  <c r="R43" i="18"/>
  <c r="R76" i="18"/>
  <c r="H75" i="18"/>
  <c r="R75" i="18"/>
  <c r="H74" i="18"/>
  <c r="Q104" i="18"/>
  <c r="R74" i="18"/>
  <c r="H73" i="18"/>
  <c r="R46" i="18"/>
  <c r="Q108" i="18"/>
  <c r="G108" i="18"/>
  <c r="R73" i="18"/>
  <c r="R72" i="18"/>
  <c r="H78" i="18"/>
  <c r="R39" i="18"/>
  <c r="R71" i="18"/>
  <c r="H77" i="18"/>
  <c r="F70" i="20"/>
  <c r="G79" i="18"/>
  <c r="R41" i="18"/>
  <c r="Q72" i="18"/>
  <c r="G76" i="18"/>
  <c r="G75" i="18"/>
  <c r="R47" i="18"/>
  <c r="Q78" i="18"/>
  <c r="H70" i="18"/>
  <c r="R40" i="18"/>
  <c r="Q74" i="18"/>
  <c r="Q73" i="18"/>
  <c r="G78" i="18"/>
  <c r="Q71" i="18"/>
  <c r="G74" i="18"/>
  <c r="R38" i="18"/>
  <c r="G73" i="18"/>
  <c r="T102" i="18"/>
  <c r="T73" i="18"/>
  <c r="S72" i="18"/>
  <c r="J77" i="18"/>
  <c r="G70" i="20"/>
  <c r="I74" i="18"/>
  <c r="S102" i="18"/>
  <c r="I108" i="18"/>
  <c r="T72" i="18"/>
  <c r="S71" i="18"/>
  <c r="J76" i="18"/>
  <c r="I73" i="18"/>
  <c r="T39" i="18"/>
  <c r="T70" i="18"/>
  <c r="J74" i="18"/>
  <c r="I71" i="18"/>
  <c r="T40" i="18"/>
  <c r="T47" i="18"/>
  <c r="S108" i="18"/>
  <c r="S70" i="18"/>
  <c r="J73" i="18"/>
  <c r="T38" i="18"/>
  <c r="I104" i="18"/>
  <c r="S79" i="18"/>
  <c r="J72" i="18"/>
  <c r="T41" i="18"/>
  <c r="T78" i="18"/>
  <c r="J79" i="18"/>
  <c r="T42" i="18"/>
  <c r="I70" i="18"/>
  <c r="T77" i="18"/>
  <c r="Q70" i="20"/>
  <c r="J78" i="18"/>
  <c r="T43" i="18"/>
  <c r="S104" i="18"/>
  <c r="T76" i="18"/>
  <c r="J75" i="18"/>
  <c r="T75" i="18"/>
  <c r="J71" i="18"/>
  <c r="T44" i="18"/>
  <c r="S73" i="18"/>
  <c r="I76" i="18"/>
  <c r="I72" i="18"/>
  <c r="T71" i="18"/>
  <c r="S78" i="18"/>
  <c r="J70" i="18"/>
  <c r="S77" i="18"/>
  <c r="Q63" i="20"/>
  <c r="I75" i="18"/>
  <c r="T46" i="18"/>
  <c r="S76" i="18"/>
  <c r="I78" i="18"/>
  <c r="I77" i="18"/>
  <c r="G63" i="20"/>
  <c r="T79" i="18"/>
  <c r="T74" i="18"/>
  <c r="S105" i="18"/>
  <c r="I79" i="18"/>
  <c r="S75" i="18"/>
  <c r="S74" i="18"/>
  <c r="J46" i="18"/>
  <c r="J47" i="18"/>
  <c r="H47" i="18"/>
  <c r="H46" i="18"/>
  <c r="H29" i="20"/>
  <c r="I29" i="20"/>
  <c r="F28" i="18"/>
  <c r="V7" i="18"/>
  <c r="F23" i="27"/>
  <c r="K8" i="27"/>
  <c r="U8" i="18"/>
  <c r="V8" i="18"/>
  <c r="K8" i="18"/>
  <c r="K7" i="27"/>
  <c r="F22" i="27"/>
  <c r="K9" i="18"/>
  <c r="F23" i="18"/>
  <c r="S39" i="18"/>
  <c r="J10" i="18"/>
  <c r="U9" i="18"/>
  <c r="F25" i="27"/>
  <c r="K10" i="27"/>
  <c r="J29" i="20"/>
  <c r="K11" i="18"/>
  <c r="J12" i="18"/>
  <c r="U11" i="18"/>
  <c r="V11" i="18"/>
  <c r="K11" i="27"/>
  <c r="F26" i="27"/>
  <c r="F24" i="27"/>
  <c r="K9" i="27"/>
  <c r="K12" i="27"/>
  <c r="F27" i="27"/>
  <c r="I8" i="27"/>
  <c r="E23" i="27"/>
  <c r="I12" i="27"/>
  <c r="E27" i="27"/>
  <c r="I11" i="27"/>
  <c r="E26" i="27"/>
  <c r="E25" i="27"/>
  <c r="I10" i="27"/>
  <c r="I8" i="18"/>
  <c r="S8" i="18"/>
  <c r="T8" i="18"/>
  <c r="T7" i="18"/>
  <c r="E28" i="18"/>
  <c r="I11" i="18"/>
  <c r="H12" i="18"/>
  <c r="I12" i="18"/>
  <c r="S11" i="18"/>
  <c r="T11" i="18"/>
  <c r="I7" i="27"/>
  <c r="E22" i="27"/>
  <c r="H10" i="18"/>
  <c r="S9" i="18"/>
  <c r="E23" i="18"/>
  <c r="R104" i="18"/>
  <c r="I9" i="18"/>
  <c r="E24" i="27"/>
  <c r="I9" i="27"/>
  <c r="Q47" i="18"/>
  <c r="Q110" i="18"/>
  <c r="S47" i="18"/>
  <c r="S110" i="18"/>
  <c r="T110" i="18"/>
  <c r="R110" i="18"/>
  <c r="J103" i="18"/>
  <c r="S107" i="18"/>
  <c r="S103" i="18"/>
  <c r="Q42" i="18"/>
  <c r="S42" i="18"/>
  <c r="J108" i="18"/>
  <c r="I110" i="18"/>
  <c r="G102" i="18"/>
  <c r="S40" i="18"/>
  <c r="S46" i="18"/>
  <c r="J107" i="18"/>
  <c r="J106" i="18"/>
  <c r="S106" i="18"/>
  <c r="T105" i="18"/>
  <c r="T109" i="18"/>
  <c r="Q91" i="20"/>
  <c r="S91" i="20"/>
  <c r="J102" i="18"/>
  <c r="Q103" i="18"/>
  <c r="S43" i="18"/>
  <c r="J109" i="18"/>
  <c r="H108" i="18"/>
  <c r="Q107" i="18"/>
  <c r="G38" i="18"/>
  <c r="R111" i="18"/>
  <c r="Q38" i="18"/>
  <c r="G109" i="18"/>
  <c r="F84" i="20"/>
  <c r="H104" i="18"/>
  <c r="R109" i="18"/>
  <c r="P91" i="20"/>
  <c r="R105" i="18"/>
  <c r="Q46" i="18"/>
  <c r="G111" i="18"/>
  <c r="Q111" i="18"/>
  <c r="T111" i="18"/>
  <c r="G106" i="18"/>
  <c r="G105" i="18"/>
  <c r="I111" i="18"/>
  <c r="S45" i="18"/>
  <c r="Q42" i="20"/>
  <c r="S42" i="20"/>
  <c r="J104" i="18"/>
  <c r="I102" i="18"/>
  <c r="T107" i="18"/>
  <c r="H106" i="18"/>
  <c r="H102" i="18"/>
  <c r="Q44" i="18"/>
  <c r="G110" i="18"/>
  <c r="J111" i="18"/>
  <c r="I106" i="18"/>
  <c r="I105" i="18"/>
  <c r="T103" i="18"/>
  <c r="Q109" i="18"/>
  <c r="P84" i="20"/>
  <c r="Q45" i="18"/>
  <c r="P42" i="20"/>
  <c r="Q106" i="18"/>
  <c r="G123" i="18"/>
  <c r="Q119" i="18"/>
  <c r="R89" i="18"/>
  <c r="Q92" i="18"/>
  <c r="H90" i="18"/>
  <c r="G93" i="18"/>
  <c r="F64" i="20"/>
  <c r="F65" i="20"/>
  <c r="R59" i="18"/>
  <c r="Q120" i="18"/>
  <c r="R90" i="18"/>
  <c r="Q93" i="18"/>
  <c r="P64" i="20"/>
  <c r="P65" i="20"/>
  <c r="H91" i="18"/>
  <c r="G94" i="18"/>
  <c r="R91" i="18"/>
  <c r="Q94" i="18"/>
  <c r="G119" i="18"/>
  <c r="R92" i="18"/>
  <c r="Q95" i="18"/>
  <c r="H93" i="18"/>
  <c r="F71" i="20"/>
  <c r="H86" i="18"/>
  <c r="Q123" i="18"/>
  <c r="R93" i="18"/>
  <c r="P71" i="20"/>
  <c r="R86" i="18"/>
  <c r="H94" i="18"/>
  <c r="G86" i="18"/>
  <c r="R55" i="18"/>
  <c r="R61" i="18"/>
  <c r="P50" i="20"/>
  <c r="R94" i="18"/>
  <c r="Q86" i="18"/>
  <c r="H95" i="18"/>
  <c r="Q91" i="18"/>
  <c r="H89" i="18"/>
  <c r="R63" i="18"/>
  <c r="H92" i="18"/>
  <c r="G87" i="18"/>
  <c r="R54" i="18"/>
  <c r="R117" i="18"/>
  <c r="G88" i="18"/>
  <c r="R56" i="18"/>
  <c r="H88" i="18"/>
  <c r="Q117" i="18"/>
  <c r="G89" i="18"/>
  <c r="R87" i="18"/>
  <c r="G90" i="18"/>
  <c r="R57" i="18"/>
  <c r="R88" i="18"/>
  <c r="G91" i="18"/>
  <c r="Q88" i="18"/>
  <c r="R62" i="18"/>
  <c r="Q90" i="18"/>
  <c r="H87" i="18"/>
  <c r="R95" i="18"/>
  <c r="G92" i="18"/>
  <c r="R58" i="18"/>
  <c r="Q87" i="18"/>
  <c r="G95" i="18"/>
  <c r="R60" i="18"/>
  <c r="Q89" i="18"/>
  <c r="J110" i="18"/>
  <c r="S109" i="18"/>
  <c r="Q84" i="20"/>
  <c r="S84" i="20"/>
  <c r="J105" i="18"/>
  <c r="T104" i="18"/>
  <c r="T108" i="18"/>
  <c r="H110" i="18"/>
  <c r="Q39" i="18"/>
  <c r="H111" i="18"/>
  <c r="Q43" i="18"/>
  <c r="H109" i="18"/>
  <c r="F91" i="20"/>
  <c r="S44" i="18"/>
  <c r="T106" i="18"/>
  <c r="Q41" i="18"/>
  <c r="G103" i="18"/>
  <c r="H105" i="18"/>
  <c r="H103" i="18"/>
  <c r="S38" i="18"/>
  <c r="S41" i="18"/>
  <c r="I109" i="18"/>
  <c r="G84" i="20"/>
  <c r="T45" i="18"/>
  <c r="T48" i="18"/>
  <c r="G107" i="18"/>
  <c r="Q40" i="18"/>
  <c r="R108" i="18"/>
  <c r="R103" i="18"/>
  <c r="I119" i="18"/>
  <c r="S117" i="18"/>
  <c r="T93" i="18"/>
  <c r="Q71" i="20"/>
  <c r="Q72" i="20"/>
  <c r="T86" i="18"/>
  <c r="I88" i="18"/>
  <c r="T54" i="18"/>
  <c r="S86" i="18"/>
  <c r="T94" i="18"/>
  <c r="I86" i="18"/>
  <c r="I89" i="18"/>
  <c r="T58" i="18"/>
  <c r="T95" i="18"/>
  <c r="J87" i="18"/>
  <c r="I90" i="18"/>
  <c r="S123" i="18"/>
  <c r="S87" i="18"/>
  <c r="J88" i="18"/>
  <c r="I91" i="18"/>
  <c r="T59" i="18"/>
  <c r="S88" i="18"/>
  <c r="J89" i="18"/>
  <c r="I92" i="18"/>
  <c r="S89" i="18"/>
  <c r="J90" i="18"/>
  <c r="I93" i="18"/>
  <c r="G64" i="20"/>
  <c r="T60" i="18"/>
  <c r="S95" i="18"/>
  <c r="T87" i="18"/>
  <c r="J91" i="18"/>
  <c r="T56" i="18"/>
  <c r="T63" i="18"/>
  <c r="T88" i="18"/>
  <c r="J92" i="18"/>
  <c r="I123" i="18"/>
  <c r="T89" i="18"/>
  <c r="J93" i="18"/>
  <c r="G71" i="20"/>
  <c r="T55" i="18"/>
  <c r="S90" i="18"/>
  <c r="T62" i="18"/>
  <c r="S119" i="18"/>
  <c r="S91" i="18"/>
  <c r="S92" i="18"/>
  <c r="S120" i="18"/>
  <c r="S93" i="18"/>
  <c r="Q64" i="20"/>
  <c r="Q65" i="20"/>
  <c r="T117" i="18"/>
  <c r="I87" i="18"/>
  <c r="T90" i="18"/>
  <c r="I95" i="18"/>
  <c r="T91" i="18"/>
  <c r="T61" i="18"/>
  <c r="Q50" i="20"/>
  <c r="S94" i="18"/>
  <c r="J94" i="18"/>
  <c r="J95" i="18"/>
  <c r="T57" i="18"/>
  <c r="I94" i="18"/>
  <c r="J86" i="18"/>
  <c r="T92" i="18"/>
  <c r="I107" i="18"/>
  <c r="S111" i="18"/>
  <c r="I38" i="18"/>
  <c r="I103" i="18"/>
  <c r="R107" i="18"/>
  <c r="H107" i="18"/>
  <c r="R45" i="18"/>
  <c r="P49" i="20"/>
  <c r="R106" i="18"/>
  <c r="J40" i="18"/>
  <c r="I39" i="18"/>
  <c r="I45" i="18"/>
  <c r="G42" i="20"/>
  <c r="H42" i="20"/>
  <c r="J44" i="18"/>
  <c r="J38" i="18"/>
  <c r="I47" i="18"/>
  <c r="J42" i="18"/>
  <c r="I42" i="18"/>
  <c r="J39" i="18"/>
  <c r="J43" i="18"/>
  <c r="I44" i="18"/>
  <c r="J41" i="18"/>
  <c r="I41" i="18"/>
  <c r="I40" i="18"/>
  <c r="I46" i="18"/>
  <c r="J45" i="18"/>
  <c r="G49" i="20"/>
  <c r="H49" i="20"/>
  <c r="I43" i="18"/>
  <c r="G39" i="18"/>
  <c r="H44" i="18"/>
  <c r="H38" i="18"/>
  <c r="H43" i="18"/>
  <c r="H42" i="18"/>
  <c r="G47" i="18"/>
  <c r="G42" i="18"/>
  <c r="H40" i="18"/>
  <c r="H41" i="18"/>
  <c r="G40" i="18"/>
  <c r="G41" i="18"/>
  <c r="H45" i="18"/>
  <c r="F49" i="20"/>
  <c r="H39" i="18"/>
  <c r="G46" i="18"/>
  <c r="G44" i="18"/>
  <c r="G45" i="18"/>
  <c r="F42" i="20"/>
  <c r="G43" i="18"/>
  <c r="G91" i="20"/>
  <c r="H91" i="20"/>
  <c r="I80" i="18"/>
  <c r="J80" i="18"/>
  <c r="S63" i="20"/>
  <c r="R63" i="20"/>
  <c r="Q56" i="20"/>
  <c r="H63" i="20"/>
  <c r="I63" i="20"/>
  <c r="G56" i="20"/>
  <c r="I33" i="27"/>
  <c r="I34" i="27"/>
  <c r="I35" i="27"/>
  <c r="H70" i="20"/>
  <c r="I70" i="20"/>
  <c r="U12" i="18"/>
  <c r="V12" i="18"/>
  <c r="K12" i="18"/>
  <c r="S80" i="18"/>
  <c r="T80" i="18"/>
  <c r="F29" i="18"/>
  <c r="J58" i="18"/>
  <c r="V9" i="18"/>
  <c r="J34" i="27"/>
  <c r="G110" i="20"/>
  <c r="J35" i="27"/>
  <c r="G111" i="20"/>
  <c r="J33" i="27"/>
  <c r="G109" i="20"/>
  <c r="S70" i="20"/>
  <c r="R70" i="20"/>
  <c r="K10" i="18"/>
  <c r="U10" i="18"/>
  <c r="V10" i="18"/>
  <c r="Q80" i="18"/>
  <c r="H80" i="18"/>
  <c r="G80" i="18"/>
  <c r="R80" i="18"/>
  <c r="T9" i="18"/>
  <c r="E29" i="18"/>
  <c r="H59" i="18"/>
  <c r="H34" i="27"/>
  <c r="F110" i="20"/>
  <c r="H33" i="27"/>
  <c r="F109" i="20"/>
  <c r="H35" i="27"/>
  <c r="F111" i="20"/>
  <c r="S10" i="18"/>
  <c r="T10" i="18"/>
  <c r="I10" i="18"/>
  <c r="F56" i="20"/>
  <c r="J63" i="20"/>
  <c r="G35" i="27"/>
  <c r="G33" i="27"/>
  <c r="G34" i="27"/>
  <c r="J70" i="20"/>
  <c r="T70" i="20"/>
  <c r="T63" i="20"/>
  <c r="P56" i="20"/>
  <c r="S12" i="18"/>
  <c r="T12" i="18"/>
  <c r="T125" i="18"/>
  <c r="Q125" i="18"/>
  <c r="S125" i="18"/>
  <c r="R125" i="18"/>
  <c r="Q49" i="20"/>
  <c r="S49" i="20"/>
  <c r="S122" i="18"/>
  <c r="J61" i="18"/>
  <c r="G50" i="20"/>
  <c r="G51" i="20"/>
  <c r="H51" i="20"/>
  <c r="S61" i="18"/>
  <c r="Q43" i="20"/>
  <c r="Q44" i="20"/>
  <c r="S44" i="20"/>
  <c r="J118" i="18"/>
  <c r="R121" i="18"/>
  <c r="H117" i="18"/>
  <c r="G120" i="18"/>
  <c r="H61" i="18"/>
  <c r="F50" i="20"/>
  <c r="J60" i="18"/>
  <c r="H56" i="18"/>
  <c r="G60" i="18"/>
  <c r="R122" i="18"/>
  <c r="H121" i="18"/>
  <c r="Q60" i="18"/>
  <c r="H123" i="18"/>
  <c r="G58" i="18"/>
  <c r="G63" i="18"/>
  <c r="H125" i="18"/>
  <c r="G56" i="18"/>
  <c r="I55" i="18"/>
  <c r="T123" i="18"/>
  <c r="I125" i="18"/>
  <c r="I124" i="18"/>
  <c r="G85" i="20"/>
  <c r="G86" i="20"/>
  <c r="H86" i="20"/>
  <c r="S121" i="18"/>
  <c r="J117" i="18"/>
  <c r="Q63" i="18"/>
  <c r="Q54" i="18"/>
  <c r="G126" i="18"/>
  <c r="H119" i="18"/>
  <c r="H118" i="18"/>
  <c r="S56" i="18"/>
  <c r="J56" i="18"/>
  <c r="J126" i="18"/>
  <c r="G59" i="18"/>
  <c r="Q122" i="18"/>
  <c r="T118" i="18"/>
  <c r="S60" i="18"/>
  <c r="J120" i="18"/>
  <c r="R119" i="18"/>
  <c r="H122" i="18"/>
  <c r="G125" i="18"/>
  <c r="J123" i="18"/>
  <c r="J55" i="18"/>
  <c r="H62" i="18"/>
  <c r="G121" i="18"/>
  <c r="T126" i="18"/>
  <c r="J122" i="18"/>
  <c r="S126" i="18"/>
  <c r="I117" i="18"/>
  <c r="J57" i="18"/>
  <c r="S57" i="18"/>
  <c r="T121" i="18"/>
  <c r="Q124" i="18"/>
  <c r="P85" i="20"/>
  <c r="R120" i="18"/>
  <c r="I63" i="18"/>
  <c r="S63" i="18"/>
  <c r="I60" i="18"/>
  <c r="S54" i="18"/>
  <c r="S58" i="18"/>
  <c r="R123" i="18"/>
  <c r="R126" i="18"/>
  <c r="G57" i="18"/>
  <c r="H124" i="18"/>
  <c r="F92" i="20"/>
  <c r="I61" i="18"/>
  <c r="G43" i="20"/>
  <c r="H43" i="20"/>
  <c r="I121" i="18"/>
  <c r="T122" i="18"/>
  <c r="J125" i="18"/>
  <c r="G117" i="18"/>
  <c r="G122" i="18"/>
  <c r="H57" i="18"/>
  <c r="H55" i="18"/>
  <c r="Q62" i="18"/>
  <c r="J62" i="18"/>
  <c r="T120" i="18"/>
  <c r="S59" i="18"/>
  <c r="T119" i="18"/>
  <c r="J59" i="18"/>
  <c r="I126" i="18"/>
  <c r="J119" i="18"/>
  <c r="G54" i="18"/>
  <c r="H126" i="18"/>
  <c r="H60" i="18"/>
  <c r="Q57" i="18"/>
  <c r="Q118" i="18"/>
  <c r="G61" i="18"/>
  <c r="F43" i="20"/>
  <c r="S62" i="18"/>
  <c r="I118" i="18"/>
  <c r="J63" i="18"/>
  <c r="T124" i="18"/>
  <c r="Q92" i="20"/>
  <c r="Q93" i="20"/>
  <c r="S124" i="18"/>
  <c r="Q85" i="20"/>
  <c r="Q86" i="20"/>
  <c r="S86" i="20"/>
  <c r="I120" i="18"/>
  <c r="J54" i="18"/>
  <c r="H54" i="18"/>
  <c r="Q59" i="18"/>
  <c r="G62" i="18"/>
  <c r="G55" i="18"/>
  <c r="G124" i="18"/>
  <c r="F85" i="20"/>
  <c r="J124" i="18"/>
  <c r="G92" i="20"/>
  <c r="G93" i="20"/>
  <c r="H93" i="20"/>
  <c r="I62" i="18"/>
  <c r="I59" i="18"/>
  <c r="I57" i="18"/>
  <c r="I122" i="18"/>
  <c r="S118" i="18"/>
  <c r="I54" i="18"/>
  <c r="I58" i="18"/>
  <c r="H63" i="18"/>
  <c r="H58" i="18"/>
  <c r="Q126" i="18"/>
  <c r="Q56" i="18"/>
  <c r="Q61" i="18"/>
  <c r="P43" i="20"/>
  <c r="P44" i="20"/>
  <c r="Q121" i="18"/>
  <c r="G118" i="18"/>
  <c r="S55" i="18"/>
  <c r="I56" i="18"/>
  <c r="J121" i="18"/>
  <c r="R124" i="18"/>
  <c r="P92" i="20"/>
  <c r="Q58" i="18"/>
  <c r="H120" i="18"/>
  <c r="Q55" i="18"/>
  <c r="R118" i="18"/>
  <c r="S112" i="18"/>
  <c r="I112" i="18"/>
  <c r="G77" i="20"/>
  <c r="H77" i="20"/>
  <c r="I42" i="20"/>
  <c r="T112" i="18"/>
  <c r="T42" i="20"/>
  <c r="G35" i="20"/>
  <c r="I35" i="20"/>
  <c r="H84" i="20"/>
  <c r="I49" i="20"/>
  <c r="I91" i="20"/>
  <c r="I84" i="20"/>
  <c r="J48" i="18"/>
  <c r="J42" i="20"/>
  <c r="R42" i="20"/>
  <c r="J112" i="18"/>
  <c r="S48" i="18"/>
  <c r="I48" i="18"/>
  <c r="J71" i="20"/>
  <c r="R84" i="20"/>
  <c r="R91" i="20"/>
  <c r="Q77" i="20"/>
  <c r="S77" i="20"/>
  <c r="T56" i="20"/>
  <c r="J109" i="20"/>
  <c r="J110" i="20"/>
  <c r="J56" i="20"/>
  <c r="R65" i="20"/>
  <c r="Q58" i="20"/>
  <c r="S65" i="20"/>
  <c r="H71" i="20"/>
  <c r="I71" i="20"/>
  <c r="R50" i="20"/>
  <c r="S50" i="20"/>
  <c r="S71" i="20"/>
  <c r="R71" i="20"/>
  <c r="R56" i="20"/>
  <c r="S56" i="20"/>
  <c r="J111" i="20"/>
  <c r="H48" i="18"/>
  <c r="R72" i="20"/>
  <c r="S72" i="20"/>
  <c r="S96" i="18"/>
  <c r="G57" i="20"/>
  <c r="I64" i="20"/>
  <c r="H64" i="20"/>
  <c r="T96" i="18"/>
  <c r="G99" i="20"/>
  <c r="G105" i="20"/>
  <c r="H109" i="20"/>
  <c r="I109" i="20"/>
  <c r="S64" i="20"/>
  <c r="R64" i="20"/>
  <c r="Q57" i="20"/>
  <c r="G98" i="20"/>
  <c r="G104" i="20"/>
  <c r="G103" i="20"/>
  <c r="G97" i="20"/>
  <c r="H111" i="20"/>
  <c r="I111" i="20"/>
  <c r="H110" i="20"/>
  <c r="I110" i="20"/>
  <c r="G65" i="20"/>
  <c r="J65" i="20"/>
  <c r="T64" i="18"/>
  <c r="H56" i="20"/>
  <c r="I56" i="20"/>
  <c r="T50" i="20"/>
  <c r="T71" i="20"/>
  <c r="J96" i="18"/>
  <c r="I96" i="18"/>
  <c r="G72" i="20"/>
  <c r="G48" i="18"/>
  <c r="H96" i="18"/>
  <c r="Q112" i="18"/>
  <c r="G96" i="18"/>
  <c r="R112" i="18"/>
  <c r="R64" i="18"/>
  <c r="H112" i="18"/>
  <c r="Q96" i="18"/>
  <c r="R48" i="18"/>
  <c r="G112" i="18"/>
  <c r="Q48" i="18"/>
  <c r="R96" i="18"/>
  <c r="P35" i="20"/>
  <c r="P72" i="20"/>
  <c r="T72" i="20"/>
  <c r="F57" i="20"/>
  <c r="J64" i="20"/>
  <c r="T84" i="20"/>
  <c r="P77" i="20"/>
  <c r="T91" i="20"/>
  <c r="T65" i="20"/>
  <c r="F97" i="20"/>
  <c r="F103" i="20"/>
  <c r="F105" i="20"/>
  <c r="F99" i="20"/>
  <c r="J91" i="20"/>
  <c r="J84" i="20"/>
  <c r="F77" i="20"/>
  <c r="F104" i="20"/>
  <c r="F98" i="20"/>
  <c r="J49" i="20"/>
  <c r="F72" i="20"/>
  <c r="P51" i="20"/>
  <c r="T64" i="20"/>
  <c r="P57" i="20"/>
  <c r="F35" i="20"/>
  <c r="Q35" i="20"/>
  <c r="R35" i="20"/>
  <c r="Q51" i="20"/>
  <c r="Q37" i="20"/>
  <c r="T49" i="20"/>
  <c r="R49" i="20"/>
  <c r="J77" i="20"/>
  <c r="I77" i="20"/>
  <c r="H35" i="20"/>
  <c r="J35" i="20"/>
  <c r="R77" i="20"/>
  <c r="T77" i="20"/>
  <c r="R43" i="20"/>
  <c r="R44" i="20"/>
  <c r="I85" i="20"/>
  <c r="H85" i="20"/>
  <c r="J50" i="20"/>
  <c r="T92" i="20"/>
  <c r="Q78" i="20"/>
  <c r="S78" i="20"/>
  <c r="T127" i="18"/>
  <c r="R92" i="20"/>
  <c r="R86" i="20"/>
  <c r="J103" i="20"/>
  <c r="H50" i="20"/>
  <c r="I50" i="20"/>
  <c r="I51" i="20"/>
  <c r="J127" i="18"/>
  <c r="H92" i="20"/>
  <c r="J92" i="20"/>
  <c r="J105" i="20"/>
  <c r="G36" i="20"/>
  <c r="I36" i="20"/>
  <c r="I127" i="18"/>
  <c r="G78" i="20"/>
  <c r="H78" i="20"/>
  <c r="I93" i="20"/>
  <c r="G79" i="20"/>
  <c r="I79" i="20"/>
  <c r="J64" i="18"/>
  <c r="I86" i="20"/>
  <c r="J98" i="20"/>
  <c r="T85" i="20"/>
  <c r="S92" i="20"/>
  <c r="R85" i="20"/>
  <c r="Q36" i="20"/>
  <c r="S36" i="20"/>
  <c r="I43" i="20"/>
  <c r="S64" i="18"/>
  <c r="I64" i="18"/>
  <c r="G44" i="20"/>
  <c r="H44" i="20"/>
  <c r="T44" i="20"/>
  <c r="S85" i="20"/>
  <c r="I92" i="20"/>
  <c r="S43" i="20"/>
  <c r="T57" i="20"/>
  <c r="J104" i="20"/>
  <c r="J99" i="20"/>
  <c r="S127" i="18"/>
  <c r="J97" i="20"/>
  <c r="I104" i="20"/>
  <c r="H104" i="20"/>
  <c r="H57" i="20"/>
  <c r="I57" i="20"/>
  <c r="I72" i="20"/>
  <c r="H72" i="20"/>
  <c r="G58" i="20"/>
  <c r="H65" i="20"/>
  <c r="I65" i="20"/>
  <c r="H98" i="20"/>
  <c r="I98" i="20"/>
  <c r="S57" i="20"/>
  <c r="R57" i="20"/>
  <c r="J57" i="20"/>
  <c r="S93" i="20"/>
  <c r="R93" i="20"/>
  <c r="H105" i="20"/>
  <c r="I105" i="20"/>
  <c r="S58" i="20"/>
  <c r="R58" i="20"/>
  <c r="H99" i="20"/>
  <c r="I99" i="20"/>
  <c r="H97" i="20"/>
  <c r="I97" i="20"/>
  <c r="J72" i="20"/>
  <c r="H103" i="20"/>
  <c r="I103" i="20"/>
  <c r="Q79" i="20"/>
  <c r="Q127" i="18"/>
  <c r="R127" i="18"/>
  <c r="G64" i="18"/>
  <c r="G127" i="18"/>
  <c r="H127" i="18"/>
  <c r="H64" i="18"/>
  <c r="Q64" i="18"/>
  <c r="P58" i="20"/>
  <c r="T58" i="20"/>
  <c r="P86" i="20"/>
  <c r="T86" i="20"/>
  <c r="F58" i="20"/>
  <c r="P36" i="20"/>
  <c r="F51" i="20"/>
  <c r="J51" i="20"/>
  <c r="T43" i="20"/>
  <c r="F93" i="20"/>
  <c r="J93" i="20"/>
  <c r="J43" i="20"/>
  <c r="F36" i="20"/>
  <c r="F44" i="20"/>
  <c r="P78" i="20"/>
  <c r="F78" i="20"/>
  <c r="J85" i="20"/>
  <c r="P93" i="20"/>
  <c r="T93" i="20"/>
  <c r="F86" i="20"/>
  <c r="P37" i="20"/>
  <c r="T35" i="20"/>
  <c r="S35" i="20"/>
  <c r="T51" i="20"/>
  <c r="R51" i="20"/>
  <c r="S51" i="20"/>
  <c r="R78" i="20"/>
  <c r="J36" i="20"/>
  <c r="H36" i="20"/>
  <c r="T78" i="20"/>
  <c r="H79" i="20"/>
  <c r="T36" i="20"/>
  <c r="I78" i="20"/>
  <c r="R36" i="20"/>
  <c r="J78" i="20"/>
  <c r="G37" i="20"/>
  <c r="H37" i="20"/>
  <c r="I44" i="20"/>
  <c r="J58" i="20"/>
  <c r="T37" i="20"/>
  <c r="H58" i="20"/>
  <c r="I58" i="20"/>
  <c r="R37" i="20"/>
  <c r="S37" i="20"/>
  <c r="S79" i="20"/>
  <c r="R79" i="20"/>
  <c r="F79" i="20"/>
  <c r="J79" i="20"/>
  <c r="J86" i="20"/>
  <c r="F37" i="20"/>
  <c r="J44" i="20"/>
  <c r="P79" i="20"/>
  <c r="T79" i="20"/>
  <c r="J37" i="20"/>
  <c r="I3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tc={3C318DE9-79AF-4A9D-815C-0AC059E214AA}</author>
  </authors>
  <commentList>
    <comment ref="K144" authorId="0" shapeId="0" xr:uid="{3C318DE9-79AF-4A9D-815C-0AC059E214AA}">
      <text>
        <t>[Threaded comment]
Your version of Excel allows you to read this threaded comment; however, any edits to it will get removed if the file is opened in a newer version of Excel. Learn more: https://go.microsoft.com/fwlink/?linkid=870924
Comment:
    Formula will need to be changed in September</t>
      </text>
    </comment>
  </commentList>
</comments>
</file>

<file path=xl/sharedStrings.xml><?xml version="1.0" encoding="utf-8"?>
<sst xmlns="http://schemas.openxmlformats.org/spreadsheetml/2006/main" count="3095" uniqueCount="683">
  <si>
    <t>Tab Name</t>
  </si>
  <si>
    <t>Description/Purpose</t>
  </si>
  <si>
    <t>Where Used in Model</t>
  </si>
  <si>
    <t>Selected Data</t>
  </si>
  <si>
    <t>- Provides a snapshot of certain information (proceedings, revenue requirements (RRQs), rates and residential bills) developed or provided in the model.</t>
  </si>
  <si>
    <t>N/A</t>
  </si>
  <si>
    <t>Notes</t>
  </si>
  <si>
    <t>- Identifies where the model differs from PG&amp;E's filing quality rate models used for rate setting.</t>
  </si>
  <si>
    <t>Instructions</t>
  </si>
  <si>
    <t>- Provides user instructions for running the "basic" model, validating the results of the illustrative "typical customer" bill against a bill insert and Hypothetical RRQ modeling.</t>
  </si>
  <si>
    <t>Summary</t>
  </si>
  <si>
    <r>
      <t xml:space="preserve">- Provides illustrative bundled residential, small commercial, medium commercial, large commercial, other commercial and industrial, agriculture and system average rates, total illustrative system average rates, and illustrative bundled </t>
    </r>
    <r>
      <rPr>
        <vertAlign val="superscript"/>
        <sz val="11"/>
        <color theme="1"/>
        <rFont val="Aptos Narrow"/>
        <family val="2"/>
      </rPr>
      <t>(1)</t>
    </r>
    <r>
      <rPr>
        <sz val="11"/>
        <color theme="1"/>
        <rFont val="Calibri"/>
        <family val="2"/>
        <scheme val="minor"/>
      </rPr>
      <t xml:space="preserve">, essential usage </t>
    </r>
    <r>
      <rPr>
        <vertAlign val="superscript"/>
        <sz val="11"/>
        <color theme="1"/>
        <rFont val="Calibri"/>
        <family val="2"/>
        <scheme val="minor"/>
      </rPr>
      <t>(2)</t>
    </r>
    <r>
      <rPr>
        <sz val="11"/>
        <color theme="1"/>
        <rFont val="Calibri"/>
        <family val="2"/>
        <scheme val="minor"/>
      </rPr>
      <t xml:space="preserve"> and typical </t>
    </r>
    <r>
      <rPr>
        <vertAlign val="superscript"/>
        <sz val="11"/>
        <color theme="1"/>
        <rFont val="Calibri"/>
        <family val="2"/>
        <scheme val="minor"/>
      </rPr>
      <t>(3)</t>
    </r>
    <r>
      <rPr>
        <sz val="11"/>
        <color theme="1"/>
        <rFont val="Calibri"/>
        <family val="2"/>
        <scheme val="minor"/>
      </rPr>
      <t xml:space="preserve"> bundled residential/ small commercial customer average bills based on user input fields selected on this tab.
- User input fields allow users to select the year, baseline region, CA climate credit inclusion, "typical" residential average usage  and the pending proceedings to be included in the rates and bill calculations shown on this tab.
- Provides various assumptions utilized in the calculation of rates and bills on this tab.
</t>
    </r>
    <r>
      <rPr>
        <vertAlign val="superscript"/>
        <sz val="11"/>
        <color theme="1"/>
        <rFont val="Calibri"/>
        <family val="2"/>
        <scheme val="minor"/>
      </rPr>
      <t>(1)</t>
    </r>
    <r>
      <rPr>
        <sz val="11"/>
        <color theme="1"/>
        <rFont val="Calibri"/>
        <family val="2"/>
        <scheme val="minor"/>
      </rPr>
      <t xml:space="preserve"> Illustrative bills are based on the recorded average monthly usage for calendar year 2024.
</t>
    </r>
    <r>
      <rPr>
        <vertAlign val="superscript"/>
        <sz val="11"/>
        <color theme="1"/>
        <rFont val="Calibri"/>
        <family val="2"/>
        <scheme val="minor"/>
      </rPr>
      <t>(2)</t>
    </r>
    <r>
      <rPr>
        <sz val="11"/>
        <color theme="1"/>
        <rFont val="Calibri"/>
        <family val="2"/>
        <scheme val="minor"/>
      </rPr>
      <t xml:space="preserve"> Essential usage is defined in D.20-07-032, as using the baseline or Tier 1 rate and the baseline quantity to calculate the essential usage bill.
</t>
    </r>
    <r>
      <rPr>
        <vertAlign val="superscript"/>
        <sz val="11"/>
        <color theme="1"/>
        <rFont val="Calibri"/>
        <family val="2"/>
        <scheme val="minor"/>
      </rPr>
      <t>(3)</t>
    </r>
    <r>
      <rPr>
        <sz val="11"/>
        <color theme="1"/>
        <rFont val="Calibri"/>
        <family val="2"/>
        <scheme val="minor"/>
      </rPr>
      <t xml:space="preserve"> Typical usage is as used by PG&amp;E in its various applications considered to be 500 kWh. It can be changed by the user by entering different value into I4.</t>
    </r>
  </si>
  <si>
    <t xml:space="preserve">Selected Data
</t>
  </si>
  <si>
    <t>Authorized Rev Req</t>
  </si>
  <si>
    <t xml:space="preserve">Lists all approved proceedings and the RRQs by revenue recovery mechanism currently in rates broken out by rate change. </t>
  </si>
  <si>
    <t>Incremental Rev Req</t>
  </si>
  <si>
    <t>Lists all approved proceedings with their associated yearly RRQ as well as pending proceedings with their anticipated yearly RRQs. Existing proceedings that have pending RRQs lists the incremental change in columns L-O.</t>
  </si>
  <si>
    <t>Selected Data, Summary, Incremental Rev Req, SAR and RAR, SAR and RAR (B-1), SAR and RAR (Medium), SAR and RAR (Large), SAR and RAR (Other), SAR and RAR (AG)</t>
  </si>
  <si>
    <t xml:space="preserve"> </t>
  </si>
  <si>
    <t>SAR and RAR</t>
  </si>
  <si>
    <t>- Lists the various allocations by RRQ type.
- Identifies the RRQ type (i.e. Distribution, Transmission, Public Purpose Program, etc.). 
- Identifies the percentage of the total allocated RRQ that is allocated to the residential customer class.
- Identifies the percentage of the RRQ allocated to the residential customer class that is bundled. 
- Identifies the percentage of the total allocated RRQ that is bundled. 
- Provides forecasted yearly revenue for both residential and total system sales.
- Calculates bundled residential average rates, total residential average rates, bundled system average rates and total system average rates.</t>
  </si>
  <si>
    <t>Summary, Res Bill Impact, SAR RAR (B-1), SAR and RAR (Medium), SAR and RAR (Large), SAR and RAR (Other), SAR and RAR (AG)</t>
  </si>
  <si>
    <t>Res Bill Impact</t>
  </si>
  <si>
    <t xml:space="preserve">- Calculates the rates and bills shown in the Summary tab using the following information found on this tab:
     ~ present, illustrative proposed authorized and illustrative proposed with pending proceedings rates for non-CARE and CARE customers. 
     ~ current baseline quantities.
     ~ recorded average monthly usage by climate zone and season.
     ~ percent of non-CARE usage in each climate zone and percent of CARE usage in each climate zone (used to calculate "all climate zone" bills).
</t>
  </si>
  <si>
    <t xml:space="preserve"> Summary</t>
  </si>
  <si>
    <t>SAR and RAR (B-1)</t>
  </si>
  <si>
    <t>- Lists the various allocations by RRQ type.
- Identifies the RRQ type (i.e. Distribution, Transmission, Public Purpose Program, etc.). 
- Identifies the percentage of the total allocated RRQ that is allocated to the B-1 customer class.
- Identifies the percentage of the RRQ allocated to the B-1 customer class that is bundled. 
- Identifies the percentage of the total allocated RRQ that is bundled. 
- Provides forecasted yearly revenue for both B-1 and total system sales.
- Calculates bundled B-1 average rates, total B-1 average rates, bundled system average rates and total system average rates.</t>
  </si>
  <si>
    <t xml:space="preserve"> Summary, Bill Impact (B-1)</t>
  </si>
  <si>
    <t>Bill Impact (B-1)</t>
  </si>
  <si>
    <t xml:space="preserve">- Calculates the rates and bills shown in the Summary tab using the following information found on this tab:
     ~ present, illustrative proposed authorized and illustrative proposed with pending proceedings rates for select B-1 customers. 
     ~ recorded average monthly usage by season and time-of-use periods.
</t>
  </si>
  <si>
    <t>Hypothetical Summary</t>
  </si>
  <si>
    <r>
      <t xml:space="preserve">- Provides hypothetical illustrative bundled residential, small commercial and system average rates, total illustrative system average rates, and illustrative bundled </t>
    </r>
    <r>
      <rPr>
        <vertAlign val="superscript"/>
        <sz val="11"/>
        <color theme="1"/>
        <rFont val="Aptos Narrow"/>
        <family val="2"/>
      </rPr>
      <t>(1)</t>
    </r>
    <r>
      <rPr>
        <sz val="11"/>
        <color theme="1"/>
        <rFont val="Calibri"/>
        <family val="2"/>
        <scheme val="minor"/>
      </rPr>
      <t xml:space="preserve">, essential usage </t>
    </r>
    <r>
      <rPr>
        <vertAlign val="superscript"/>
        <sz val="11"/>
        <color theme="1"/>
        <rFont val="Calibri"/>
        <family val="2"/>
        <scheme val="minor"/>
      </rPr>
      <t>(2)</t>
    </r>
    <r>
      <rPr>
        <sz val="11"/>
        <color theme="1"/>
        <rFont val="Calibri"/>
        <family val="2"/>
        <scheme val="minor"/>
      </rPr>
      <t xml:space="preserve"> and typical </t>
    </r>
    <r>
      <rPr>
        <vertAlign val="superscript"/>
        <sz val="11"/>
        <color theme="1"/>
        <rFont val="Calibri"/>
        <family val="2"/>
        <scheme val="minor"/>
      </rPr>
      <t>(3)</t>
    </r>
    <r>
      <rPr>
        <sz val="11"/>
        <color theme="1"/>
        <rFont val="Calibri"/>
        <family val="2"/>
        <scheme val="minor"/>
      </rPr>
      <t xml:space="preserve"> bundled residential/ small commercial customer average bills based on user input fields selected on this tab.
- User input fields allow users to select the year, baseline region, CA climate credit inclusion, "typical" residential average usage and hypothetical revenue requirements to be included in the rates and bill calculations shown on this tab.
- Provides various assumptions utilized in the calculation of rates and bills on this tab.
</t>
    </r>
    <r>
      <rPr>
        <vertAlign val="superscript"/>
        <sz val="11"/>
        <color theme="1"/>
        <rFont val="Calibri"/>
        <family val="2"/>
        <scheme val="minor"/>
      </rPr>
      <t>(1)</t>
    </r>
    <r>
      <rPr>
        <sz val="11"/>
        <color theme="1"/>
        <rFont val="Calibri"/>
        <family val="2"/>
        <scheme val="minor"/>
      </rPr>
      <t xml:space="preserve"> Illustrative bills are based on the recorded average monthly usage for calendar year 2024.
</t>
    </r>
    <r>
      <rPr>
        <vertAlign val="superscript"/>
        <sz val="11"/>
        <color theme="1"/>
        <rFont val="Calibri"/>
        <family val="2"/>
        <scheme val="minor"/>
      </rPr>
      <t>(2)</t>
    </r>
    <r>
      <rPr>
        <sz val="11"/>
        <color theme="1"/>
        <rFont val="Calibri"/>
        <family val="2"/>
        <scheme val="minor"/>
      </rPr>
      <t xml:space="preserve"> Essential usage is defined in D.20-07-032, as using the baseline or Tier 1 rate and the baseline quantity to calculate the essential usage bill.
</t>
    </r>
    <r>
      <rPr>
        <vertAlign val="superscript"/>
        <sz val="11"/>
        <color theme="1"/>
        <rFont val="Calibri"/>
        <family val="2"/>
        <scheme val="minor"/>
      </rPr>
      <t>(3)</t>
    </r>
    <r>
      <rPr>
        <sz val="11"/>
        <color theme="1"/>
        <rFont val="Calibri"/>
        <family val="2"/>
        <scheme val="minor"/>
      </rPr>
      <t xml:space="preserve"> Typical usage is as used by PG&amp;E in its various applications considered to be 500 kWh. It can be changed by the user by entering different value into D3.</t>
    </r>
  </si>
  <si>
    <t xml:space="preserve">Summary of Selected Data </t>
  </si>
  <si>
    <t>Revenue</t>
  </si>
  <si>
    <t xml:space="preserve"> Requirement</t>
  </si>
  <si>
    <t>$000</t>
  </si>
  <si>
    <t>Current total system-level revenue requirement that is used for defining the reporting threshold:</t>
  </si>
  <si>
    <t>A</t>
  </si>
  <si>
    <t>One-percent reporting threshold</t>
  </si>
  <si>
    <r>
      <t>List of currently open proceedings for which affordability metrics have been filed</t>
    </r>
    <r>
      <rPr>
        <vertAlign val="superscript"/>
        <sz val="10.8"/>
        <color theme="1"/>
        <rFont val="Calibri"/>
        <family val="2"/>
      </rPr>
      <t>1</t>
    </r>
    <r>
      <rPr>
        <sz val="12"/>
        <color theme="1"/>
        <rFont val="Calibri"/>
        <family val="2"/>
        <scheme val="minor"/>
      </rPr>
      <t>:</t>
    </r>
  </si>
  <si>
    <t>Kincade and Dixie AB1054 Wildfire Cost Review and Recovery Proceeding</t>
  </si>
  <si>
    <t>E</t>
  </si>
  <si>
    <t>A.24-11-009</t>
  </si>
  <si>
    <t>2024 WMCE</t>
  </si>
  <si>
    <t>H</t>
  </si>
  <si>
    <t>A.25-05-009</t>
  </si>
  <si>
    <t>2027 GRC Phase 1</t>
  </si>
  <si>
    <t>Total system-level revenue requirement if all pending revenue were granted in full:
requests were granted in full</t>
  </si>
  <si>
    <t>Current 2026</t>
  </si>
  <si>
    <t>B</t>
  </si>
  <si>
    <t>YE 2026</t>
  </si>
  <si>
    <t>C</t>
  </si>
  <si>
    <t>YE 2027</t>
  </si>
  <si>
    <t>D</t>
  </si>
  <si>
    <t>YE 2028</t>
  </si>
  <si>
    <t>YE 2029</t>
  </si>
  <si>
    <t>Bundled residential average rate (RAR) if all pending revenue were granted in full (from Cost and Rate Tracker (CRT) as submitted by utility):</t>
  </si>
  <si>
    <t>cents/kWh</t>
  </si>
  <si>
    <t>Bundled residential average monthly bill corresponding to RAR above for typical customer in climate zone X using 500 kWh (from CRT as submitted by utility):</t>
  </si>
  <si>
    <t>Non-CARE</t>
  </si>
  <si>
    <t>CARE</t>
  </si>
  <si>
    <t>Bundled small commercial average rate (B-1) if all pending revenue were granted in full (from Cost and Rate Tracker (CRT) as submitted by utility):</t>
  </si>
  <si>
    <t>Bundled small commercial average monthly bill corresponding to B-1 rate above for typical customer by NAICS (from CRT as submitted by utility):</t>
  </si>
  <si>
    <t>NAICS 531</t>
  </si>
  <si>
    <t>NAICS 621</t>
  </si>
  <si>
    <t>NAICS 722</t>
  </si>
  <si>
    <r>
      <rPr>
        <vertAlign val="superscript"/>
        <sz val="9.9"/>
        <color theme="1"/>
        <rFont val="Calibri"/>
        <family val="2"/>
      </rPr>
      <t>1</t>
    </r>
    <r>
      <rPr>
        <sz val="11"/>
        <color theme="1"/>
        <rFont val="Calibri"/>
        <family val="2"/>
        <scheme val="minor"/>
      </rPr>
      <t>Per Decision 25-12-044, metrics are only required for &gt;1% increase requests in a General Rate Case filing. Therefore, PG&amp;E has removed items previously numbered 2 and 4 related to affordability proceedings filed that either exceeded or did not exceed the affordability threshold.</t>
    </r>
  </si>
  <si>
    <t>Cost and Rate Tracking Tool Notes</t>
  </si>
  <si>
    <t>1. The Quarterly Tracker performs high-level rate and bill calculation estimates, which will not produce rate or bill impacts that match PG&amp;E’s filing-quality models.</t>
  </si>
  <si>
    <t>2. The forecast assumes perfect ratemaking, and does not include balancing account balances beyond the current year.</t>
  </si>
  <si>
    <t>3. Different rate components use simplified allocations that may not reflect actual revenue allocation and rate design.</t>
  </si>
  <si>
    <t>4. For future years, the revenue requirements and rate impacts represent what would be in effect at the end of the year (e.g. December).</t>
  </si>
  <si>
    <t>INSTRUCTIONS TO RUN "BASIC" MODEL</t>
  </si>
  <si>
    <t>The "non-hypothetical" portion of this model produces illustrative rates and illustrative residential bill calculations based on selected user inputs.</t>
  </si>
  <si>
    <t>PLEASE DO NOT INSERT ROWS OR COLUMNS INTO THE SUMMARY</t>
  </si>
  <si>
    <t>To run the "non-hypothetical" portion of the model:</t>
  </si>
  <si>
    <t>1.</t>
  </si>
  <si>
    <t>User drop down selections are highlighted in yellow.</t>
  </si>
  <si>
    <t>2.</t>
  </si>
  <si>
    <t>In cell D3 of the "Summary" tab, from the dropdown choices, select the year for which illustrative rate impacts are desired (ILLUSTRATION 1).</t>
  </si>
  <si>
    <t>3.</t>
  </si>
  <si>
    <t>In cell D4, select, from the dropdown choices, the baseline territory for which illustrative bill impacts are desired.</t>
  </si>
  <si>
    <t>4.</t>
  </si>
  <si>
    <t>In the "Pending Proceedings" section beginning on line 7, indicate whether the RRQ associated with the proceeding should be included in the illustrative bill impact analysis</t>
  </si>
  <si>
    <t>by selecting from the dropdown choices in column D, a "Y" or "N" where "Y" means to include the RRQ in the analysis and "N" means to not include the RRQ in the analysis (ILLUSTRATION 1A).</t>
  </si>
  <si>
    <t>5.</t>
  </si>
  <si>
    <t>In cell I3, select Y to include the California Climate Credit in Rates or N to exclude it.</t>
  </si>
  <si>
    <t>6.</t>
  </si>
  <si>
    <t>In cell I4  type in the Typical residential average usage kWh/month</t>
  </si>
  <si>
    <t>7.</t>
  </si>
  <si>
    <t>If your excel is not set for automatic calculations, make sure to hit F9 to refresh caluclations. This will give the updated outputs to the basic model using the assumptions selected in yellow on the "Summary" tab.</t>
  </si>
  <si>
    <t>8.</t>
  </si>
  <si>
    <t>The outputs will be in rows 30-116. Residential outputs are in rows 30-98 and Small Commercial outputs are in rows 102-116.</t>
  </si>
  <si>
    <t>9.</t>
  </si>
  <si>
    <t>An example of the outputs for Residential Average Bundled Rates and the Typical Customer Basic Bundled Residential Monthly Average Bills can be seen in ILLUSTRATION 1B.</t>
  </si>
  <si>
    <t>ILLUSTRATION 1A:</t>
  </si>
  <si>
    <t>Illustration 1B:</t>
  </si>
  <si>
    <t>VALIDATING THE RESULTS OF THE ILLUSTRATIVE "TYPICAL CUSTOMER" BILL AGAINST A BILL INSERT</t>
  </si>
  <si>
    <t>The model is set up to accept separate "typical" residential kWh for Non-CARE and CARE customers. (Illustration 2)</t>
  </si>
  <si>
    <t xml:space="preserve">Ensure that only the revenue requirement being evaluated is included in the impact. </t>
  </si>
  <si>
    <t xml:space="preserve">This hypothetical tab uses currently adopted sales forecasts. It does not forecast for other years. </t>
  </si>
  <si>
    <t>Illustration 2</t>
  </si>
  <si>
    <t>Hypothetical  RRQ Modeling</t>
  </si>
  <si>
    <t>This tool is available for users to run high level illustritive rate and bill impacts. The user input sections are highlighted yellow.</t>
  </si>
  <si>
    <t>In cell D3 of the "Hypothetical Summary" tab, type in the "Typical" residential average usage kWh/month (Illustration 3).</t>
  </si>
  <si>
    <t>In cell D4 of the "Hypothetical Summary" tab, select, from the dropdown choices, the baseline territory for which illustrative bill impacts are desired (Illustration 3).</t>
  </si>
  <si>
    <t>In cell D5 of the "Hypothetical Summary" tab, select Y to include the California Climate Credit or N to exclude it (Illustration 3).</t>
  </si>
  <si>
    <t>In the "Hypothetical Summary" tab there are spaces in column D7:D19 for the user to enther their own RRQs into the desired recovery mechanism  (Illustration 3).</t>
  </si>
  <si>
    <t>*Input revenue ammounts in the thousands</t>
  </si>
  <si>
    <t>The updated Revenue Requirements will populate all of the "Hypothetical" tabs with new proposed rate and billing information.</t>
  </si>
  <si>
    <t>The results of the RRQ impacts are summarized on the "Hypothetical Summary" tab and more detailed calculations can be found in the other hypothetical tabs.</t>
  </si>
  <si>
    <t>ILLUSTRATION 3</t>
  </si>
  <si>
    <t>Inputs:</t>
  </si>
  <si>
    <t>Assumptions:</t>
  </si>
  <si>
    <t>Include CA Climate Credit in Rates</t>
  </si>
  <si>
    <t>Y</t>
  </si>
  <si>
    <t>Current Effective Rates</t>
  </si>
  <si>
    <t>Baseline Region - (Residential bill)</t>
  </si>
  <si>
    <t>X - Warm</t>
  </si>
  <si>
    <t>Typical residential average usage kWh/month</t>
  </si>
  <si>
    <t>Sales Forecast</t>
  </si>
  <si>
    <t>Summer season</t>
  </si>
  <si>
    <t>months</t>
  </si>
  <si>
    <t>Winter Season</t>
  </si>
  <si>
    <t>Pending Proceedings</t>
  </si>
  <si>
    <t>Include in Impact (Y)</t>
  </si>
  <si>
    <t>Applicable Year(s)</t>
  </si>
  <si>
    <t xml:space="preserve">Residential bill calculated using </t>
  </si>
  <si>
    <t>Schedule E-1, Single Family</t>
  </si>
  <si>
    <t>Wildfire Gas and Safety Costs</t>
  </si>
  <si>
    <t>2026-2027</t>
  </si>
  <si>
    <t>Residential Bi-annual Climate Credit</t>
  </si>
  <si>
    <t xml:space="preserve">Essential Use - </t>
  </si>
  <si>
    <t>Basic</t>
  </si>
  <si>
    <t>All Electric</t>
  </si>
  <si>
    <t>Billing Modernization</t>
  </si>
  <si>
    <t xml:space="preserve">Non-CARE bill impact calculated with average summer usage of </t>
  </si>
  <si>
    <t>kWh per month</t>
  </si>
  <si>
    <t xml:space="preserve">Non-CARE bill impact calculated with average winter usage of </t>
  </si>
  <si>
    <t>2019-2030</t>
  </si>
  <si>
    <t xml:space="preserve">Non-CARE bill impact calculated with average annual usage of </t>
  </si>
  <si>
    <t>kWh per year</t>
  </si>
  <si>
    <t>Income Qualified Program Bridge Funding ESA</t>
  </si>
  <si>
    <t xml:space="preserve">CARE bill impact calculated with average summer usage of </t>
  </si>
  <si>
    <t>Income Qualified Program Bridge Funding CARE/ FERA</t>
  </si>
  <si>
    <t xml:space="preserve">CARE bill impact calculated with average winter usage of </t>
  </si>
  <si>
    <t>Income Qualified Program ESA</t>
  </si>
  <si>
    <t>2028-2033</t>
  </si>
  <si>
    <t xml:space="preserve">CARE bill impact calculated with average annual usage of </t>
  </si>
  <si>
    <t>Income Qualified Program CARE/FERA</t>
  </si>
  <si>
    <t>Average monthly usage is for all customers (Non-CARE and CARE) based on seasonal usage in</t>
  </si>
  <si>
    <t>Outputs:</t>
  </si>
  <si>
    <t>(A)</t>
  </si>
  <si>
    <t>(B)</t>
  </si>
  <si>
    <t>(C)</t>
  </si>
  <si>
    <t>(D)</t>
  </si>
  <si>
    <t>(D)/(A)</t>
  </si>
  <si>
    <t>(D)/(B)</t>
  </si>
  <si>
    <t>(D)/(C)</t>
  </si>
  <si>
    <t>Bundled Average Rates - ¢/kWh</t>
  </si>
  <si>
    <t>Total System (Bundled and Unbundled) Average Rates - ¢/kWh</t>
  </si>
  <si>
    <t>Customer Group</t>
  </si>
  <si>
    <t>% Change over Authorized</t>
  </si>
  <si>
    <t>Residential</t>
  </si>
  <si>
    <t>Total Residential (RAR)</t>
  </si>
  <si>
    <t>Small Commercial (B-1)</t>
  </si>
  <si>
    <t>System</t>
  </si>
  <si>
    <t>Total System (SAR)</t>
  </si>
  <si>
    <t>Basic Bundled Residential Monthly Average Bills</t>
  </si>
  <si>
    <t>All-Electric Bundled Residential Monthly Average Bills</t>
  </si>
  <si>
    <t>Total</t>
  </si>
  <si>
    <t>Basic Bundled Residential Monthly Average Bills - Summer</t>
  </si>
  <si>
    <t>All-Electric Bundled Residential Monthly Average Bills - Summer</t>
  </si>
  <si>
    <t>Basic Bundled Residential Monthly Average Bills - Winter</t>
  </si>
  <si>
    <t>All-Electric Bundled Residential Monthly Average Bills - Winter</t>
  </si>
  <si>
    <t>Essential Use Basic Bundled Residential Monthly Average Bills</t>
  </si>
  <si>
    <t>Essential Use All-Electric Bundled Residential Monthly Average Bills</t>
  </si>
  <si>
    <t>Basic Essential Use  - Non-CARE</t>
  </si>
  <si>
    <t>All-Electric Essential Use - Non-CARE</t>
  </si>
  <si>
    <t>Basic Essential Use - CARE</t>
  </si>
  <si>
    <t>All-Electric Essential Use - CARE</t>
  </si>
  <si>
    <t>Essential Use Basic Bundled Residential Monthly Average Bills - Summer</t>
  </si>
  <si>
    <t>Essential Use All-Electric Bundled Residential Monthly Average Bills - Summer</t>
  </si>
  <si>
    <t>Essential Use Basic Bundled Residential Monthly Average Bills - Winter</t>
  </si>
  <si>
    <t>Essential Use All-Electric Bundled Residential Monthly Average Bills - Winter</t>
  </si>
  <si>
    <t>Typical Customer Basic Bundled Residential Monthly Average Bills</t>
  </si>
  <si>
    <t>Typical Customer All-Electric Bundled Residential Monthly Average Bills</t>
  </si>
  <si>
    <t>Typical Customer Basic Bundled Residential Monthly Average Bills - Summer</t>
  </si>
  <si>
    <t>Typical Customer All-Electric Bundled Residential Monthly Average Bills - Summer</t>
  </si>
  <si>
    <t>Typical Customer Basic Bundled Residential Monthly Average Bills - Winter</t>
  </si>
  <si>
    <t>Typical Customer All-Electric Bundled Residential Monthly Average Bills - Winter</t>
  </si>
  <si>
    <t>Small Commercial Monthly Average Bills</t>
  </si>
  <si>
    <t>% Change over 01/1/2023</t>
  </si>
  <si>
    <t>Small Commercial Monthly Average Bills - Summer</t>
  </si>
  <si>
    <t>Small Commercial Monthly Average Bills - Winter</t>
  </si>
  <si>
    <t>Annual Period 2026</t>
  </si>
  <si>
    <t>Reporting Date: March 1, 2026</t>
  </si>
  <si>
    <t>January 1, 2025</t>
  </si>
  <si>
    <t>March 1, 2025</t>
  </si>
  <si>
    <t>September 1, 2025</t>
  </si>
  <si>
    <t>January 1, 2026</t>
  </si>
  <si>
    <t>March 1, 2026</t>
  </si>
  <si>
    <t>7469-E</t>
  </si>
  <si>
    <t>7516-E</t>
  </si>
  <si>
    <t>7684-E</t>
  </si>
  <si>
    <t>7797-E</t>
  </si>
  <si>
    <t>7846-E</t>
  </si>
  <si>
    <t>Filing Description</t>
  </si>
  <si>
    <t>Revenue Recovery Mechanism</t>
  </si>
  <si>
    <t xml:space="preserve">Balancing Account </t>
  </si>
  <si>
    <t>Expected Ongoing Balance?</t>
  </si>
  <si>
    <t>Safety Affordability Reliability Proceedings</t>
  </si>
  <si>
    <t>General Rate Case</t>
  </si>
  <si>
    <t>D.23-11-069</t>
  </si>
  <si>
    <t>Distribution</t>
  </si>
  <si>
    <t>N</t>
  </si>
  <si>
    <t>General Rate Case (Distribution - Wildfire)</t>
  </si>
  <si>
    <t>Distribution (Wildfire)</t>
  </si>
  <si>
    <t>General Rate Case - DRAM*</t>
  </si>
  <si>
    <t>Preliminary Statement  CZ</t>
  </si>
  <si>
    <t>2023 GRC Late Implementation</t>
  </si>
  <si>
    <t>2023 GRC Track II</t>
  </si>
  <si>
    <t>D.23-01-005</t>
  </si>
  <si>
    <t>2023 GRC Self-Insurance</t>
  </si>
  <si>
    <t>n/a</t>
  </si>
  <si>
    <t>PCIA</t>
  </si>
  <si>
    <t>Pension Contribution</t>
  </si>
  <si>
    <t>AL 4880-G/7216-E</t>
  </si>
  <si>
    <t>Pension Contribution *</t>
  </si>
  <si>
    <t>AL 4568-G-B/6492-E-B</t>
  </si>
  <si>
    <t>Department of Energy Litigation Proceeds</t>
  </si>
  <si>
    <t>ERRA</t>
  </si>
  <si>
    <t>D.23-12-022</t>
  </si>
  <si>
    <t>Generation</t>
  </si>
  <si>
    <t>ERRA- PCIA Test Year</t>
  </si>
  <si>
    <t>ERRA- PCIA Balancing Account *</t>
  </si>
  <si>
    <t>ERRA Trigger Adjustment</t>
  </si>
  <si>
    <t>PABA/PUBA *</t>
  </si>
  <si>
    <t>VAMOMA *</t>
  </si>
  <si>
    <t>Electric Preliminary HS</t>
  </si>
  <si>
    <t>ERBBA *</t>
  </si>
  <si>
    <t>Preliminary Statement  DT</t>
  </si>
  <si>
    <t>ECRA</t>
  </si>
  <si>
    <t>CTC</t>
  </si>
  <si>
    <t>D.24-12-038</t>
  </si>
  <si>
    <t>CTC/MTCBA *</t>
  </si>
  <si>
    <t>Electric Preliminary Statement Part CQ</t>
  </si>
  <si>
    <t>Cost Allocation Mechanism</t>
  </si>
  <si>
    <t>NSGC</t>
  </si>
  <si>
    <t>Cost Allocation Mechanism/NSGBA *</t>
  </si>
  <si>
    <t>Electric Preliminary Statement Part FS</t>
  </si>
  <si>
    <t>2020 WMCE</t>
  </si>
  <si>
    <t>D.23-02-017</t>
  </si>
  <si>
    <t>Cost of Capital</t>
  </si>
  <si>
    <t>D.24-10-008/ AL 7423-E</t>
  </si>
  <si>
    <t>AL 4813-G/7046-E/ D.24-10-008/ AL 7423-E</t>
  </si>
  <si>
    <t>Risk Transfer Balancing Account*</t>
  </si>
  <si>
    <t>Diablo Canyon Retirement</t>
  </si>
  <si>
    <t>D.18-01-022</t>
  </si>
  <si>
    <t>NDC</t>
  </si>
  <si>
    <t>Nuclear Decommissioning (NDCTP)</t>
  </si>
  <si>
    <t>Nuclear Decommissioning (NDCTP) *</t>
  </si>
  <si>
    <t>Preliminary Statement  DB</t>
  </si>
  <si>
    <t>Hazardous Substance Materials (HSM) *</t>
  </si>
  <si>
    <t>Preliminary Statement S</t>
  </si>
  <si>
    <t>NTBA *</t>
  </si>
  <si>
    <t>Preliminary Statement ET</t>
  </si>
  <si>
    <t>Wildfire Fund BC (formerly known as DWR Bond)</t>
  </si>
  <si>
    <t>D.24-12-001</t>
  </si>
  <si>
    <t>Wildfire Fund BC</t>
  </si>
  <si>
    <t>DWR Franchise Fees</t>
  </si>
  <si>
    <t>CPUC Code 6350-6354</t>
  </si>
  <si>
    <t>IRPCMA*</t>
  </si>
  <si>
    <t>Electric Preliminary Statement Part HJ</t>
  </si>
  <si>
    <t>Wildfire Gas Safety Costs IRR</t>
  </si>
  <si>
    <t>D.24-03-006</t>
  </si>
  <si>
    <t>VMBA</t>
  </si>
  <si>
    <t>VMBA (Distribution - Wildfire)</t>
  </si>
  <si>
    <t>WMBA</t>
  </si>
  <si>
    <t>AL 7413-E</t>
  </si>
  <si>
    <t>AB 1054 Securitization - FO 1</t>
  </si>
  <si>
    <t>D.21-06-030, AL 7106-E</t>
  </si>
  <si>
    <t>WHC</t>
  </si>
  <si>
    <t>D.21-06-030, AL 6390-E</t>
  </si>
  <si>
    <t>AB 1054 Securitization - FO 2</t>
  </si>
  <si>
    <t>D.22-08-004, AL 7126-E</t>
  </si>
  <si>
    <t>D.22-08-004, AL 6769-E</t>
  </si>
  <si>
    <t>AB 1054 Securitization - FO 3</t>
  </si>
  <si>
    <t>D.24-02-011, D.21-05-015</t>
  </si>
  <si>
    <t>Assembly Bill (AB) 1054 Financing Order (FO) #3 (2025)</t>
  </si>
  <si>
    <t>D.24-02-011</t>
  </si>
  <si>
    <t>Assembly Bill (AB) 1054 Financing Order (FO) #3 2020 WMCE &amp; 2020 GRC Adjustment</t>
  </si>
  <si>
    <t>Assembly Bill (AB) 1054 Financing Order (FO) #3 Securitization*</t>
  </si>
  <si>
    <t>D.24-02-011, AL 7336-E</t>
  </si>
  <si>
    <t>Assembly Bill (AB) 1054 Financing Order (FO) #3 Emergency Reliability OIR</t>
  </si>
  <si>
    <t>Section 851 Application to Sell The SF General Office Complex</t>
  </si>
  <si>
    <t>D.21-08-027</t>
  </si>
  <si>
    <t>Risk Transfer Balancing Account</t>
  </si>
  <si>
    <t>Residential Uncollectibles Balancing Account (RUBA)</t>
  </si>
  <si>
    <t>Electric Preliminary Statement Part IM</t>
  </si>
  <si>
    <t>2018 CEMA</t>
  </si>
  <si>
    <t>Excess Tax</t>
  </si>
  <si>
    <t>ECNBIMA (SB410)</t>
  </si>
  <si>
    <t xml:space="preserve"> D.24-07-008 / D.25-08-036</t>
  </si>
  <si>
    <t>2022 WMCE IRR</t>
  </si>
  <si>
    <t>2022 WMCE Non IRR</t>
  </si>
  <si>
    <t>D.25-09-008</t>
  </si>
  <si>
    <t>2021 WMCE</t>
  </si>
  <si>
    <t>D.23-08-027</t>
  </si>
  <si>
    <t>2021 WMCE (VMBA)</t>
  </si>
  <si>
    <t>D.24-12-075</t>
  </si>
  <si>
    <t>2023 WMCE IRR</t>
  </si>
  <si>
    <t>D.24-09-003</t>
  </si>
  <si>
    <t>2023 WMCE IRR Non IRR</t>
  </si>
  <si>
    <t>D.26-02-004</t>
  </si>
  <si>
    <t>Overhead and Underground Maintenance Balancing Account*</t>
  </si>
  <si>
    <t>Electric Preliminary Statement Part JZ</t>
  </si>
  <si>
    <t>Critical Operating Equipment Cable Replacement BA*</t>
  </si>
  <si>
    <t>Electric Preliminary Statement Part KA</t>
  </si>
  <si>
    <t>MSCSA*</t>
  </si>
  <si>
    <t>Electric Preliminary Statement Part JD</t>
  </si>
  <si>
    <t>Microgrids Memorandum Account - Microgrids Incentive Program</t>
  </si>
  <si>
    <t xml:space="preserve">D.23-04-034/ AL 6962-E </t>
  </si>
  <si>
    <t xml:space="preserve">Oakland General Office (OGO) Purchase </t>
  </si>
  <si>
    <t>D.24-08-009/ AL 7371-E</t>
  </si>
  <si>
    <t>TRRRMA</t>
  </si>
  <si>
    <t xml:space="preserve">D.25-12-026 </t>
  </si>
  <si>
    <t>Gas AMI</t>
  </si>
  <si>
    <t>D.25-12-029</t>
  </si>
  <si>
    <t>Non-Wildfire Liability Insurance</t>
  </si>
  <si>
    <t>D.25-03-08/ AL 7575-E</t>
  </si>
  <si>
    <t>NTPSMA*</t>
  </si>
  <si>
    <t>Electric Preliminary Statement Part KC</t>
  </si>
  <si>
    <t xml:space="preserve">   Subtotal Safety Affordability Reliability</t>
  </si>
  <si>
    <t>Public Policy Proceedings</t>
  </si>
  <si>
    <t>AB 32: Cap &amp; Trade/GHG (Electric Procurement)</t>
  </si>
  <si>
    <t>GHG Revenue</t>
  </si>
  <si>
    <t>SGIP</t>
  </si>
  <si>
    <t>Public Purpose Program</t>
  </si>
  <si>
    <t>California Hub for Energy Efficiency Financing (CHEEF)</t>
  </si>
  <si>
    <t>CPUC Fee</t>
  </si>
  <si>
    <t>Res. M-4874</t>
  </si>
  <si>
    <t>EV Infrastructure Program/TEBA *</t>
  </si>
  <si>
    <t>Electric Preliminary Statement Part HH</t>
  </si>
  <si>
    <t>Alternative Fuel Vehicle - SB 350 Application</t>
  </si>
  <si>
    <t>D.18-05-040, D.19-11-017, D.19-09-006, D.20-12-029, D.22-08-024</t>
  </si>
  <si>
    <t>CEEIA*</t>
  </si>
  <si>
    <t>Electric Preliminary Statement Part P</t>
  </si>
  <si>
    <t>Residential Rate Reform Memorandum Account (RRRMA)</t>
  </si>
  <si>
    <t>Demand Response</t>
  </si>
  <si>
    <t>D.23-12-005</t>
  </si>
  <si>
    <t>Integrated Demand Side Management (IDSM)</t>
  </si>
  <si>
    <t>FERABA *</t>
  </si>
  <si>
    <t>Preliminary Statement  DX</t>
  </si>
  <si>
    <t>DREBA (Incentives and Operations subaccounts) *</t>
  </si>
  <si>
    <t>Preliminary Statement  EC</t>
  </si>
  <si>
    <t>MHPBA *</t>
  </si>
  <si>
    <t>Preliminary Statement  GH</t>
  </si>
  <si>
    <t>MEBA *</t>
  </si>
  <si>
    <t>Preliminary Statement  GJ</t>
  </si>
  <si>
    <t>MGBA *</t>
  </si>
  <si>
    <t>Preliminary Statement  IT</t>
  </si>
  <si>
    <t>SGMA (Compressed Air Energy Storage) *</t>
  </si>
  <si>
    <t>PPPRAM *</t>
  </si>
  <si>
    <t>Preliminary Statement  DA</t>
  </si>
  <si>
    <t>CARE Administration</t>
  </si>
  <si>
    <t>D.21-06-015</t>
  </si>
  <si>
    <t>CARE Administration *</t>
  </si>
  <si>
    <t>Preliminary Statement  M</t>
  </si>
  <si>
    <t>EPIC (Electric Program Investment Charge)</t>
  </si>
  <si>
    <t>D.21-11-028</t>
  </si>
  <si>
    <t>EPIC (Electric Program Investment Charge) *</t>
  </si>
  <si>
    <t>Preliminary Statement FU</t>
  </si>
  <si>
    <t xml:space="preserve">ESA (Energy Savings Assistance) </t>
  </si>
  <si>
    <t>ESA Unspent Funds</t>
  </si>
  <si>
    <t>Energy Efficiency/PPPRAM</t>
  </si>
  <si>
    <t>D.23-06-055/ AL 7047-E</t>
  </si>
  <si>
    <t>Energy Efficiency/PEERAM</t>
  </si>
  <si>
    <t>PEERAM *</t>
  </si>
  <si>
    <t>Preliminary Statement  EF</t>
  </si>
  <si>
    <t>Market Transformation Administrator</t>
  </si>
  <si>
    <t>D.19-12-021 / Advice RI-CalMTA-3</t>
  </si>
  <si>
    <t>Demand Response Auction Mechanism</t>
  </si>
  <si>
    <t>EV Pilot for Schools and Parks</t>
  </si>
  <si>
    <t>AB 841 School Energy Efficiency Stimulus Program</t>
  </si>
  <si>
    <t>Tree Mortality</t>
  </si>
  <si>
    <t>Tree Mortality*</t>
  </si>
  <si>
    <t>CSIBA*</t>
  </si>
  <si>
    <t>Electric Preliminary Statement Part EO</t>
  </si>
  <si>
    <t>PIPP*</t>
  </si>
  <si>
    <t>Electric Preliminary Statement Part JM</t>
  </si>
  <si>
    <t>Residential Uncollectibles Balancing Account (RUBA)*</t>
  </si>
  <si>
    <t>BioMat</t>
  </si>
  <si>
    <t>BioMat*</t>
  </si>
  <si>
    <t>Electric Preliminary Statement Part IJ</t>
  </si>
  <si>
    <t>Non-Vintaged PCIA</t>
  </si>
  <si>
    <t>Non-Vintaged PCIA *</t>
  </si>
  <si>
    <t>Electric Preliminary Statement Part HM</t>
  </si>
  <si>
    <t>DAC-GT</t>
  </si>
  <si>
    <t>WNDRR *</t>
  </si>
  <si>
    <t>Preliminary Statement  JH</t>
  </si>
  <si>
    <t>DWR Refund</t>
  </si>
  <si>
    <t>Wildfire Fund NBC</t>
  </si>
  <si>
    <t>Summer Reliability OIR</t>
  </si>
  <si>
    <t>DCPP Extended Operations 2026 Forecast</t>
  </si>
  <si>
    <t>D.24-12- 033</t>
  </si>
  <si>
    <t>DCPP Extended Operations 2026 Forecast*</t>
  </si>
  <si>
    <t>Unspent for EE</t>
  </si>
  <si>
    <t>AL 7407-E</t>
  </si>
  <si>
    <t xml:space="preserve">Unspent funds and accrued interest for EPIC </t>
  </si>
  <si>
    <t>D.18-01-008</t>
  </si>
  <si>
    <t>PPCBA*</t>
  </si>
  <si>
    <t>Concurrent Application System Balancing Account - PPCBA</t>
  </si>
  <si>
    <t>D.23-05-006</t>
  </si>
  <si>
    <t>Concurrent Application System Balancing Account - PPCBA*</t>
  </si>
  <si>
    <t>Electric Preliminary Statement Part JV</t>
  </si>
  <si>
    <t xml:space="preserve">   Subtotal Public Policy </t>
  </si>
  <si>
    <t>Non-CPUC Jurisdictional Proceedings</t>
  </si>
  <si>
    <t>TO</t>
  </si>
  <si>
    <t>ER24-96-000</t>
  </si>
  <si>
    <t xml:space="preserve">ER26-631-000 </t>
  </si>
  <si>
    <t>Transmission</t>
  </si>
  <si>
    <t>TACBAA</t>
  </si>
  <si>
    <t>ER24-599-000</t>
  </si>
  <si>
    <t xml:space="preserve">ER26-669-000 </t>
  </si>
  <si>
    <t>FERC BAs</t>
  </si>
  <si>
    <t>TRBAA</t>
  </si>
  <si>
    <t>ER23-2968-000</t>
  </si>
  <si>
    <t>ER25-3533-000</t>
  </si>
  <si>
    <t>RSBA</t>
  </si>
  <si>
    <t>EUCRA</t>
  </si>
  <si>
    <t xml:space="preserve">   Subtotal Non-CPUC Jurisidictional</t>
  </si>
  <si>
    <t>Total Authorized Revenue</t>
  </si>
  <si>
    <t>Notes:</t>
  </si>
  <si>
    <t>January 1, 2025 Rate Change(AL 7469-E) trued up the balancing accounts in the AET and implemented various authorized RRQs.</t>
  </si>
  <si>
    <t>March 1, 2025 Rate Change AL(7516-E) Implemented 2021 WMCE VMBA, Adjusted TACBAA , and Minimum Bill</t>
  </si>
  <si>
    <t>September 1, 2025 Rate Change AL(7684-E) Implemented the Pension contribution and the WHC True-up, and the end of WGSC IRR and 2021 WMCE non-IRR recovery</t>
  </si>
  <si>
    <t>January 1, 2026 Rate Change (AL 7797-E) trued up the balancing accounts in the AET and implemented various authorized RRQs.</t>
  </si>
  <si>
    <t>March 1, 2026 Rate Change (AL 7846- E)  Implemented 2023 WMCE non IRR and BSC, Adjusted TACBAA, Minimum Bill, Recovery Bonds and WFHC</t>
  </si>
  <si>
    <t>Current Revenue Requirement ($000):</t>
  </si>
  <si>
    <t>Current Revenue Requirement Effective:</t>
  </si>
  <si>
    <t>Approved Application(s), Implemented Since Jan 1 or To Be Implemented</t>
  </si>
  <si>
    <t xml:space="preserve">  </t>
  </si>
  <si>
    <t>Authority for Revenue Requirement</t>
  </si>
  <si>
    <t>2026 Authorized Revenue Requirement ($000)</t>
  </si>
  <si>
    <t>Existing or New Item (if existing, use delta from prior for rate impact)</t>
  </si>
  <si>
    <t>Authorized</t>
  </si>
  <si>
    <t>Existing</t>
  </si>
  <si>
    <t>2023 General Rate Case Late Implementation</t>
  </si>
  <si>
    <t>New</t>
  </si>
  <si>
    <t>AL 7535-E, D.23-11-069</t>
  </si>
  <si>
    <t>2023 General Rate Case Track 2</t>
  </si>
  <si>
    <t>ERRA Forecast</t>
  </si>
  <si>
    <t>Competition Transition Charge</t>
  </si>
  <si>
    <t>AL 4813-G/7046-E, D.24-10-008</t>
  </si>
  <si>
    <t>Wildfire Fund Charge</t>
  </si>
  <si>
    <t>D.21-12-006, D.23-11-090</t>
  </si>
  <si>
    <t>D.21-06-030, AL 7478-E</t>
  </si>
  <si>
    <t>D.22-08-004, AL 7479-E</t>
  </si>
  <si>
    <t>D.24-02-011, AL 7481-E</t>
  </si>
  <si>
    <t>2022 WMCE</t>
  </si>
  <si>
    <t>2023 WMCE non-IRR</t>
  </si>
  <si>
    <t>OGO PFM</t>
  </si>
  <si>
    <t>D.24-08-009</t>
  </si>
  <si>
    <t>GRC Capacity Phase (ECNBIMA)(SB410)</t>
  </si>
  <si>
    <t>D.24-07-008/D.25-08-036</t>
  </si>
  <si>
    <t xml:space="preserve">Distribution </t>
  </si>
  <si>
    <r>
      <t xml:space="preserve">AB 32: Cap &amp; Trade/GHG </t>
    </r>
    <r>
      <rPr>
        <sz val="11"/>
        <color rgb="FF0070C0"/>
        <rFont val="Calibri"/>
        <family val="2"/>
      </rPr>
      <t>(ERRA Forecast)</t>
    </r>
  </si>
  <si>
    <r>
      <t>Tree Mortality</t>
    </r>
    <r>
      <rPr>
        <sz val="11"/>
        <color rgb="FF0070C0"/>
        <rFont val="Calibri"/>
        <family val="2"/>
      </rPr>
      <t xml:space="preserve"> (ERRA Forecast)</t>
    </r>
  </si>
  <si>
    <t>Res. M-4870</t>
  </si>
  <si>
    <t xml:space="preserve">Demand Response </t>
  </si>
  <si>
    <t>Alternative Fuel Vehicle - SB 350 Application (aka Transportation Electrification)</t>
  </si>
  <si>
    <t>D.25-03-008 /AL 5057-G/7575-E</t>
  </si>
  <si>
    <t>ESA (Energy Savings Assistance)</t>
  </si>
  <si>
    <t>D.19-12-021, AL 4674-G/6747-E /AL RI-CalMTA-2</t>
  </si>
  <si>
    <t>D.24-12-033</t>
  </si>
  <si>
    <t>Balancing Accounts</t>
  </si>
  <si>
    <t>AL 6505-E</t>
  </si>
  <si>
    <t>AL 6505-E / AL 7066-E</t>
  </si>
  <si>
    <t>TO - Formula Rate</t>
  </si>
  <si>
    <t> ER24-96-000 </t>
  </si>
  <si>
    <t>Transmission Balancing Accounts</t>
  </si>
  <si>
    <t>ER24-599-000 / ER23-2968-000, ER25-15-000/ AL 7426-E, AL 7151-E</t>
  </si>
  <si>
    <t>Total Approved, Implemented Since Jan 1 or To Be Implemented</t>
  </si>
  <si>
    <t>Pending Application(s), Not Yet Approved</t>
  </si>
  <si>
    <t>Authorized + Pending</t>
  </si>
  <si>
    <t>Proceeding/Filing</t>
  </si>
  <si>
    <t>Basis of Revenue Requirement Forecast: Application Amended Application, Ammended Testimony, Proposed Settlement Agreement, Proposed Decision</t>
  </si>
  <si>
    <t>2026 Proposed Revenue Requirement ($000)</t>
  </si>
  <si>
    <t>Proposed Revenue Recovery Mechanism</t>
  </si>
  <si>
    <t>Change in Projected Authorized  Revenue Requirement ($000) for Rate Impact - Breakout by Year (if cell is shaded grey, rate impact is not presently determinable)</t>
  </si>
  <si>
    <t>A.23-06-008</t>
  </si>
  <si>
    <t>Application, Table 1 &amp; IRR PD for TY 2024</t>
  </si>
  <si>
    <t>Application, Table 1</t>
  </si>
  <si>
    <t>A.24-10-014</t>
  </si>
  <si>
    <t>Application, WP 7-1</t>
  </si>
  <si>
    <t xml:space="preserve">Application, WP 7-1 </t>
  </si>
  <si>
    <t>Application, Table 12-6</t>
  </si>
  <si>
    <t>A.25-11-001</t>
  </si>
  <si>
    <t>Testimony, Table 7-14</t>
  </si>
  <si>
    <t>Testimony, Table 7-6</t>
  </si>
  <si>
    <t>A.25-06-024</t>
  </si>
  <si>
    <t>Application, Table 14, Table 18, and Table 21</t>
  </si>
  <si>
    <t>A.26-01-003</t>
  </si>
  <si>
    <t>Application, Table 6-9</t>
  </si>
  <si>
    <t>Application, Table 6-2 and  Table 6-6</t>
  </si>
  <si>
    <t>Total Pending, Filed but not Approved</t>
  </si>
  <si>
    <t>2021 RF&amp;U</t>
  </si>
  <si>
    <t>2022 RF&amp;U</t>
  </si>
  <si>
    <t>2024 RF&amp;U</t>
  </si>
  <si>
    <t>2025 RF&amp;U</t>
  </si>
  <si>
    <t>2026 RF&amp;U</t>
  </si>
  <si>
    <t>Revenue Change ($000)</t>
  </si>
  <si>
    <t>w/ Pending</t>
  </si>
  <si>
    <t>Allocation</t>
  </si>
  <si>
    <t>PPPC</t>
  </si>
  <si>
    <t>GHG Rev</t>
  </si>
  <si>
    <t>Revenue Change ($000) - System</t>
  </si>
  <si>
    <t>Total System</t>
  </si>
  <si>
    <t>w/Pending</t>
  </si>
  <si>
    <t>% of CARE Sales</t>
  </si>
  <si>
    <t>Revenue Split - Bundled</t>
  </si>
  <si>
    <t>Bundled Revenue Change</t>
  </si>
  <si>
    <t>CARE Line Item Discount</t>
  </si>
  <si>
    <t>CARE Adj</t>
  </si>
  <si>
    <t>CARE Discount</t>
  </si>
  <si>
    <t>non-CARE Residential Sales</t>
  </si>
  <si>
    <t>non-exempt Sales</t>
  </si>
  <si>
    <t>Res CARE Surcharge</t>
  </si>
  <si>
    <t>Res GHG</t>
  </si>
  <si>
    <t>Bundled Total System GHG</t>
  </si>
  <si>
    <t>Bundled</t>
  </si>
  <si>
    <t>System (Bundled and Unbundled)</t>
  </si>
  <si>
    <t>Proposed Avg Rates (Authorized)</t>
  </si>
  <si>
    <t>Proposed Avg Rates (w/Pending)</t>
  </si>
  <si>
    <t>% Change (Authorized)</t>
  </si>
  <si>
    <t>% Change (w/Pending)</t>
  </si>
  <si>
    <t>Distribution (Wildfire) Allocation</t>
  </si>
  <si>
    <t>EPT</t>
  </si>
  <si>
    <t>First 500M</t>
  </si>
  <si>
    <t>After 500M</t>
  </si>
  <si>
    <t>Res</t>
  </si>
  <si>
    <t>B-1</t>
  </si>
  <si>
    <t>B-6/A-15</t>
  </si>
  <si>
    <t>B-10</t>
  </si>
  <si>
    <t>Residential Allocator</t>
  </si>
  <si>
    <t>B-19</t>
  </si>
  <si>
    <t>Streetlights</t>
  </si>
  <si>
    <t>Standby</t>
  </si>
  <si>
    <t>AG</t>
  </si>
  <si>
    <t>B-20P</t>
  </si>
  <si>
    <t>B-20S</t>
  </si>
  <si>
    <t>B-20T</t>
  </si>
  <si>
    <t>1/1/26  Bundled
w/Credit</t>
  </si>
  <si>
    <t>1/1/26  Bundled
w/out Credit</t>
  </si>
  <si>
    <t>1/1/26  System
w/Credit</t>
  </si>
  <si>
    <t>1/1/26  System
w/out Credit</t>
  </si>
  <si>
    <t>3/1/26 Bundled
w/Credit</t>
  </si>
  <si>
    <t>3/1/26 Bundled
w/out Credit</t>
  </si>
  <si>
    <t>3/1/26 System
w/Credit</t>
  </si>
  <si>
    <t>3/1/26 System
w/out Credit</t>
  </si>
  <si>
    <t>Non-CARE Sales</t>
  </si>
  <si>
    <t>Bundled Sales</t>
  </si>
  <si>
    <t>System Sales</t>
  </si>
  <si>
    <t>2026 Forecast adopted in D.25-12-027</t>
  </si>
  <si>
    <t>2027 Forecast: Set equal to the 2026</t>
  </si>
  <si>
    <t>2028 Forecast: Set equal to the 2026</t>
  </si>
  <si>
    <t>2029 Forecast: Set equal to the 2026</t>
  </si>
  <si>
    <t>Schedule E-1</t>
  </si>
  <si>
    <t>Schedule EL-1</t>
  </si>
  <si>
    <t>Proposed</t>
  </si>
  <si>
    <t>Rates</t>
  </si>
  <si>
    <t>Authorized Rates</t>
  </si>
  <si>
    <t>Authorized Revenue</t>
  </si>
  <si>
    <t>w/Pending Rates</t>
  </si>
  <si>
    <t>w/Pending Revenue</t>
  </si>
  <si>
    <t>Baseline - Summer</t>
  </si>
  <si>
    <t xml:space="preserve">Bundled Residential Rev Req </t>
  </si>
  <si>
    <t>- Winter</t>
  </si>
  <si>
    <t>Current</t>
  </si>
  <si>
    <t>101% - 400% of Baseline - Summer</t>
  </si>
  <si>
    <t>Proposed (Authorized)</t>
  </si>
  <si>
    <t>Proposed (w/Pending)</t>
  </si>
  <si>
    <t>401% of Baseline - Summer</t>
  </si>
  <si>
    <t>Base Services Charge</t>
  </si>
  <si>
    <t>Bracket 2</t>
  </si>
  <si>
    <t>Bracket 1</t>
  </si>
  <si>
    <t>Bracket 3</t>
  </si>
  <si>
    <t>2025 Recorded Average Monthly Usage (kWh) - Bundled/Basic/non-medical/non-FERA</t>
  </si>
  <si>
    <t>2024 Recorded Average Monthly Usage (kWh) - Bundled/All Electric/non-medical/non-FERA</t>
  </si>
  <si>
    <t>SCHEDULE E-1 RATES ($/kWh)</t>
  </si>
  <si>
    <t>MONTHLY BASELINE QUANTITIES -BASIC (kWh)</t>
  </si>
  <si>
    <t>MONTHLY BASELINE QUANTITIES -ALL-ELECTRIC (kWh)</t>
  </si>
  <si>
    <t>Climate Zone</t>
  </si>
  <si>
    <t>Summer</t>
  </si>
  <si>
    <t>Winter</t>
  </si>
  <si>
    <t>Sample Population Weight</t>
  </si>
  <si>
    <t xml:space="preserve">Summer </t>
  </si>
  <si>
    <t xml:space="preserve">Winter </t>
  </si>
  <si>
    <t>Tier 1</t>
  </si>
  <si>
    <t>P - Hot</t>
  </si>
  <si>
    <t>Tier 2</t>
  </si>
  <si>
    <t>Q - Warm</t>
  </si>
  <si>
    <t>R - Hot</t>
  </si>
  <si>
    <t>S - Hot</t>
  </si>
  <si>
    <t>SCHEDULE EL-1 ($/kWh)</t>
  </si>
  <si>
    <t>T - Cool</t>
  </si>
  <si>
    <t>V - Cool</t>
  </si>
  <si>
    <t>W - Hot</t>
  </si>
  <si>
    <t>Y - Warm</t>
  </si>
  <si>
    <t>Z - Cool</t>
  </si>
  <si>
    <t>Daily to Monthly Conversion Factor</t>
  </si>
  <si>
    <t>Basic NON-CARE</t>
  </si>
  <si>
    <t>All Electric NON-CARE</t>
  </si>
  <si>
    <t>E-1</t>
  </si>
  <si>
    <t>Non-CARE Tiered Sales</t>
  </si>
  <si>
    <t>E-TOU-C</t>
  </si>
  <si>
    <t>ALL</t>
  </si>
  <si>
    <t>EL-1</t>
  </si>
  <si>
    <t>CARE Tiered Sales</t>
  </si>
  <si>
    <t>Basic CARE</t>
  </si>
  <si>
    <t>All Electric CARE</t>
  </si>
  <si>
    <t>EL-TOU-C</t>
  </si>
  <si>
    <t>BSC EL-1</t>
  </si>
  <si>
    <t>EL-TOUC</t>
  </si>
  <si>
    <t>Basic Essential Usage NON-CARE</t>
  </si>
  <si>
    <t>All-Electric Essential Usage NON-CARE</t>
  </si>
  <si>
    <t>BSC E-1</t>
  </si>
  <si>
    <t>E-TOUC</t>
  </si>
  <si>
    <t>Basic Essential Usage CARE</t>
  </si>
  <si>
    <t>All-Electric Essential Usage CARE</t>
  </si>
  <si>
    <t>Basic Typical Non-CARE</t>
  </si>
  <si>
    <t>All Electric Typical Non-CARE</t>
  </si>
  <si>
    <t>Basic Typical CARE</t>
  </si>
  <si>
    <t>All Electric Typical CARE</t>
  </si>
  <si>
    <t>B-1 Sales</t>
  </si>
  <si>
    <t>B-1 CARE Surcharge</t>
  </si>
  <si>
    <t>B-1 GHG</t>
  </si>
  <si>
    <t>B-1 Allocator</t>
  </si>
  <si>
    <t>2026 Forecast proposed in A.25-05-011</t>
  </si>
  <si>
    <t>Schedule B-1</t>
  </si>
  <si>
    <t>Peak Summer</t>
  </si>
  <si>
    <t>Part-Peak Summer</t>
  </si>
  <si>
    <t>Off-Peak Summer</t>
  </si>
  <si>
    <t>Part-Peak Winter</t>
  </si>
  <si>
    <t>Off-Peak Winter</t>
  </si>
  <si>
    <t>Super Off-Peak Winter</t>
  </si>
  <si>
    <t>Customers (Single-phase)</t>
  </si>
  <si>
    <t>Total Revenues</t>
  </si>
  <si>
    <t>2025 Recorded Data</t>
  </si>
  <si>
    <t>SCHEDULE B-1 ($/kWh)</t>
  </si>
  <si>
    <t>NAICS</t>
  </si>
  <si>
    <t>kWh</t>
  </si>
  <si>
    <t>Peak</t>
  </si>
  <si>
    <t>Part-Peak</t>
  </si>
  <si>
    <t>Off-Peak</t>
  </si>
  <si>
    <t>Super Off-Peak</t>
  </si>
  <si>
    <t>Part Peak</t>
  </si>
  <si>
    <t>Off Peak</t>
  </si>
  <si>
    <t>Super Off Peak</t>
  </si>
  <si>
    <t>Super Off</t>
  </si>
  <si>
    <t>Customer</t>
  </si>
  <si>
    <t>Single-Phase</t>
  </si>
  <si>
    <t xml:space="preserve"> Revenue Change (000s)</t>
  </si>
  <si>
    <t>Essential Use - Basic</t>
  </si>
  <si>
    <t>Essential Use - All Electric</t>
  </si>
  <si>
    <t>`</t>
  </si>
  <si>
    <t>(C)/(A)</t>
  </si>
  <si>
    <t>(C)/(B)</t>
  </si>
  <si>
    <t>Total B-1</t>
  </si>
  <si>
    <t>NAICS  722</t>
  </si>
  <si>
    <t>Revenue Change</t>
  </si>
  <si>
    <t>non-CARE Sales</t>
  </si>
  <si>
    <t xml:space="preserve">Proposed Avg Rates </t>
  </si>
  <si>
    <t>% Change</t>
  </si>
  <si>
    <t xml:space="preserve"> Rates</t>
  </si>
  <si>
    <t>Change</t>
  </si>
  <si>
    <t>Base Service Charge</t>
  </si>
  <si>
    <t>HUS</t>
  </si>
  <si>
    <t>All-Electric NON-CARE</t>
  </si>
  <si>
    <t>All-Electric CARE</t>
  </si>
  <si>
    <t>All-Electric Typical Non-CARE</t>
  </si>
  <si>
    <t>All-Electric Typical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</si>
</sst>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
    <numFmt numFmtId="166" formatCode="0.00000"/>
    <numFmt numFmtId="167" formatCode="#.00"/>
    <numFmt numFmtId="168" formatCode="#,##0."/>
    <numFmt numFmtId="169" formatCode="&quot;$&quot;#."/>
    <numFmt numFmtId="170" formatCode="0.00_)"/>
    <numFmt numFmtId="171" formatCode="#,##0.00&quot; $&quot;;\-#,##0.00&quot; $&quot;"/>
    <numFmt numFmtId="172" formatCode="m\-d\-yy"/>
    <numFmt numFmtId="173" formatCode="_(* #,##0_);_(* \(#,##0\);_(* &quot;-&quot;??_);_(@_)"/>
    <numFmt numFmtId="174" formatCode="#,##0.0"/>
    <numFmt numFmtId="175" formatCode="_(&quot;$&quot;* #,##0_);_(&quot;$&quot;* \(#,##0\);_(&quot;$&quot;* &quot;-&quot;??_);_(@_)"/>
    <numFmt numFmtId="176" formatCode="#,##0.00000_);[Red]\(#,##0.00000\)"/>
    <numFmt numFmtId="177" formatCode="0.0"/>
    <numFmt numFmtId="178" formatCode="_(* #,##0.000000_);_(* \(#,##0.000000\);_(* &quot;-&quot;??_);_(@_)"/>
    <numFmt numFmtId="179" formatCode="0.0000000000"/>
    <numFmt numFmtId="180" formatCode="_-* #,##0.0_-;\-* #,##0.0_-;_-* &quot;-&quot;??_-;_-@_-"/>
    <numFmt numFmtId="181" formatCode="0.0000"/>
    <numFmt numFmtId="182" formatCode="0.000000"/>
    <numFmt numFmtId="183" formatCode="&quot;$&quot;#,##0.00"/>
    <numFmt numFmtId="184" formatCode="0.000%"/>
    <numFmt numFmtId="185" formatCode="0.000"/>
    <numFmt numFmtId="186" formatCode="&quot;$&quot;#,##0"/>
    <numFmt numFmtId="187" formatCode="_(* #,##0.00_);_(* \(#,##0.00\);_(* &quot;-&quot;??????_);_(@_)"/>
    <numFmt numFmtId="188" formatCode="_(&quot;$&quot;* #,##0.00000_);_(&quot;$&quot;* \(#,##0.00000\);_(&quot;$&quot;* &quot;-&quot;??_);_(@_)"/>
  </numFmts>
  <fonts count="67">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0"/>
      <name val="Arial"/>
      <family val="2"/>
    </font>
    <font>
      <sz val="10"/>
      <name val="MS Sans Serif"/>
      <family val="2"/>
    </font>
    <font>
      <sz val="1"/>
      <color indexed="8"/>
      <name val="Courier"/>
      <family val="3"/>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2"/>
      <name val="Garamond"/>
      <family val="1"/>
    </font>
    <font>
      <b/>
      <sz val="11"/>
      <name val="Garamond"/>
      <family val="1"/>
    </font>
    <font>
      <sz val="11"/>
      <name val="Garamond"/>
      <family val="1"/>
    </font>
    <font>
      <b/>
      <sz val="12"/>
      <name val="Garamond"/>
      <family val="1"/>
    </font>
    <font>
      <sz val="10"/>
      <name val="Garamond"/>
      <family val="1"/>
    </font>
    <font>
      <sz val="11"/>
      <color theme="1"/>
      <name val="Garamond"/>
      <family val="1"/>
    </font>
    <font>
      <b/>
      <sz val="11"/>
      <color theme="1"/>
      <name val="Garamond"/>
      <family val="1"/>
    </font>
    <font>
      <u/>
      <sz val="10"/>
      <name val="Garamond"/>
      <family val="1"/>
    </font>
    <font>
      <b/>
      <sz val="10"/>
      <name val="Garamond"/>
      <family val="1"/>
    </font>
    <font>
      <sz val="10"/>
      <color indexed="10"/>
      <name val="Garamond"/>
      <family val="1"/>
    </font>
    <font>
      <b/>
      <sz val="11"/>
      <color rgb="FFFF0000"/>
      <name val="Garamond"/>
      <family val="1"/>
    </font>
    <font>
      <sz val="11"/>
      <color theme="1"/>
      <name val="Calibri"/>
      <family val="2"/>
      <scheme val="minor"/>
    </font>
    <font>
      <sz val="11"/>
      <name val="Calibri"/>
      <family val="2"/>
      <scheme val="minor"/>
    </font>
    <font>
      <b/>
      <sz val="11"/>
      <name val="Calibri"/>
      <family val="2"/>
      <scheme val="minor"/>
    </font>
    <font>
      <b/>
      <sz val="11"/>
      <color rgb="FF3333FF"/>
      <name val="Calibri"/>
      <family val="2"/>
      <scheme val="minor"/>
    </font>
    <font>
      <sz val="11"/>
      <color rgb="FF3333FF"/>
      <name val="Garamond"/>
      <family val="1"/>
    </font>
    <font>
      <b/>
      <sz val="11"/>
      <color rgb="FF3333FF"/>
      <name val="Garamond"/>
      <family val="1"/>
    </font>
    <font>
      <sz val="12"/>
      <color rgb="FFFF0000"/>
      <name val="Garamond"/>
      <family val="1"/>
    </font>
    <font>
      <b/>
      <sz val="12"/>
      <color rgb="FFFF0000"/>
      <name val="Garamond"/>
      <family val="1"/>
    </font>
    <font>
      <b/>
      <sz val="12"/>
      <color rgb="FF3333FF"/>
      <name val="Garamond"/>
      <family val="1"/>
    </font>
    <font>
      <sz val="12"/>
      <color theme="1"/>
      <name val="Garamond"/>
      <family val="1"/>
    </font>
    <font>
      <sz val="8"/>
      <name val="Calibri"/>
      <family val="2"/>
      <scheme val="minor"/>
    </font>
    <font>
      <b/>
      <u/>
      <sz val="12"/>
      <name val="Garamond"/>
      <family val="1"/>
    </font>
    <font>
      <sz val="10"/>
      <name val="Arial"/>
      <family val="2"/>
    </font>
    <font>
      <sz val="10"/>
      <name val="Geneva"/>
    </font>
    <font>
      <sz val="11"/>
      <name val="??"/>
      <family val="3"/>
      <charset val="129"/>
    </font>
    <font>
      <sz val="11"/>
      <color rgb="FF0070C0"/>
      <name val="Calibri"/>
      <family val="2"/>
    </font>
    <font>
      <sz val="11"/>
      <color rgb="FFFF0000"/>
      <name val="Calibri"/>
      <family val="2"/>
      <scheme val="minor"/>
    </font>
    <font>
      <sz val="10"/>
      <color theme="1"/>
      <name val="Arial"/>
      <family val="2"/>
    </font>
    <font>
      <b/>
      <i/>
      <sz val="16"/>
      <name val="Helv"/>
      <family val="2"/>
    </font>
    <font>
      <sz val="10"/>
      <name val="Geneva"/>
      <family val="2"/>
    </font>
    <font>
      <sz val="11"/>
      <color rgb="FF000000"/>
      <name val="Calibri"/>
      <family val="2"/>
    </font>
    <font>
      <sz val="9"/>
      <name val="Arial"/>
      <family val="2"/>
    </font>
    <font>
      <sz val="12"/>
      <color theme="1"/>
      <name val="Century Schoolbook"/>
      <family val="1"/>
    </font>
    <font>
      <sz val="11"/>
      <color rgb="FF000000"/>
      <name val="Calibri"/>
      <family val="2"/>
      <scheme val="minor"/>
    </font>
    <font>
      <sz val="11"/>
      <color theme="1"/>
      <name val="Calibri"/>
      <family val="2"/>
    </font>
    <font>
      <u/>
      <sz val="11"/>
      <color theme="10"/>
      <name val="Calibri"/>
      <family val="2"/>
      <scheme val="minor"/>
    </font>
    <font>
      <sz val="11"/>
      <color rgb="FF242424"/>
      <name val="Calibri"/>
      <family val="2"/>
    </font>
    <font>
      <sz val="14"/>
      <color theme="1"/>
      <name val="Calibri"/>
      <family val="2"/>
      <scheme val="minor"/>
    </font>
    <font>
      <sz val="10"/>
      <color rgb="FF000000"/>
      <name val="Arial"/>
      <family val="2"/>
    </font>
    <font>
      <b/>
      <sz val="16"/>
      <color rgb="FF000000"/>
      <name val="Calibri"/>
      <family val="2"/>
      <scheme val="minor"/>
    </font>
    <font>
      <b/>
      <i/>
      <sz val="11"/>
      <color rgb="FFFF0000"/>
      <name val="Calibri"/>
      <family val="2"/>
      <scheme val="minor"/>
    </font>
    <font>
      <b/>
      <sz val="11"/>
      <color rgb="FF000000"/>
      <name val="Calibri"/>
      <family val="2"/>
      <scheme val="minor"/>
    </font>
    <font>
      <b/>
      <sz val="10"/>
      <color rgb="FFFF0000"/>
      <name val="Calibri"/>
      <family val="2"/>
      <scheme val="minor"/>
    </font>
    <font>
      <u/>
      <sz val="11"/>
      <color rgb="FF000000"/>
      <name val="Calibri"/>
      <family val="2"/>
      <scheme val="minor"/>
    </font>
    <font>
      <vertAlign val="superscript"/>
      <sz val="11"/>
      <color theme="1"/>
      <name val="Aptos Narrow"/>
      <family val="2"/>
    </font>
    <font>
      <vertAlign val="superscript"/>
      <sz val="11"/>
      <color theme="1"/>
      <name val="Calibri"/>
      <family val="2"/>
      <scheme val="minor"/>
    </font>
    <font>
      <vertAlign val="superscript"/>
      <sz val="11"/>
      <color rgb="FF000000"/>
      <name val="Calibri"/>
      <family val="2"/>
    </font>
    <font>
      <sz val="12"/>
      <name val="Calibri"/>
      <family val="2"/>
      <scheme val="minor"/>
    </font>
    <font>
      <sz val="12"/>
      <color rgb="FFFF0000"/>
      <name val="Calibri"/>
      <family val="2"/>
      <scheme val="minor"/>
    </font>
    <font>
      <u/>
      <sz val="12"/>
      <name val="Calibri"/>
      <family val="2"/>
      <scheme val="minor"/>
    </font>
    <font>
      <b/>
      <sz val="14"/>
      <color theme="1"/>
      <name val="Garamond"/>
      <family val="1"/>
    </font>
    <font>
      <vertAlign val="superscript"/>
      <sz val="10.8"/>
      <color theme="1"/>
      <name val="Calibri"/>
      <family val="2"/>
    </font>
    <font>
      <vertAlign val="superscript"/>
      <sz val="9.9"/>
      <color theme="1"/>
      <name val="Calibri"/>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tint="-0.499984740745262"/>
        <bgColor indexed="64"/>
      </patternFill>
    </fill>
  </fills>
  <borders count="55">
    <border>
      <left/>
      <right/>
      <top/>
      <bottom/>
      <diagonal/>
    </border>
    <border>
      <left/>
      <right/>
      <top style="thin">
        <color auto="1"/>
      </top>
      <bottom style="thin">
        <color auto="1"/>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style="double">
        <color auto="1"/>
      </bottom>
      <diagonal/>
    </border>
    <border>
      <left/>
      <right style="thin">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2">
    <xf numFmtId="0" fontId="0" fillId="0" borderId="0"/>
    <xf numFmtId="0" fontId="3" fillId="0" borderId="0"/>
    <xf numFmtId="172" fontId="4" fillId="2" borderId="2">
      <alignment horizontal="center" vertical="center"/>
    </xf>
    <xf numFmtId="43" fontId="3" fillId="0" borderId="0" applyFont="0" applyFill="0" applyBorder="0" applyAlignment="0" applyProtection="0"/>
    <xf numFmtId="168" fontId="6" fillId="0" borderId="0">
      <protection locked="0"/>
    </xf>
    <xf numFmtId="44" fontId="3" fillId="0" borderId="0" applyFont="0" applyFill="0" applyBorder="0" applyAlignment="0" applyProtection="0"/>
    <xf numFmtId="44" fontId="3" fillId="0" borderId="0" applyFont="0" applyFill="0" applyBorder="0" applyAlignment="0" applyProtection="0"/>
    <xf numFmtId="169" fontId="6" fillId="0" borderId="0">
      <protection locked="0"/>
    </xf>
    <xf numFmtId="0" fontId="6" fillId="0" borderId="0">
      <protection locked="0"/>
    </xf>
    <xf numFmtId="167" fontId="6" fillId="0" borderId="0">
      <protection locked="0"/>
    </xf>
    <xf numFmtId="38" fontId="7" fillId="3" borderId="0" applyNumberFormat="0" applyBorder="0" applyAlignment="0" applyProtection="0"/>
    <xf numFmtId="0" fontId="8" fillId="0" borderId="0" applyNumberFormat="0" applyFill="0" applyBorder="0" applyAlignment="0" applyProtection="0"/>
    <xf numFmtId="0" fontId="6" fillId="0" borderId="0">
      <protection locked="0"/>
    </xf>
    <xf numFmtId="0" fontId="6" fillId="0" borderId="0">
      <protection locked="0"/>
    </xf>
    <xf numFmtId="171" fontId="3" fillId="0" borderId="0">
      <protection locked="0"/>
    </xf>
    <xf numFmtId="171" fontId="3" fillId="0" borderId="0">
      <protection locked="0"/>
    </xf>
    <xf numFmtId="0" fontId="9" fillId="0" borderId="3" applyNumberFormat="0" applyFill="0" applyAlignment="0" applyProtection="0"/>
    <xf numFmtId="10" fontId="7" fillId="4" borderId="4" applyNumberFormat="0" applyBorder="0" applyAlignment="0" applyProtection="0"/>
    <xf numFmtId="37" fontId="10" fillId="0" borderId="0"/>
    <xf numFmtId="170" fontId="11" fillId="0" borderId="0"/>
    <xf numFmtId="0" fontId="3" fillId="0" borderId="0"/>
    <xf numFmtId="0" fontId="3" fillId="0" borderId="0"/>
    <xf numFmtId="9"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6" fillId="0" borderId="5">
      <protection locked="0"/>
    </xf>
    <xf numFmtId="37" fontId="7" fillId="5" borderId="0" applyNumberFormat="0" applyBorder="0" applyAlignment="0" applyProtection="0"/>
    <xf numFmtId="37" fontId="7" fillId="0" borderId="0"/>
    <xf numFmtId="37" fontId="7" fillId="5" borderId="0" applyNumberFormat="0" applyBorder="0" applyAlignment="0" applyProtection="0"/>
    <xf numFmtId="3" fontId="12" fillId="0" borderId="3" applyProtection="0"/>
    <xf numFmtId="0" fontId="3" fillId="0" borderId="0"/>
    <xf numFmtId="0" fontId="5" fillId="0" borderId="0"/>
    <xf numFmtId="9" fontId="5" fillId="0" borderId="0" applyFont="0" applyFill="0" applyBorder="0" applyAlignment="0" applyProtection="0"/>
    <xf numFmtId="0" fontId="5" fillId="0" borderId="0"/>
    <xf numFmtId="0" fontId="3" fillId="0" borderId="0"/>
    <xf numFmtId="0" fontId="3" fillId="0" borderId="0"/>
    <xf numFmtId="43" fontId="24" fillId="0" borderId="0" applyFont="0" applyFill="0" applyBorder="0" applyAlignment="0" applyProtection="0"/>
    <xf numFmtId="44" fontId="24" fillId="0" borderId="0" applyFont="0" applyFill="0" applyBorder="0" applyAlignment="0" applyProtection="0"/>
    <xf numFmtId="43" fontId="3" fillId="0" borderId="0" applyFont="0" applyFill="0" applyBorder="0" applyAlignment="0" applyProtection="0"/>
    <xf numFmtId="0" fontId="3" fillId="0" borderId="0"/>
    <xf numFmtId="0" fontId="24" fillId="0" borderId="0"/>
    <xf numFmtId="9" fontId="24" fillId="0" borderId="0" applyFont="0" applyFill="0" applyBorder="0" applyAlignment="0" applyProtection="0"/>
    <xf numFmtId="0" fontId="3" fillId="0" borderId="0"/>
    <xf numFmtId="0" fontId="36" fillId="0" borderId="0"/>
    <xf numFmtId="0" fontId="3" fillId="0" borderId="0" applyNumberFormat="0" applyFill="0" applyBorder="0" applyAlignment="0" applyProtection="0"/>
    <xf numFmtId="179" fontId="37" fillId="2" borderId="2">
      <alignment horizontal="center" vertical="center"/>
    </xf>
    <xf numFmtId="6" fontId="38" fillId="0" borderId="0">
      <protection locked="0"/>
    </xf>
    <xf numFmtId="180" fontId="3" fillId="0" borderId="0">
      <protection locked="0"/>
    </xf>
    <xf numFmtId="0" fontId="36" fillId="0" borderId="0"/>
    <xf numFmtId="0" fontId="3" fillId="0" borderId="0"/>
    <xf numFmtId="9" fontId="41" fillId="0" borderId="0" applyFont="0" applyFill="0" applyBorder="0" applyAlignment="0" applyProtection="0"/>
    <xf numFmtId="44" fontId="24" fillId="0" borderId="0" applyFont="0" applyFill="0" applyBorder="0" applyAlignment="0" applyProtection="0"/>
    <xf numFmtId="42" fontId="41" fillId="0" borderId="0" applyFont="0" applyFill="0" applyBorder="0" applyAlignment="0" applyProtection="0"/>
    <xf numFmtId="43" fontId="24" fillId="0" borderId="0" applyFont="0" applyFill="0" applyBorder="0" applyAlignment="0" applyProtection="0"/>
    <xf numFmtId="41" fontId="41" fillId="0" borderId="0" applyFont="0" applyFill="0" applyBorder="0" applyAlignment="0" applyProtection="0"/>
    <xf numFmtId="0" fontId="7" fillId="3" borderId="0" applyNumberFormat="0" applyBorder="0" applyAlignment="0" applyProtection="0"/>
    <xf numFmtId="0" fontId="7" fillId="4" borderId="4" applyNumberFormat="0" applyBorder="0" applyAlignment="0" applyProtection="0"/>
    <xf numFmtId="170" fontId="42" fillId="0" borderId="0"/>
    <xf numFmtId="0" fontId="7" fillId="5" borderId="0" applyNumberFormat="0" applyBorder="0" applyAlignment="0" applyProtection="0"/>
    <xf numFmtId="0" fontId="3" fillId="0" borderId="0"/>
    <xf numFmtId="179" fontId="43" fillId="2" borderId="2">
      <alignment horizontal="center" vertical="center"/>
    </xf>
    <xf numFmtId="0" fontId="3" fillId="0" borderId="0"/>
    <xf numFmtId="0" fontId="45" fillId="0" borderId="0"/>
    <xf numFmtId="0" fontId="24" fillId="0" borderId="0"/>
    <xf numFmtId="0" fontId="49" fillId="0" borderId="0" applyNumberFormat="0" applyFill="0" applyBorder="0" applyAlignment="0" applyProtection="0"/>
    <xf numFmtId="0" fontId="24" fillId="0" borderId="0"/>
    <xf numFmtId="0" fontId="48" fillId="0" borderId="0"/>
    <xf numFmtId="43" fontId="3" fillId="0" borderId="0" applyFont="0" applyFill="0" applyBorder="0" applyAlignment="0" applyProtection="0"/>
    <xf numFmtId="0" fontId="49" fillId="0" borderId="0" applyNumberFormat="0" applyFill="0" applyBorder="0" applyAlignment="0" applyProtection="0"/>
    <xf numFmtId="0" fontId="24" fillId="0" borderId="0"/>
    <xf numFmtId="0" fontId="48" fillId="0" borderId="0"/>
  </cellStyleXfs>
  <cellXfs count="546">
    <xf numFmtId="0" fontId="0" fillId="0" borderId="0" xfId="0"/>
    <xf numFmtId="0" fontId="14" fillId="0" borderId="0" xfId="1" applyFont="1" applyAlignment="1">
      <alignment horizontal="right"/>
    </xf>
    <xf numFmtId="173" fontId="15" fillId="0" borderId="0" xfId="3" applyNumberFormat="1" applyFont="1" applyFill="1" applyBorder="1" applyAlignment="1">
      <alignment horizontal="center"/>
    </xf>
    <xf numFmtId="0" fontId="15" fillId="0" borderId="0" xfId="1" applyFont="1" applyAlignment="1">
      <alignment horizontal="center"/>
    </xf>
    <xf numFmtId="0" fontId="15" fillId="0" borderId="7" xfId="1" applyFont="1" applyBorder="1" applyAlignment="1">
      <alignment horizontal="center" wrapText="1"/>
    </xf>
    <xf numFmtId="0" fontId="13" fillId="0" borderId="0" xfId="0" applyFont="1"/>
    <xf numFmtId="43" fontId="13" fillId="0" borderId="0" xfId="0" applyNumberFormat="1" applyFont="1"/>
    <xf numFmtId="3" fontId="13" fillId="0" borderId="0" xfId="0" applyNumberFormat="1" applyFont="1" applyAlignment="1">
      <alignment horizontal="center"/>
    </xf>
    <xf numFmtId="38" fontId="13" fillId="0" borderId="0" xfId="0" applyNumberFormat="1" applyFont="1" applyAlignment="1">
      <alignment horizontal="center"/>
    </xf>
    <xf numFmtId="43" fontId="13" fillId="0" borderId="0" xfId="3" applyFont="1" applyFill="1"/>
    <xf numFmtId="0" fontId="1" fillId="0" borderId="0" xfId="0" applyFont="1"/>
    <xf numFmtId="0" fontId="0" fillId="0" borderId="6" xfId="0" applyBorder="1"/>
    <xf numFmtId="14" fontId="15" fillId="0" borderId="4" xfId="1" quotePrefix="1" applyNumberFormat="1" applyFont="1" applyBorder="1" applyAlignment="1">
      <alignment horizontal="center" wrapText="1"/>
    </xf>
    <xf numFmtId="0" fontId="14" fillId="0" borderId="0" xfId="1" applyFont="1"/>
    <xf numFmtId="0" fontId="15" fillId="0" borderId="0" xfId="1" applyFont="1"/>
    <xf numFmtId="0" fontId="15" fillId="0" borderId="4" xfId="1" applyFont="1" applyBorder="1" applyAlignment="1">
      <alignment horizontal="center" wrapText="1"/>
    </xf>
    <xf numFmtId="15" fontId="15" fillId="0" borderId="0" xfId="1" applyNumberFormat="1" applyFont="1"/>
    <xf numFmtId="0" fontId="15" fillId="0" borderId="0" xfId="0" applyFont="1"/>
    <xf numFmtId="0" fontId="18" fillId="0" borderId="0" xfId="0" applyFont="1"/>
    <xf numFmtId="0" fontId="18" fillId="0" borderId="0" xfId="0" applyFont="1" applyAlignment="1">
      <alignment horizontal="right"/>
    </xf>
    <xf numFmtId="0" fontId="15" fillId="6" borderId="4" xfId="1" applyFont="1" applyFill="1" applyBorder="1" applyAlignment="1">
      <alignment horizontal="center"/>
    </xf>
    <xf numFmtId="0" fontId="15" fillId="0" borderId="24" xfId="1" applyFont="1" applyBorder="1"/>
    <xf numFmtId="174" fontId="15" fillId="0" borderId="28" xfId="1" applyNumberFormat="1" applyFont="1" applyBorder="1" applyAlignment="1">
      <alignment horizontal="center"/>
    </xf>
    <xf numFmtId="165" fontId="15" fillId="0" borderId="30" xfId="25" applyNumberFormat="1" applyFont="1" applyFill="1" applyBorder="1" applyAlignment="1">
      <alignment horizontal="center"/>
    </xf>
    <xf numFmtId="165" fontId="15" fillId="0" borderId="8" xfId="25" applyNumberFormat="1" applyFont="1" applyFill="1" applyBorder="1" applyAlignment="1">
      <alignment horizontal="center"/>
    </xf>
    <xf numFmtId="174" fontId="15" fillId="0" borderId="29" xfId="1" applyNumberFormat="1" applyFont="1" applyBorder="1" applyAlignment="1">
      <alignment horizontal="center"/>
    </xf>
    <xf numFmtId="165" fontId="15" fillId="0" borderId="29" xfId="25" applyNumberFormat="1" applyFont="1" applyFill="1" applyBorder="1" applyAlignment="1">
      <alignment horizontal="center"/>
    </xf>
    <xf numFmtId="165" fontId="15" fillId="0" borderId="11" xfId="25" applyNumberFormat="1" applyFont="1" applyFill="1" applyBorder="1" applyAlignment="1">
      <alignment horizontal="center"/>
    </xf>
    <xf numFmtId="0" fontId="15" fillId="0" borderId="35" xfId="1" applyFont="1" applyBorder="1" applyAlignment="1">
      <alignment horizontal="center"/>
    </xf>
    <xf numFmtId="0" fontId="15" fillId="0" borderId="1" xfId="1" applyFont="1" applyBorder="1" applyAlignment="1">
      <alignment horizontal="center"/>
    </xf>
    <xf numFmtId="44" fontId="15" fillId="0" borderId="30" xfId="1" applyNumberFormat="1" applyFont="1" applyBorder="1" applyAlignment="1">
      <alignment horizontal="center"/>
    </xf>
    <xf numFmtId="165" fontId="15" fillId="0" borderId="30" xfId="22" applyNumberFormat="1" applyFont="1" applyFill="1" applyBorder="1" applyAlignment="1">
      <alignment horizontal="center"/>
    </xf>
    <xf numFmtId="165" fontId="15" fillId="0" borderId="8" xfId="22" applyNumberFormat="1" applyFont="1" applyFill="1" applyBorder="1" applyAlignment="1">
      <alignment horizontal="center"/>
    </xf>
    <xf numFmtId="44" fontId="15" fillId="0" borderId="29" xfId="1" applyNumberFormat="1" applyFont="1" applyBorder="1" applyAlignment="1">
      <alignment horizontal="center"/>
    </xf>
    <xf numFmtId="165" fontId="15" fillId="0" borderId="29" xfId="22" applyNumberFormat="1" applyFont="1" applyFill="1" applyBorder="1" applyAlignment="1">
      <alignment horizontal="center"/>
    </xf>
    <xf numFmtId="165" fontId="15" fillId="0" borderId="11" xfId="22" applyNumberFormat="1" applyFont="1" applyFill="1" applyBorder="1" applyAlignment="1">
      <alignment horizontal="center"/>
    </xf>
    <xf numFmtId="0" fontId="15" fillId="0" borderId="0" xfId="1" applyFont="1" applyAlignment="1">
      <alignment horizontal="right"/>
    </xf>
    <xf numFmtId="0" fontId="15" fillId="0" borderId="0" xfId="0" applyFont="1" applyAlignment="1">
      <alignment horizontal="right"/>
    </xf>
    <xf numFmtId="0" fontId="18" fillId="0" borderId="0" xfId="0" applyFont="1" applyAlignment="1">
      <alignment horizontal="center"/>
    </xf>
    <xf numFmtId="9" fontId="18" fillId="0" borderId="0" xfId="42" applyFont="1" applyFill="1" applyBorder="1" applyAlignment="1">
      <alignment horizontal="center"/>
    </xf>
    <xf numFmtId="0" fontId="0" fillId="0" borderId="0" xfId="0" applyAlignment="1">
      <alignment horizontal="left"/>
    </xf>
    <xf numFmtId="0" fontId="13" fillId="0" borderId="0" xfId="0" applyFont="1" applyAlignment="1">
      <alignment horizontal="center"/>
    </xf>
    <xf numFmtId="0" fontId="14" fillId="0" borderId="6" xfId="1" applyFont="1" applyBorder="1" applyAlignment="1">
      <alignment horizontal="center"/>
    </xf>
    <xf numFmtId="0" fontId="19" fillId="0" borderId="0" xfId="0" applyFont="1"/>
    <xf numFmtId="0" fontId="19" fillId="0" borderId="0" xfId="0" applyFont="1" applyAlignment="1">
      <alignment horizontal="center"/>
    </xf>
    <xf numFmtId="3" fontId="18" fillId="0" borderId="0" xfId="0" applyNumberFormat="1" applyFont="1" applyAlignment="1">
      <alignment horizontal="center"/>
    </xf>
    <xf numFmtId="0" fontId="28" fillId="0" borderId="0" xfId="0" applyFont="1" applyAlignment="1">
      <alignment horizontal="center"/>
    </xf>
    <xf numFmtId="165" fontId="15" fillId="0" borderId="37" xfId="25" applyNumberFormat="1" applyFont="1" applyFill="1" applyBorder="1" applyAlignment="1">
      <alignment horizontal="center"/>
    </xf>
    <xf numFmtId="165" fontId="15" fillId="0" borderId="38" xfId="25" applyNumberFormat="1" applyFont="1" applyFill="1" applyBorder="1" applyAlignment="1">
      <alignment horizontal="center"/>
    </xf>
    <xf numFmtId="165" fontId="15" fillId="0" borderId="39" xfId="22" applyNumberFormat="1" applyFont="1" applyFill="1" applyBorder="1" applyAlignment="1">
      <alignment horizontal="center"/>
    </xf>
    <xf numFmtId="165" fontId="15" fillId="0" borderId="37" xfId="22" applyNumberFormat="1" applyFont="1" applyFill="1" applyBorder="1" applyAlignment="1">
      <alignment horizontal="center"/>
    </xf>
    <xf numFmtId="165" fontId="15" fillId="0" borderId="38" xfId="22" applyNumberFormat="1" applyFont="1" applyFill="1" applyBorder="1" applyAlignment="1">
      <alignment horizontal="center"/>
    </xf>
    <xf numFmtId="166" fontId="18" fillId="0" borderId="0" xfId="6" applyNumberFormat="1" applyFont="1" applyFill="1"/>
    <xf numFmtId="0" fontId="18" fillId="0" borderId="31" xfId="0" applyFont="1" applyBorder="1"/>
    <xf numFmtId="44" fontId="18" fillId="0" borderId="0" xfId="6" applyFont="1" applyFill="1" applyBorder="1"/>
    <xf numFmtId="173" fontId="13" fillId="0" borderId="0" xfId="3" applyNumberFormat="1" applyFont="1" applyFill="1"/>
    <xf numFmtId="173" fontId="13" fillId="0" borderId="0" xfId="3" applyNumberFormat="1" applyFont="1" applyFill="1" applyBorder="1"/>
    <xf numFmtId="0" fontId="15" fillId="0" borderId="40" xfId="1" applyFont="1" applyBorder="1" applyAlignment="1">
      <alignment horizontal="center" wrapText="1"/>
    </xf>
    <xf numFmtId="165" fontId="15" fillId="0" borderId="28" xfId="22" applyNumberFormat="1" applyFont="1" applyFill="1" applyBorder="1" applyAlignment="1">
      <alignment horizontal="center"/>
    </xf>
    <xf numFmtId="173" fontId="18" fillId="0" borderId="0" xfId="42" applyNumberFormat="1" applyFont="1" applyFill="1" applyBorder="1" applyAlignment="1">
      <alignment horizontal="center"/>
    </xf>
    <xf numFmtId="175" fontId="0" fillId="0" borderId="0" xfId="38" applyNumberFormat="1" applyFont="1" applyFill="1"/>
    <xf numFmtId="14" fontId="15" fillId="0" borderId="4" xfId="1" applyNumberFormat="1" applyFont="1" applyBorder="1" applyAlignment="1">
      <alignment horizontal="center" wrapText="1"/>
    </xf>
    <xf numFmtId="10" fontId="13" fillId="0" borderId="0" xfId="24" applyNumberFormat="1" applyFont="1" applyFill="1" applyAlignment="1">
      <alignment horizontal="center"/>
    </xf>
    <xf numFmtId="43" fontId="0" fillId="0" borderId="0" xfId="37" applyFont="1" applyFill="1"/>
    <xf numFmtId="41" fontId="0" fillId="0" borderId="0" xfId="37" applyNumberFormat="1" applyFont="1" applyFill="1" applyBorder="1"/>
    <xf numFmtId="173" fontId="0" fillId="0" borderId="0" xfId="37" applyNumberFormat="1" applyFont="1" applyFill="1" applyBorder="1"/>
    <xf numFmtId="173" fontId="13" fillId="0" borderId="0" xfId="37" applyNumberFormat="1" applyFont="1" applyFill="1"/>
    <xf numFmtId="173" fontId="0" fillId="0" borderId="0" xfId="37" applyNumberFormat="1" applyFont="1" applyFill="1"/>
    <xf numFmtId="44" fontId="19" fillId="0" borderId="0" xfId="6" applyFont="1" applyFill="1" applyBorder="1"/>
    <xf numFmtId="165" fontId="18" fillId="0" borderId="0" xfId="24" applyNumberFormat="1" applyFont="1" applyFill="1" applyBorder="1"/>
    <xf numFmtId="165" fontId="13" fillId="0" borderId="0" xfId="24" applyNumberFormat="1" applyFont="1" applyFill="1" applyAlignment="1">
      <alignment horizontal="center"/>
    </xf>
    <xf numFmtId="10" fontId="13" fillId="0" borderId="33" xfId="24" applyNumberFormat="1" applyFont="1" applyFill="1" applyBorder="1" applyAlignment="1">
      <alignment horizontal="center"/>
    </xf>
    <xf numFmtId="9" fontId="33" fillId="0" borderId="0" xfId="42" applyFont="1" applyFill="1" applyAlignment="1">
      <alignment horizontal="right"/>
    </xf>
    <xf numFmtId="9" fontId="33" fillId="0" borderId="0" xfId="42" applyFont="1" applyFill="1"/>
    <xf numFmtId="173" fontId="13" fillId="0" borderId="19" xfId="3" applyNumberFormat="1" applyFont="1" applyFill="1" applyBorder="1"/>
    <xf numFmtId="173" fontId="13" fillId="0" borderId="33" xfId="3" applyNumberFormat="1" applyFont="1" applyFill="1" applyBorder="1"/>
    <xf numFmtId="173" fontId="33" fillId="0" borderId="0" xfId="37" applyNumberFormat="1" applyFont="1" applyFill="1"/>
    <xf numFmtId="44" fontId="15" fillId="0" borderId="0" xfId="1" applyNumberFormat="1" applyFont="1" applyAlignment="1">
      <alignment horizontal="center"/>
    </xf>
    <xf numFmtId="165" fontId="15" fillId="0" borderId="0" xfId="22" applyNumberFormat="1" applyFont="1" applyFill="1" applyBorder="1" applyAlignment="1">
      <alignment horizontal="center"/>
    </xf>
    <xf numFmtId="175" fontId="0" fillId="0" borderId="0" xfId="38" applyNumberFormat="1" applyFont="1" applyFill="1" applyAlignment="1">
      <alignment horizontal="center"/>
    </xf>
    <xf numFmtId="0" fontId="18" fillId="0" borderId="0" xfId="0" applyFont="1" applyAlignment="1">
      <alignment wrapText="1"/>
    </xf>
    <xf numFmtId="1" fontId="18" fillId="0" borderId="4" xfId="0" applyNumberFormat="1" applyFont="1" applyBorder="1"/>
    <xf numFmtId="165" fontId="15" fillId="0" borderId="33" xfId="42" applyNumberFormat="1" applyFont="1" applyFill="1" applyBorder="1" applyAlignment="1">
      <alignment horizontal="center"/>
    </xf>
    <xf numFmtId="44" fontId="15" fillId="0" borderId="18" xfId="1" applyNumberFormat="1" applyFont="1" applyBorder="1" applyAlignment="1">
      <alignment horizontal="center"/>
    </xf>
    <xf numFmtId="165" fontId="15" fillId="0" borderId="18" xfId="42" applyNumberFormat="1" applyFont="1" applyFill="1" applyBorder="1" applyAlignment="1">
      <alignment horizontal="center"/>
    </xf>
    <xf numFmtId="44" fontId="15" fillId="0" borderId="33" xfId="1" applyNumberFormat="1" applyFont="1" applyBorder="1" applyAlignment="1">
      <alignment horizontal="center"/>
    </xf>
    <xf numFmtId="10" fontId="17" fillId="0" borderId="0" xfId="42" applyNumberFormat="1" applyFont="1" applyFill="1" applyBorder="1"/>
    <xf numFmtId="44" fontId="18" fillId="0" borderId="0" xfId="0" applyNumberFormat="1" applyFont="1"/>
    <xf numFmtId="17" fontId="18" fillId="0" borderId="0" xfId="6" quotePrefix="1" applyNumberFormat="1" applyFont="1" applyFill="1" applyBorder="1" applyAlignment="1"/>
    <xf numFmtId="37" fontId="0" fillId="0" borderId="0" xfId="38" applyNumberFormat="1" applyFont="1" applyFill="1"/>
    <xf numFmtId="2" fontId="18" fillId="0" borderId="0" xfId="42" applyNumberFormat="1" applyFont="1" applyFill="1" applyBorder="1" applyAlignment="1">
      <alignment horizontal="center"/>
    </xf>
    <xf numFmtId="41" fontId="25" fillId="0" borderId="0" xfId="37" applyNumberFormat="1" applyFont="1" applyFill="1"/>
    <xf numFmtId="173" fontId="25" fillId="0" borderId="0" xfId="37" applyNumberFormat="1" applyFont="1" applyFill="1"/>
    <xf numFmtId="175" fontId="25" fillId="0" borderId="0" xfId="38" applyNumberFormat="1" applyFont="1" applyFill="1"/>
    <xf numFmtId="10" fontId="13" fillId="0" borderId="0" xfId="24" applyNumberFormat="1" applyFont="1" applyFill="1" applyBorder="1" applyAlignment="1">
      <alignment horizontal="center"/>
    </xf>
    <xf numFmtId="0" fontId="18" fillId="0" borderId="8" xfId="0" applyFont="1" applyBorder="1"/>
    <xf numFmtId="0" fontId="0" fillId="0" borderId="0" xfId="0" applyAlignment="1">
      <alignment vertical="center"/>
    </xf>
    <xf numFmtId="165" fontId="0" fillId="0" borderId="0" xfId="42" applyNumberFormat="1" applyFont="1" applyFill="1" applyBorder="1"/>
    <xf numFmtId="173" fontId="13" fillId="0" borderId="0" xfId="37" applyNumberFormat="1" applyFont="1" applyFill="1" applyAlignment="1">
      <alignment horizontal="center"/>
    </xf>
    <xf numFmtId="165" fontId="0" fillId="0" borderId="13" xfId="42" applyNumberFormat="1" applyFont="1" applyFill="1" applyBorder="1"/>
    <xf numFmtId="175" fontId="13" fillId="0" borderId="0" xfId="38" applyNumberFormat="1" applyFont="1" applyFill="1" applyBorder="1"/>
    <xf numFmtId="173" fontId="13" fillId="0" borderId="0" xfId="37" applyNumberFormat="1" applyFont="1" applyFill="1" applyBorder="1"/>
    <xf numFmtId="14" fontId="18" fillId="0" borderId="0" xfId="6" quotePrefix="1" applyNumberFormat="1" applyFont="1" applyFill="1" applyBorder="1" applyAlignment="1"/>
    <xf numFmtId="14" fontId="18" fillId="0" borderId="0" xfId="6" applyNumberFormat="1" applyFont="1" applyFill="1" applyBorder="1" applyAlignment="1"/>
    <xf numFmtId="17" fontId="18" fillId="0" borderId="0" xfId="6" applyNumberFormat="1" applyFont="1" applyFill="1" applyBorder="1" applyAlignment="1"/>
    <xf numFmtId="0" fontId="15" fillId="0" borderId="34" xfId="1" applyFont="1" applyBorder="1" applyAlignment="1">
      <alignment horizontal="right"/>
    </xf>
    <xf numFmtId="0" fontId="15" fillId="0" borderId="33" xfId="1" applyFont="1" applyBorder="1" applyAlignment="1">
      <alignment horizontal="right"/>
    </xf>
    <xf numFmtId="174" fontId="15" fillId="0" borderId="30" xfId="1" applyNumberFormat="1" applyFont="1" applyBorder="1" applyAlignment="1">
      <alignment horizontal="center"/>
    </xf>
    <xf numFmtId="44" fontId="15" fillId="0" borderId="28" xfId="1" applyNumberFormat="1" applyFont="1" applyBorder="1" applyAlignment="1">
      <alignment horizontal="center"/>
    </xf>
    <xf numFmtId="0" fontId="0" fillId="0" borderId="0" xfId="0" applyAlignment="1">
      <alignment wrapText="1"/>
    </xf>
    <xf numFmtId="0" fontId="18" fillId="6" borderId="0" xfId="0" applyFont="1" applyFill="1" applyAlignment="1">
      <alignment horizontal="center"/>
    </xf>
    <xf numFmtId="165" fontId="18" fillId="0" borderId="0" xfId="42" applyNumberFormat="1" applyFont="1" applyFill="1" applyBorder="1"/>
    <xf numFmtId="10" fontId="13" fillId="0" borderId="0" xfId="24" applyNumberFormat="1" applyFont="1" applyFill="1"/>
    <xf numFmtId="10" fontId="13" fillId="0" borderId="0" xfId="25" applyNumberFormat="1" applyFont="1" applyFill="1" applyAlignment="1">
      <alignment horizontal="center"/>
    </xf>
    <xf numFmtId="10" fontId="13" fillId="0" borderId="0" xfId="42" applyNumberFormat="1" applyFont="1" applyFill="1"/>
    <xf numFmtId="9" fontId="13" fillId="0" borderId="0" xfId="42" applyFont="1" applyFill="1"/>
    <xf numFmtId="175" fontId="13" fillId="0" borderId="0" xfId="38" applyNumberFormat="1" applyFont="1" applyFill="1"/>
    <xf numFmtId="1" fontId="18" fillId="0" borderId="30" xfId="6" applyNumberFormat="1" applyFont="1" applyFill="1" applyBorder="1"/>
    <xf numFmtId="0" fontId="18" fillId="0" borderId="13" xfId="0" applyFont="1" applyBorder="1" applyAlignment="1">
      <alignment horizontal="right"/>
    </xf>
    <xf numFmtId="0" fontId="18" fillId="0" borderId="15" xfId="0" applyFont="1" applyBorder="1" applyAlignment="1">
      <alignment horizontal="right"/>
    </xf>
    <xf numFmtId="0" fontId="18" fillId="0" borderId="17" xfId="0" applyFont="1" applyBorder="1" applyAlignment="1">
      <alignment horizontal="right"/>
    </xf>
    <xf numFmtId="0" fontId="18" fillId="0" borderId="14" xfId="0" applyFont="1" applyBorder="1" applyAlignment="1">
      <alignment horizontal="right"/>
    </xf>
    <xf numFmtId="0" fontId="18" fillId="0" borderId="33" xfId="0" applyFont="1" applyBorder="1" applyAlignment="1">
      <alignment horizontal="right"/>
    </xf>
    <xf numFmtId="0" fontId="18" fillId="0" borderId="18" xfId="0" applyFont="1" applyBorder="1" applyAlignment="1">
      <alignment horizontal="right"/>
    </xf>
    <xf numFmtId="0" fontId="33" fillId="0" borderId="0" xfId="0" applyFont="1"/>
    <xf numFmtId="0" fontId="33" fillId="0" borderId="0" xfId="0" applyFont="1" applyAlignment="1">
      <alignment wrapText="1"/>
    </xf>
    <xf numFmtId="177" fontId="33" fillId="0" borderId="0" xfId="0" applyNumberFormat="1" applyFont="1"/>
    <xf numFmtId="177" fontId="13" fillId="0" borderId="0" xfId="0" applyNumberFormat="1" applyFont="1" applyAlignment="1">
      <alignment horizontal="right"/>
    </xf>
    <xf numFmtId="185" fontId="33" fillId="0" borderId="0" xfId="0" applyNumberFormat="1" applyFont="1"/>
    <xf numFmtId="177" fontId="33" fillId="0" borderId="0" xfId="0" applyNumberFormat="1" applyFont="1" applyAlignment="1">
      <alignment wrapText="1"/>
    </xf>
    <xf numFmtId="185" fontId="33" fillId="0" borderId="0" xfId="0" applyNumberFormat="1" applyFont="1" applyAlignment="1">
      <alignment horizontal="right"/>
    </xf>
    <xf numFmtId="174" fontId="15" fillId="0" borderId="0" xfId="1" applyNumberFormat="1" applyFont="1" applyAlignment="1">
      <alignment horizontal="center"/>
    </xf>
    <xf numFmtId="0" fontId="51" fillId="7" borderId="0" xfId="0" applyFont="1" applyFill="1" applyAlignment="1">
      <alignment horizontal="center"/>
    </xf>
    <xf numFmtId="0" fontId="50" fillId="0" borderId="0" xfId="0" applyFont="1" applyAlignment="1">
      <alignment horizontal="left" vertical="center" wrapText="1"/>
    </xf>
    <xf numFmtId="10" fontId="15" fillId="6" borderId="4" xfId="1" applyNumberFormat="1" applyFont="1" applyFill="1" applyBorder="1" applyAlignment="1">
      <alignment horizontal="center"/>
    </xf>
    <xf numFmtId="41" fontId="26" fillId="0" borderId="0" xfId="37" applyNumberFormat="1" applyFont="1" applyFill="1"/>
    <xf numFmtId="43" fontId="13" fillId="0" borderId="0" xfId="37" applyFont="1" applyFill="1" applyAlignment="1">
      <alignment horizontal="center"/>
    </xf>
    <xf numFmtId="37" fontId="0" fillId="0" borderId="0" xfId="38" applyNumberFormat="1" applyFont="1" applyFill="1" applyBorder="1"/>
    <xf numFmtId="0" fontId="33" fillId="0" borderId="4" xfId="0" applyFont="1" applyBorder="1"/>
    <xf numFmtId="0" fontId="33" fillId="0" borderId="4" xfId="0" applyFont="1" applyBorder="1" applyAlignment="1">
      <alignment horizontal="left"/>
    </xf>
    <xf numFmtId="0" fontId="33" fillId="0" borderId="23" xfId="0" applyFont="1" applyBorder="1"/>
    <xf numFmtId="6" fontId="25" fillId="0" borderId="0" xfId="37" applyNumberFormat="1" applyFont="1" applyFill="1"/>
    <xf numFmtId="165" fontId="18" fillId="0" borderId="0" xfId="42" applyNumberFormat="1" applyFont="1" applyFill="1"/>
    <xf numFmtId="165" fontId="13" fillId="0" borderId="0" xfId="42" applyNumberFormat="1" applyFont="1" applyFill="1"/>
    <xf numFmtId="43" fontId="13" fillId="0" borderId="0" xfId="37" applyFont="1" applyFill="1"/>
    <xf numFmtId="174" fontId="15" fillId="0" borderId="15" xfId="1" applyNumberFormat="1" applyFont="1" applyBorder="1" applyAlignment="1">
      <alignment horizontal="center"/>
    </xf>
    <xf numFmtId="10" fontId="13" fillId="0" borderId="0" xfId="24" quotePrefix="1" applyNumberFormat="1" applyFont="1" applyFill="1" applyAlignment="1">
      <alignment horizontal="center"/>
    </xf>
    <xf numFmtId="9" fontId="18" fillId="0" borderId="0" xfId="42" applyFont="1" applyFill="1" applyBorder="1" applyAlignment="1">
      <alignment horizontal="center" wrapText="1"/>
    </xf>
    <xf numFmtId="177" fontId="33" fillId="0" borderId="4" xfId="0" applyNumberFormat="1" applyFont="1" applyBorder="1"/>
    <xf numFmtId="177" fontId="13" fillId="0" borderId="4" xfId="0" applyNumberFormat="1" applyFont="1" applyBorder="1" applyAlignment="1">
      <alignment horizontal="right"/>
    </xf>
    <xf numFmtId="177" fontId="33" fillId="0" borderId="1" xfId="0" applyNumberFormat="1" applyFont="1" applyBorder="1"/>
    <xf numFmtId="177" fontId="33" fillId="0" borderId="24" xfId="0" applyNumberFormat="1" applyFont="1" applyBorder="1"/>
    <xf numFmtId="165" fontId="0" fillId="0" borderId="33" xfId="42" applyNumberFormat="1" applyFont="1" applyFill="1" applyBorder="1"/>
    <xf numFmtId="165" fontId="0" fillId="0" borderId="36" xfId="42" applyNumberFormat="1" applyFont="1" applyFill="1" applyBorder="1"/>
    <xf numFmtId="1" fontId="18" fillId="0" borderId="31" xfId="6" applyNumberFormat="1" applyFont="1" applyFill="1" applyBorder="1"/>
    <xf numFmtId="0" fontId="53" fillId="0" borderId="0" xfId="0" applyFont="1"/>
    <xf numFmtId="0" fontId="47" fillId="0" borderId="0" xfId="0" applyFont="1"/>
    <xf numFmtId="0" fontId="54" fillId="0" borderId="0" xfId="0" applyFont="1"/>
    <xf numFmtId="0" fontId="47" fillId="0" borderId="0" xfId="0" applyFont="1" applyAlignment="1">
      <alignment horizontal="left" indent="1"/>
    </xf>
    <xf numFmtId="0" fontId="47" fillId="0" borderId="0" xfId="0" applyFont="1" applyAlignment="1">
      <alignment horizontal="right" indent="1"/>
    </xf>
    <xf numFmtId="0" fontId="47" fillId="0" borderId="0" xfId="0" applyFont="1" applyAlignment="1">
      <alignment horizontal="fill"/>
    </xf>
    <xf numFmtId="0" fontId="47" fillId="0" borderId="0" xfId="0" applyFont="1" applyAlignment="1">
      <alignment horizontal="left"/>
    </xf>
    <xf numFmtId="0" fontId="55" fillId="0" borderId="0" xfId="0" applyFont="1"/>
    <xf numFmtId="0" fontId="56" fillId="0" borderId="0" xfId="0" applyFont="1" applyAlignment="1">
      <alignment horizontal="left" indent="5"/>
    </xf>
    <xf numFmtId="0" fontId="57" fillId="0" borderId="0" xfId="0" applyFont="1"/>
    <xf numFmtId="0" fontId="56" fillId="0" borderId="0" xfId="0" applyFont="1" applyAlignment="1">
      <alignment horizontal="center"/>
    </xf>
    <xf numFmtId="0" fontId="47" fillId="0" borderId="0" xfId="0" applyFont="1" applyAlignment="1">
      <alignment horizontal="right"/>
    </xf>
    <xf numFmtId="49" fontId="47" fillId="0" borderId="0" xfId="0" applyNumberFormat="1" applyFont="1" applyAlignment="1">
      <alignment horizontal="right"/>
    </xf>
    <xf numFmtId="173" fontId="15" fillId="6" borderId="0" xfId="3" applyNumberFormat="1" applyFont="1" applyFill="1" applyBorder="1" applyAlignment="1">
      <alignment horizontal="center"/>
    </xf>
    <xf numFmtId="0" fontId="0" fillId="0" borderId="0" xfId="0" applyAlignment="1">
      <alignment vertical="top" wrapText="1"/>
    </xf>
    <xf numFmtId="0" fontId="0" fillId="0" borderId="0" xfId="0" quotePrefix="1" applyAlignment="1">
      <alignment vertical="top" wrapText="1"/>
    </xf>
    <xf numFmtId="0" fontId="0" fillId="0" borderId="0" xfId="0" applyAlignment="1">
      <alignment vertical="top"/>
    </xf>
    <xf numFmtId="0" fontId="44" fillId="0" borderId="0" xfId="0" applyFont="1" applyAlignment="1">
      <alignment vertical="center"/>
    </xf>
    <xf numFmtId="0" fontId="60" fillId="0" borderId="0" xfId="0" applyFont="1" applyAlignment="1">
      <alignment vertical="center"/>
    </xf>
    <xf numFmtId="0" fontId="40" fillId="0" borderId="0" xfId="0" applyFont="1" applyAlignment="1">
      <alignment horizontal="left"/>
    </xf>
    <xf numFmtId="0" fontId="47" fillId="8" borderId="0" xfId="0" applyFont="1" applyFill="1"/>
    <xf numFmtId="0" fontId="47" fillId="8" borderId="0" xfId="0" applyFont="1" applyFill="1" applyAlignment="1">
      <alignment horizontal="right"/>
    </xf>
    <xf numFmtId="0" fontId="0" fillId="8" borderId="0" xfId="0" applyFill="1"/>
    <xf numFmtId="0" fontId="0" fillId="0" borderId="0" xfId="0" quotePrefix="1" applyAlignment="1">
      <alignment horizontal="left" vertical="top" wrapText="1"/>
    </xf>
    <xf numFmtId="0" fontId="0" fillId="0" borderId="0" xfId="0" applyAlignment="1">
      <alignment horizontal="left" vertical="top"/>
    </xf>
    <xf numFmtId="0" fontId="44" fillId="0" borderId="0" xfId="0" applyFont="1" applyAlignment="1">
      <alignment horizontal="left" vertical="top"/>
    </xf>
    <xf numFmtId="0" fontId="44" fillId="0" borderId="0" xfId="0" applyFont="1" applyAlignment="1">
      <alignment horizontal="left" vertical="top" wrapText="1"/>
    </xf>
    <xf numFmtId="0" fontId="55" fillId="0" borderId="0" xfId="0" applyFont="1" applyAlignment="1">
      <alignment horizontal="right"/>
    </xf>
    <xf numFmtId="165" fontId="33" fillId="0" borderId="0" xfId="42" applyNumberFormat="1" applyFont="1" applyFill="1" applyBorder="1"/>
    <xf numFmtId="165" fontId="33" fillId="0" borderId="8" xfId="42" applyNumberFormat="1" applyFont="1" applyFill="1" applyBorder="1"/>
    <xf numFmtId="165" fontId="33" fillId="0" borderId="15" xfId="42" applyNumberFormat="1" applyFont="1" applyFill="1" applyBorder="1"/>
    <xf numFmtId="165" fontId="33" fillId="0" borderId="11" xfId="42" applyNumberFormat="1" applyFont="1" applyFill="1" applyBorder="1"/>
    <xf numFmtId="173" fontId="13" fillId="0" borderId="0" xfId="3" applyNumberFormat="1" applyFont="1" applyFill="1" applyBorder="1" applyAlignment="1">
      <alignment horizontal="center"/>
    </xf>
    <xf numFmtId="173" fontId="16" fillId="0" borderId="13" xfId="3" applyNumberFormat="1" applyFont="1" applyFill="1" applyBorder="1" applyAlignment="1">
      <alignment horizontal="center"/>
    </xf>
    <xf numFmtId="0" fontId="13" fillId="0" borderId="0" xfId="0" applyFont="1" applyAlignment="1">
      <alignment horizontal="center" vertical="center"/>
    </xf>
    <xf numFmtId="0" fontId="13" fillId="0" borderId="0" xfId="0" applyFont="1" applyAlignment="1">
      <alignment vertical="center"/>
    </xf>
    <xf numFmtId="4" fontId="13" fillId="0" borderId="0" xfId="0" applyNumberFormat="1" applyFont="1" applyAlignment="1">
      <alignment horizontal="right" vertical="center"/>
    </xf>
    <xf numFmtId="173" fontId="33" fillId="0" borderId="0" xfId="37" applyNumberFormat="1" applyFont="1" applyFill="1" applyBorder="1"/>
    <xf numFmtId="173" fontId="33" fillId="0" borderId="10" xfId="37" applyNumberFormat="1" applyFont="1" applyFill="1" applyBorder="1"/>
    <xf numFmtId="0" fontId="13" fillId="0" borderId="0" xfId="0" applyFont="1" applyAlignment="1">
      <alignment horizontal="right" vertical="center"/>
    </xf>
    <xf numFmtId="173" fontId="13" fillId="0" borderId="0" xfId="42" applyNumberFormat="1" applyFont="1" applyFill="1"/>
    <xf numFmtId="44" fontId="13" fillId="0" borderId="0" xfId="38" applyFont="1" applyFill="1"/>
    <xf numFmtId="0" fontId="2" fillId="0" borderId="0" xfId="0" applyFont="1"/>
    <xf numFmtId="165" fontId="30" fillId="0" borderId="0" xfId="42" applyNumberFormat="1" applyFont="1" applyFill="1" applyAlignment="1">
      <alignment vertical="center"/>
    </xf>
    <xf numFmtId="173" fontId="13" fillId="0" borderId="0" xfId="3" applyNumberFormat="1" applyFont="1" applyFill="1" applyBorder="1" applyAlignment="1">
      <alignment horizontal="center" wrapText="1"/>
    </xf>
    <xf numFmtId="173" fontId="13" fillId="0" borderId="6" xfId="3" applyNumberFormat="1" applyFont="1" applyFill="1" applyBorder="1" applyAlignment="1">
      <alignment horizontal="center"/>
    </xf>
    <xf numFmtId="173" fontId="33" fillId="0" borderId="0" xfId="42" applyNumberFormat="1" applyFont="1" applyFill="1" applyBorder="1" applyAlignment="1">
      <alignment horizontal="center"/>
    </xf>
    <xf numFmtId="1" fontId="18" fillId="0" borderId="28" xfId="6" applyNumberFormat="1" applyFont="1" applyFill="1" applyBorder="1"/>
    <xf numFmtId="0" fontId="44" fillId="0" borderId="0" xfId="0" quotePrefix="1" applyFont="1" applyAlignment="1">
      <alignment horizontal="left" vertical="top" wrapText="1"/>
    </xf>
    <xf numFmtId="6" fontId="2" fillId="0" borderId="0" xfId="0" applyNumberFormat="1" applyFont="1"/>
    <xf numFmtId="173" fontId="2" fillId="0" borderId="0" xfId="37" quotePrefix="1" applyNumberFormat="1" applyFont="1" applyFill="1" applyBorder="1" applyAlignment="1">
      <alignment horizontal="right"/>
    </xf>
    <xf numFmtId="3" fontId="2" fillId="0" borderId="0" xfId="0" applyNumberFormat="1" applyFont="1"/>
    <xf numFmtId="173" fontId="2" fillId="0" borderId="0" xfId="37" applyNumberFormat="1" applyFont="1" applyFill="1"/>
    <xf numFmtId="8" fontId="2" fillId="0" borderId="0" xfId="0" applyNumberFormat="1" applyFont="1"/>
    <xf numFmtId="177" fontId="33" fillId="0" borderId="4" xfId="0" applyNumberFormat="1" applyFont="1" applyBorder="1" applyAlignment="1">
      <alignment wrapText="1"/>
    </xf>
    <xf numFmtId="10" fontId="30" fillId="0" borderId="0" xfId="42" applyNumberFormat="1" applyFont="1" applyFill="1" applyAlignment="1">
      <alignment vertical="center"/>
    </xf>
    <xf numFmtId="186" fontId="2" fillId="0" borderId="0" xfId="38" applyNumberFormat="1" applyFont="1" applyFill="1"/>
    <xf numFmtId="186" fontId="2" fillId="0" borderId="0" xfId="37" applyNumberFormat="1" applyFont="1" applyFill="1"/>
    <xf numFmtId="0" fontId="33" fillId="0" borderId="4" xfId="0" applyFont="1" applyBorder="1" applyAlignment="1">
      <alignment wrapText="1"/>
    </xf>
    <xf numFmtId="44" fontId="18" fillId="0" borderId="45" xfId="6" applyFont="1" applyFill="1" applyBorder="1"/>
    <xf numFmtId="166" fontId="18" fillId="0" borderId="45" xfId="6" applyNumberFormat="1" applyFont="1" applyFill="1" applyBorder="1"/>
    <xf numFmtId="165" fontId="18" fillId="0" borderId="45" xfId="24" applyNumberFormat="1" applyFont="1" applyFill="1" applyBorder="1"/>
    <xf numFmtId="185" fontId="33" fillId="0" borderId="4" xfId="0" applyNumberFormat="1" applyFont="1" applyBorder="1"/>
    <xf numFmtId="185" fontId="33" fillId="0" borderId="4" xfId="0" applyNumberFormat="1" applyFont="1" applyBorder="1" applyAlignment="1">
      <alignment horizontal="right"/>
    </xf>
    <xf numFmtId="165" fontId="0" fillId="0" borderId="28" xfId="42" applyNumberFormat="1" applyFont="1" applyFill="1" applyBorder="1"/>
    <xf numFmtId="165" fontId="0" fillId="0" borderId="30" xfId="42" applyNumberFormat="1" applyFont="1" applyFill="1" applyBorder="1"/>
    <xf numFmtId="165" fontId="0" fillId="0" borderId="31" xfId="42" applyNumberFormat="1" applyFont="1" applyFill="1" applyBorder="1"/>
    <xf numFmtId="173" fontId="13" fillId="0" borderId="8" xfId="37" applyNumberFormat="1" applyFont="1" applyFill="1" applyBorder="1"/>
    <xf numFmtId="173" fontId="13" fillId="0" borderId="15" xfId="37" applyNumberFormat="1" applyFont="1" applyFill="1" applyBorder="1"/>
    <xf numFmtId="173" fontId="13" fillId="0" borderId="11" xfId="37" applyNumberFormat="1" applyFont="1" applyFill="1" applyBorder="1"/>
    <xf numFmtId="0" fontId="18" fillId="0" borderId="0" xfId="0" applyFont="1" applyAlignment="1">
      <alignment horizontal="center" wrapText="1"/>
    </xf>
    <xf numFmtId="0" fontId="19" fillId="0" borderId="9" xfId="0" applyFont="1" applyBorder="1"/>
    <xf numFmtId="0" fontId="19" fillId="0" borderId="10" xfId="0" applyFont="1" applyBorder="1"/>
    <xf numFmtId="0" fontId="19" fillId="0" borderId="10" xfId="0" applyFont="1" applyBorder="1" applyAlignment="1">
      <alignment horizontal="center"/>
    </xf>
    <xf numFmtId="0" fontId="19" fillId="0" borderId="20" xfId="0" applyFont="1" applyBorder="1" applyAlignment="1">
      <alignment horizontal="center"/>
    </xf>
    <xf numFmtId="0" fontId="18" fillId="0" borderId="34" xfId="0" applyFont="1" applyBorder="1"/>
    <xf numFmtId="0" fontId="18" fillId="0" borderId="8" xfId="0" applyFont="1" applyBorder="1" applyAlignment="1">
      <alignment horizontal="center"/>
    </xf>
    <xf numFmtId="0" fontId="18" fillId="0" borderId="17" xfId="0" applyFont="1" applyBorder="1"/>
    <xf numFmtId="0" fontId="18" fillId="0" borderId="15" xfId="0" applyFont="1" applyBorder="1"/>
    <xf numFmtId="0" fontId="18" fillId="0" borderId="15" xfId="0" applyFont="1" applyBorder="1" applyAlignment="1">
      <alignment horizontal="center"/>
    </xf>
    <xf numFmtId="0" fontId="18" fillId="0" borderId="11" xfId="0" applyFont="1" applyBorder="1" applyAlignment="1">
      <alignment horizontal="center"/>
    </xf>
    <xf numFmtId="2" fontId="18" fillId="0" borderId="0" xfId="0" applyNumberFormat="1" applyFont="1" applyAlignment="1">
      <alignment horizontal="center"/>
    </xf>
    <xf numFmtId="14" fontId="15" fillId="0" borderId="4" xfId="1" applyNumberFormat="1" applyFont="1" applyBorder="1" applyAlignment="1">
      <alignment horizontal="center"/>
    </xf>
    <xf numFmtId="1" fontId="15" fillId="0" borderId="4" xfId="1" applyNumberFormat="1" applyFont="1" applyBorder="1" applyAlignment="1">
      <alignment horizontal="center"/>
    </xf>
    <xf numFmtId="0" fontId="18" fillId="0" borderId="4" xfId="0" applyFont="1" applyBorder="1"/>
    <xf numFmtId="0" fontId="18" fillId="0" borderId="28" xfId="0" applyFont="1" applyBorder="1"/>
    <xf numFmtId="0" fontId="15" fillId="0" borderId="23" xfId="1" applyFont="1" applyBorder="1"/>
    <xf numFmtId="44" fontId="18" fillId="0" borderId="4" xfId="38" applyFont="1" applyFill="1" applyBorder="1"/>
    <xf numFmtId="0" fontId="2" fillId="0" borderId="0" xfId="0" applyFont="1" applyAlignment="1">
      <alignment horizontal="center"/>
    </xf>
    <xf numFmtId="6" fontId="2" fillId="0" borderId="6" xfId="0" quotePrefix="1" applyNumberFormat="1" applyFont="1" applyBorder="1" applyAlignment="1">
      <alignment horizont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xf>
    <xf numFmtId="5" fontId="2" fillId="0" borderId="0" xfId="0" applyNumberFormat="1" applyFont="1"/>
    <xf numFmtId="5" fontId="61" fillId="0" borderId="0" xfId="0" applyNumberFormat="1" applyFont="1"/>
    <xf numFmtId="0" fontId="2" fillId="0" borderId="0" xfId="0" applyFont="1" applyAlignment="1">
      <alignment wrapText="1"/>
    </xf>
    <xf numFmtId="0" fontId="62" fillId="0" borderId="0" xfId="0" applyFont="1"/>
    <xf numFmtId="0" fontId="2" fillId="0" borderId="0" xfId="0" applyFont="1" applyAlignment="1">
      <alignment horizontal="left"/>
    </xf>
    <xf numFmtId="0" fontId="2" fillId="0" borderId="6" xfId="0" applyFont="1" applyBorder="1" applyAlignment="1">
      <alignment horizontal="center"/>
    </xf>
    <xf numFmtId="177" fontId="2" fillId="0" borderId="0" xfId="0" applyNumberFormat="1" applyFont="1"/>
    <xf numFmtId="183" fontId="2" fillId="0" borderId="0" xfId="0" applyNumberFormat="1" applyFont="1"/>
    <xf numFmtId="44" fontId="2" fillId="0" borderId="0" xfId="0" applyNumberFormat="1" applyFont="1"/>
    <xf numFmtId="2" fontId="2" fillId="0" borderId="0" xfId="0" applyNumberFormat="1" applyFont="1"/>
    <xf numFmtId="0" fontId="63" fillId="0" borderId="0" xfId="1" applyFont="1" applyAlignment="1">
      <alignment horizontal="right"/>
    </xf>
    <xf numFmtId="49" fontId="0" fillId="0" borderId="0" xfId="0" applyNumberFormat="1"/>
    <xf numFmtId="0" fontId="52" fillId="0" borderId="0" xfId="0" applyFont="1"/>
    <xf numFmtId="173" fontId="0" fillId="0" borderId="0" xfId="0" applyNumberFormat="1"/>
    <xf numFmtId="0" fontId="0" fillId="0" borderId="4" xfId="0" applyBorder="1" applyAlignment="1">
      <alignment vertical="center"/>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0" fillId="0" borderId="4" xfId="0" applyBorder="1" applyAlignment="1">
      <alignment horizontal="center" vertical="center" wrapText="1"/>
    </xf>
    <xf numFmtId="5" fontId="0" fillId="0" borderId="0" xfId="0" applyNumberFormat="1"/>
    <xf numFmtId="0" fontId="25" fillId="0" borderId="0" xfId="0" applyFont="1"/>
    <xf numFmtId="175" fontId="0" fillId="0" borderId="0" xfId="0" applyNumberFormat="1"/>
    <xf numFmtId="173" fontId="0" fillId="0" borderId="0" xfId="0" applyNumberFormat="1" applyAlignment="1">
      <alignment wrapText="1"/>
    </xf>
    <xf numFmtId="173" fontId="25" fillId="0" borderId="0" xfId="0" applyNumberFormat="1" applyFont="1"/>
    <xf numFmtId="37" fontId="0" fillId="0" borderId="0" xfId="0" applyNumberFormat="1"/>
    <xf numFmtId="43" fontId="0" fillId="0" borderId="0" xfId="0" applyNumberFormat="1"/>
    <xf numFmtId="5" fontId="25" fillId="0" borderId="0" xfId="0" applyNumberFormat="1" applyFont="1"/>
    <xf numFmtId="5" fontId="0" fillId="0" borderId="0" xfId="0" applyNumberFormat="1" applyAlignment="1">
      <alignment wrapText="1"/>
    </xf>
    <xf numFmtId="41" fontId="26" fillId="0" borderId="0" xfId="0" applyNumberFormat="1" applyFont="1"/>
    <xf numFmtId="0" fontId="25" fillId="0" borderId="0" xfId="1" applyFont="1" applyAlignment="1">
      <alignment horizontal="left"/>
    </xf>
    <xf numFmtId="41" fontId="26" fillId="0" borderId="32" xfId="0" applyNumberFormat="1" applyFont="1" applyBorder="1"/>
    <xf numFmtId="41" fontId="0" fillId="0" borderId="0" xfId="0" applyNumberFormat="1"/>
    <xf numFmtId="41" fontId="25" fillId="0" borderId="0" xfId="0" applyNumberFormat="1" applyFont="1"/>
    <xf numFmtId="15" fontId="0" fillId="0" borderId="0" xfId="0" applyNumberFormat="1"/>
    <xf numFmtId="8" fontId="25" fillId="0" borderId="0" xfId="0" applyNumberFormat="1" applyFont="1"/>
    <xf numFmtId="8" fontId="0" fillId="0" borderId="0" xfId="0" applyNumberFormat="1"/>
    <xf numFmtId="6" fontId="25" fillId="0" borderId="0" xfId="0" applyNumberFormat="1" applyFont="1"/>
    <xf numFmtId="164" fontId="0" fillId="0" borderId="0" xfId="0" applyNumberFormat="1"/>
    <xf numFmtId="3" fontId="1" fillId="0" borderId="0" xfId="0" applyNumberFormat="1" applyFont="1" applyAlignment="1">
      <alignment horizontal="left"/>
    </xf>
    <xf numFmtId="0" fontId="0" fillId="0" borderId="1" xfId="0" applyBorder="1"/>
    <xf numFmtId="0" fontId="0" fillId="0" borderId="1" xfId="0" applyBorder="1" applyAlignment="1">
      <alignment wrapText="1"/>
    </xf>
    <xf numFmtId="0" fontId="25" fillId="0" borderId="1" xfId="0" applyFont="1" applyBorder="1" applyAlignment="1">
      <alignment wrapText="1"/>
    </xf>
    <xf numFmtId="0" fontId="27" fillId="0" borderId="0" xfId="0" applyFont="1"/>
    <xf numFmtId="0" fontId="0" fillId="0" borderId="0" xfId="0" applyAlignment="1">
      <alignment horizontal="right"/>
    </xf>
    <xf numFmtId="41" fontId="0" fillId="0" borderId="13" xfId="0" applyNumberFormat="1" applyBorder="1"/>
    <xf numFmtId="3" fontId="0" fillId="0" borderId="0" xfId="0" applyNumberFormat="1"/>
    <xf numFmtId="41" fontId="0" fillId="0" borderId="0" xfId="0" applyNumberFormat="1" applyAlignment="1">
      <alignment horizontal="center"/>
    </xf>
    <xf numFmtId="173" fontId="0" fillId="0" borderId="0" xfId="0" applyNumberFormat="1" applyAlignment="1">
      <alignment horizontal="left"/>
    </xf>
    <xf numFmtId="41" fontId="0" fillId="0" borderId="0" xfId="0" applyNumberFormat="1" applyAlignment="1">
      <alignment horizontal="left"/>
    </xf>
    <xf numFmtId="0" fontId="47" fillId="0" borderId="0" xfId="0" applyFont="1" applyAlignment="1">
      <alignment vertical="center" wrapText="1"/>
    </xf>
    <xf numFmtId="5" fontId="26" fillId="0" borderId="0" xfId="0" applyNumberFormat="1" applyFont="1"/>
    <xf numFmtId="3" fontId="26" fillId="0" borderId="32" xfId="0" applyNumberFormat="1" applyFont="1" applyBorder="1"/>
    <xf numFmtId="3" fontId="1" fillId="0" borderId="32" xfId="0" applyNumberFormat="1" applyFont="1" applyBorder="1"/>
    <xf numFmtId="3" fontId="25" fillId="0" borderId="0" xfId="0" applyNumberFormat="1" applyFont="1"/>
    <xf numFmtId="0" fontId="0" fillId="0" borderId="0" xfId="0" applyAlignment="1">
      <alignment horizontal="center" vertical="center"/>
    </xf>
    <xf numFmtId="0" fontId="0" fillId="0" borderId="6" xfId="0" applyBorder="1" applyAlignment="1">
      <alignment wrapText="1"/>
    </xf>
    <xf numFmtId="0" fontId="0" fillId="0" borderId="6" xfId="0" applyBorder="1" applyAlignment="1">
      <alignment horizontal="left" wrapText="1"/>
    </xf>
    <xf numFmtId="6" fontId="0" fillId="0" borderId="0" xfId="0" applyNumberFormat="1"/>
    <xf numFmtId="3" fontId="1" fillId="0" borderId="0" xfId="0" applyNumberFormat="1" applyFont="1"/>
    <xf numFmtId="182" fontId="25" fillId="0" borderId="0" xfId="43" applyNumberFormat="1" applyFont="1"/>
    <xf numFmtId="0" fontId="25" fillId="0" borderId="0" xfId="50" applyFont="1"/>
    <xf numFmtId="182" fontId="25" fillId="0" borderId="0" xfId="50" applyNumberFormat="1" applyFont="1"/>
    <xf numFmtId="182" fontId="0" fillId="0" borderId="0" xfId="0" applyNumberFormat="1"/>
    <xf numFmtId="187" fontId="0" fillId="0" borderId="0" xfId="0" applyNumberFormat="1"/>
    <xf numFmtId="3" fontId="0" fillId="0" borderId="0" xfId="0" applyNumberFormat="1" applyAlignment="1">
      <alignment horizontal="center"/>
    </xf>
    <xf numFmtId="0" fontId="31" fillId="0" borderId="0" xfId="0" applyFont="1" applyAlignment="1">
      <alignment wrapText="1"/>
    </xf>
    <xf numFmtId="0" fontId="31" fillId="0" borderId="0" xfId="0" applyFont="1" applyAlignment="1">
      <alignment horizontal="center" wrapText="1"/>
    </xf>
    <xf numFmtId="0" fontId="16" fillId="0" borderId="0" xfId="1" applyFont="1" applyAlignment="1">
      <alignment horizontal="center"/>
    </xf>
    <xf numFmtId="43" fontId="33" fillId="0" borderId="0" xfId="0" applyNumberFormat="1" applyFont="1"/>
    <xf numFmtId="0" fontId="16" fillId="0" borderId="0" xfId="1" applyFont="1" applyAlignment="1">
      <alignment horizontal="right"/>
    </xf>
    <xf numFmtId="0" fontId="16" fillId="0" borderId="6" xfId="1" applyFont="1" applyBorder="1" applyAlignment="1">
      <alignment horizontal="center"/>
    </xf>
    <xf numFmtId="0" fontId="33" fillId="0" borderId="0" xfId="0" applyFont="1" applyAlignment="1">
      <alignment vertical="top" wrapText="1"/>
    </xf>
    <xf numFmtId="0" fontId="13" fillId="0" borderId="0" xfId="1" applyFont="1" applyAlignment="1">
      <alignment horizontal="right"/>
    </xf>
    <xf numFmtId="0" fontId="13" fillId="0" borderId="0" xfId="1" applyFont="1"/>
    <xf numFmtId="0" fontId="13" fillId="0" borderId="0" xfId="0" applyFont="1" applyAlignment="1">
      <alignment horizontal="center" wrapText="1"/>
    </xf>
    <xf numFmtId="0" fontId="13" fillId="0" borderId="13" xfId="0" applyFont="1" applyBorder="1" applyAlignment="1">
      <alignment horizontal="center" wrapText="1"/>
    </xf>
    <xf numFmtId="0" fontId="13" fillId="0" borderId="14" xfId="0" applyFont="1" applyBorder="1" applyAlignment="1">
      <alignment horizontal="center" vertical="center" wrapText="1"/>
    </xf>
    <xf numFmtId="3" fontId="33" fillId="0" borderId="0" xfId="0" applyNumberFormat="1" applyFont="1"/>
    <xf numFmtId="0" fontId="33" fillId="0" borderId="19" xfId="0" applyFont="1" applyBorder="1"/>
    <xf numFmtId="0" fontId="32" fillId="0" borderId="0" xfId="0" applyFont="1"/>
    <xf numFmtId="173" fontId="13" fillId="0" borderId="0" xfId="0" applyNumberFormat="1" applyFont="1" applyAlignment="1">
      <alignment horizontal="center"/>
    </xf>
    <xf numFmtId="173" fontId="13" fillId="0" borderId="19" xfId="0" applyNumberFormat="1" applyFont="1" applyBorder="1" applyAlignment="1">
      <alignment horizontal="center"/>
    </xf>
    <xf numFmtId="173" fontId="33" fillId="0" borderId="0" xfId="0" applyNumberFormat="1" applyFont="1"/>
    <xf numFmtId="0" fontId="13" fillId="0" borderId="0" xfId="1" applyFont="1" applyAlignment="1">
      <alignment horizontal="center"/>
    </xf>
    <xf numFmtId="0" fontId="32" fillId="0" borderId="0" xfId="0" applyFont="1" applyAlignment="1">
      <alignment horizontal="center"/>
    </xf>
    <xf numFmtId="0" fontId="32" fillId="0" borderId="19" xfId="0" applyFont="1" applyBorder="1" applyAlignment="1">
      <alignment horizontal="center"/>
    </xf>
    <xf numFmtId="0" fontId="32" fillId="0" borderId="33" xfId="0" applyFont="1" applyBorder="1" applyAlignment="1">
      <alignment horizontal="center"/>
    </xf>
    <xf numFmtId="0" fontId="33" fillId="0" borderId="14" xfId="0" applyFont="1" applyBorder="1" applyAlignment="1">
      <alignment horizontal="center" vertical="center" wrapText="1"/>
    </xf>
    <xf numFmtId="0" fontId="13" fillId="0" borderId="12" xfId="0" applyFont="1" applyBorder="1" applyAlignment="1">
      <alignment horizontal="center"/>
    </xf>
    <xf numFmtId="0" fontId="13" fillId="0" borderId="14" xfId="0" applyFont="1" applyBorder="1" applyAlignment="1">
      <alignment horizontal="center"/>
    </xf>
    <xf numFmtId="178" fontId="33" fillId="0" borderId="0" xfId="0" applyNumberFormat="1" applyFont="1"/>
    <xf numFmtId="0" fontId="33" fillId="0" borderId="0" xfId="0" applyFont="1" applyAlignment="1">
      <alignment horizontal="right"/>
    </xf>
    <xf numFmtId="173" fontId="13" fillId="0" borderId="0" xfId="0" applyNumberFormat="1" applyFont="1"/>
    <xf numFmtId="43" fontId="13" fillId="0" borderId="0" xfId="0" applyNumberFormat="1" applyFont="1" applyAlignment="1">
      <alignment horizontal="center"/>
    </xf>
    <xf numFmtId="44" fontId="13" fillId="0" borderId="0" xfId="0" applyNumberFormat="1" applyFont="1"/>
    <xf numFmtId="0" fontId="13" fillId="0" borderId="34" xfId="0" applyFont="1" applyBorder="1"/>
    <xf numFmtId="0" fontId="33" fillId="0" borderId="8" xfId="0" applyFont="1" applyBorder="1"/>
    <xf numFmtId="0" fontId="13" fillId="0" borderId="9" xfId="0" applyFont="1" applyBorder="1"/>
    <xf numFmtId="0" fontId="33" fillId="0" borderId="20" xfId="0" applyFont="1" applyBorder="1"/>
    <xf numFmtId="0" fontId="13" fillId="0" borderId="34" xfId="0" applyFont="1" applyBorder="1" applyAlignment="1">
      <alignment horizontal="center" vertical="center" wrapText="1"/>
    </xf>
    <xf numFmtId="0" fontId="13" fillId="0" borderId="0" xfId="0" applyFont="1" applyAlignment="1">
      <alignment horizontal="right"/>
    </xf>
    <xf numFmtId="0" fontId="33" fillId="0" borderId="17" xfId="0" applyFont="1" applyBorder="1"/>
    <xf numFmtId="0" fontId="33" fillId="0" borderId="15" xfId="0" applyFont="1" applyBorder="1"/>
    <xf numFmtId="0" fontId="33" fillId="0" borderId="11" xfId="0" applyFont="1" applyBorder="1"/>
    <xf numFmtId="0" fontId="33" fillId="0" borderId="44" xfId="0" applyFont="1" applyBorder="1"/>
    <xf numFmtId="0" fontId="33" fillId="0" borderId="9" xfId="0" applyFont="1" applyBorder="1"/>
    <xf numFmtId="0" fontId="33" fillId="0" borderId="10" xfId="0" applyFont="1" applyBorder="1"/>
    <xf numFmtId="4" fontId="13" fillId="0" borderId="0" xfId="0" applyNumberFormat="1" applyFont="1" applyAlignment="1">
      <alignment horizontal="center" vertical="center"/>
    </xf>
    <xf numFmtId="0" fontId="33" fillId="0" borderId="8" xfId="0" applyFont="1" applyBorder="1" applyAlignment="1">
      <alignment horizontal="center" vertical="center"/>
    </xf>
    <xf numFmtId="0" fontId="33" fillId="0" borderId="34" xfId="0" applyFont="1" applyBorder="1"/>
    <xf numFmtId="10" fontId="13" fillId="0" borderId="0" xfId="42" applyNumberFormat="1" applyFont="1" applyFill="1" applyAlignment="1">
      <alignment horizontal="right" vertical="center"/>
    </xf>
    <xf numFmtId="10" fontId="33" fillId="0" borderId="8" xfId="42" applyNumberFormat="1" applyFont="1" applyFill="1" applyBorder="1"/>
    <xf numFmtId="0" fontId="16" fillId="0" borderId="0" xfId="0" applyFont="1"/>
    <xf numFmtId="0" fontId="13" fillId="0" borderId="0" xfId="1" applyFont="1" applyAlignment="1">
      <alignment horizontal="right" indent="1"/>
    </xf>
    <xf numFmtId="10" fontId="13" fillId="0" borderId="0" xfId="42" applyNumberFormat="1" applyFont="1" applyFill="1" applyAlignment="1">
      <alignment horizontal="center" vertical="center"/>
    </xf>
    <xf numFmtId="165" fontId="33" fillId="0" borderId="0" xfId="0" applyNumberFormat="1" applyFont="1"/>
    <xf numFmtId="184" fontId="33" fillId="0" borderId="0" xfId="0" applyNumberFormat="1" applyFont="1"/>
    <xf numFmtId="14" fontId="33" fillId="0" borderId="0" xfId="0" applyNumberFormat="1" applyFont="1"/>
    <xf numFmtId="9" fontId="13" fillId="0" borderId="0" xfId="42" applyFont="1" applyFill="1" applyAlignment="1">
      <alignment vertical="center"/>
    </xf>
    <xf numFmtId="0" fontId="35" fillId="0" borderId="0" xfId="0" applyFont="1"/>
    <xf numFmtId="0" fontId="23" fillId="0" borderId="0" xfId="0" applyFont="1"/>
    <xf numFmtId="43" fontId="23" fillId="0" borderId="0" xfId="0" applyNumberFormat="1" applyFont="1"/>
    <xf numFmtId="0" fontId="17" fillId="0" borderId="0" xfId="1" applyFont="1"/>
    <xf numFmtId="1" fontId="14" fillId="0" borderId="0" xfId="0" applyNumberFormat="1" applyFont="1" applyAlignment="1">
      <alignment horizontal="center" wrapText="1"/>
    </xf>
    <xf numFmtId="14" fontId="14" fillId="0" borderId="0" xfId="0" applyNumberFormat="1" applyFont="1" applyAlignment="1">
      <alignment horizontal="center" wrapText="1"/>
    </xf>
    <xf numFmtId="14" fontId="14" fillId="0" borderId="0" xfId="0" applyNumberFormat="1" applyFont="1" applyAlignment="1">
      <alignment horizontal="center" vertical="center"/>
    </xf>
    <xf numFmtId="0" fontId="14" fillId="0" borderId="0" xfId="0" applyFont="1" applyAlignment="1">
      <alignment horizontal="center" wrapText="1"/>
    </xf>
    <xf numFmtId="176" fontId="15" fillId="0" borderId="0" xfId="34" applyNumberFormat="1" applyFont="1" applyAlignment="1" applyProtection="1">
      <alignment horizontal="left"/>
      <protection locked="0"/>
    </xf>
    <xf numFmtId="176" fontId="14" fillId="0" borderId="0" xfId="35" applyNumberFormat="1" applyFont="1" applyAlignment="1">
      <alignment horizontal="right"/>
    </xf>
    <xf numFmtId="166" fontId="13" fillId="0" borderId="0" xfId="0" applyNumberFormat="1" applyFont="1"/>
    <xf numFmtId="166" fontId="13" fillId="0" borderId="0" xfId="0" applyNumberFormat="1" applyFont="1" applyAlignment="1">
      <alignment horizontal="right"/>
    </xf>
    <xf numFmtId="177" fontId="13" fillId="0" borderId="0" xfId="0" applyNumberFormat="1" applyFont="1" applyAlignment="1">
      <alignment horizontal="center"/>
    </xf>
    <xf numFmtId="176" fontId="15" fillId="0" borderId="0" xfId="35" quotePrefix="1" applyNumberFormat="1" applyFont="1" applyAlignment="1">
      <alignment horizontal="right"/>
    </xf>
    <xf numFmtId="3" fontId="18" fillId="0" borderId="0" xfId="0" applyNumberFormat="1" applyFont="1"/>
    <xf numFmtId="173" fontId="18" fillId="0" borderId="0" xfId="0" applyNumberFormat="1" applyFont="1"/>
    <xf numFmtId="166" fontId="13" fillId="0" borderId="0" xfId="0" applyNumberFormat="1" applyFont="1" applyAlignment="1">
      <alignment horizontal="center"/>
    </xf>
    <xf numFmtId="177" fontId="13" fillId="0" borderId="0" xfId="0" applyNumberFormat="1" applyFont="1"/>
    <xf numFmtId="176" fontId="14" fillId="0" borderId="0" xfId="35" quotePrefix="1" applyNumberFormat="1" applyFont="1" applyAlignment="1">
      <alignment horizontal="right"/>
    </xf>
    <xf numFmtId="177" fontId="30" fillId="0" borderId="0" xfId="0" applyNumberFormat="1" applyFont="1"/>
    <xf numFmtId="188" fontId="13" fillId="0" borderId="0" xfId="38" applyNumberFormat="1" applyFont="1" applyFill="1"/>
    <xf numFmtId="166" fontId="18" fillId="0" borderId="0" xfId="0" applyNumberFormat="1" applyFont="1"/>
    <xf numFmtId="177" fontId="18" fillId="0" borderId="0" xfId="0" applyNumberFormat="1" applyFont="1"/>
    <xf numFmtId="181" fontId="13" fillId="0" borderId="0" xfId="0" applyNumberFormat="1" applyFont="1"/>
    <xf numFmtId="0" fontId="17" fillId="0" borderId="0" xfId="20" applyFont="1"/>
    <xf numFmtId="0" fontId="20" fillId="0" borderId="0" xfId="20" applyFont="1"/>
    <xf numFmtId="17" fontId="21" fillId="0" borderId="0" xfId="20" applyNumberFormat="1" applyFont="1" applyAlignment="1">
      <alignment horizontal="center" wrapText="1"/>
    </xf>
    <xf numFmtId="0" fontId="18" fillId="0" borderId="4" xfId="0" applyFont="1" applyBorder="1" applyAlignment="1">
      <alignment wrapText="1"/>
    </xf>
    <xf numFmtId="0" fontId="18" fillId="0" borderId="4" xfId="0" applyFont="1" applyBorder="1" applyAlignment="1">
      <alignment horizontal="center" vertical="top" wrapText="1"/>
    </xf>
    <xf numFmtId="0" fontId="18" fillId="0" borderId="23" xfId="0" applyFont="1" applyBorder="1" applyAlignment="1">
      <alignment horizontal="center"/>
    </xf>
    <xf numFmtId="0" fontId="18" fillId="0" borderId="24" xfId="0" applyFont="1" applyBorder="1" applyAlignment="1">
      <alignment horizontal="center"/>
    </xf>
    <xf numFmtId="0" fontId="17" fillId="0" borderId="6" xfId="20" applyFont="1" applyBorder="1" applyAlignment="1">
      <alignment horizontal="right"/>
    </xf>
    <xf numFmtId="14" fontId="21" fillId="0" borderId="6" xfId="20" quotePrefix="1" applyNumberFormat="1" applyFont="1" applyBorder="1" applyAlignment="1">
      <alignment horizontal="right"/>
    </xf>
    <xf numFmtId="17" fontId="21" fillId="0" borderId="6" xfId="20" applyNumberFormat="1" applyFont="1" applyBorder="1" applyAlignment="1">
      <alignment horizontal="center" wrapText="1"/>
    </xf>
    <xf numFmtId="0" fontId="18" fillId="0" borderId="6" xfId="0" applyFont="1" applyBorder="1"/>
    <xf numFmtId="0" fontId="18" fillId="0" borderId="14" xfId="0" applyFont="1" applyBorder="1" applyAlignment="1">
      <alignment horizontal="center"/>
    </xf>
    <xf numFmtId="0" fontId="18" fillId="0" borderId="19" xfId="0" applyFont="1" applyBorder="1" applyAlignment="1">
      <alignment horizontal="center"/>
    </xf>
    <xf numFmtId="0" fontId="18" fillId="0" borderId="33" xfId="0" applyFont="1" applyBorder="1" applyAlignment="1">
      <alignment horizontal="center"/>
    </xf>
    <xf numFmtId="0" fontId="17" fillId="0" borderId="0" xfId="20" applyFont="1" applyAlignment="1">
      <alignment horizontal="right"/>
    </xf>
    <xf numFmtId="1" fontId="18" fillId="0" borderId="28" xfId="0" applyNumberFormat="1" applyFont="1" applyBorder="1"/>
    <xf numFmtId="1" fontId="18" fillId="0" borderId="12" xfId="0" applyNumberFormat="1" applyFont="1" applyBorder="1"/>
    <xf numFmtId="165" fontId="0" fillId="0" borderId="19" xfId="42" applyNumberFormat="1" applyFont="1" applyFill="1" applyBorder="1"/>
    <xf numFmtId="0" fontId="18" fillId="0" borderId="30" xfId="0" applyFont="1" applyBorder="1"/>
    <xf numFmtId="1" fontId="18" fillId="0" borderId="30" xfId="0" applyNumberFormat="1" applyFont="1" applyBorder="1"/>
    <xf numFmtId="1" fontId="18" fillId="0" borderId="19" xfId="0" applyNumberFormat="1" applyFont="1" applyBorder="1"/>
    <xf numFmtId="1" fontId="18" fillId="0" borderId="31" xfId="0" applyNumberFormat="1" applyFont="1" applyBorder="1"/>
    <xf numFmtId="1" fontId="18" fillId="0" borderId="16" xfId="0" applyNumberFormat="1" applyFont="1" applyBorder="1"/>
    <xf numFmtId="165" fontId="0" fillId="0" borderId="6" xfId="42" applyNumberFormat="1" applyFont="1" applyFill="1" applyBorder="1"/>
    <xf numFmtId="165" fontId="0" fillId="0" borderId="16" xfId="42" applyNumberFormat="1" applyFont="1" applyFill="1" applyBorder="1"/>
    <xf numFmtId="10" fontId="18" fillId="0" borderId="0" xfId="42" applyNumberFormat="1" applyFont="1" applyFill="1"/>
    <xf numFmtId="0" fontId="15" fillId="0" borderId="0" xfId="1" applyFont="1" applyAlignment="1">
      <alignment horizontal="right" indent="1"/>
    </xf>
    <xf numFmtId="0" fontId="15" fillId="0" borderId="17" xfId="1" applyFont="1" applyBorder="1" applyAlignment="1">
      <alignment horizontal="right" indent="1"/>
    </xf>
    <xf numFmtId="0" fontId="15" fillId="0" borderId="15" xfId="1" applyFont="1" applyBorder="1" applyAlignment="1">
      <alignment horizontal="right" indent="1"/>
    </xf>
    <xf numFmtId="0" fontId="15" fillId="0" borderId="11" xfId="1" applyFont="1" applyBorder="1" applyAlignment="1">
      <alignment horizontal="right" indent="1"/>
    </xf>
    <xf numFmtId="173" fontId="13" fillId="0" borderId="34" xfId="37" applyNumberFormat="1" applyFont="1" applyFill="1" applyBorder="1"/>
    <xf numFmtId="173" fontId="13" fillId="0" borderId="17" xfId="37" applyNumberFormat="1" applyFont="1" applyFill="1" applyBorder="1"/>
    <xf numFmtId="0" fontId="18" fillId="0" borderId="0" xfId="0" applyFont="1" applyAlignment="1">
      <alignment horizontal="left" vertical="top"/>
    </xf>
    <xf numFmtId="1" fontId="22" fillId="0" borderId="0" xfId="20" applyNumberFormat="1" applyFont="1"/>
    <xf numFmtId="2" fontId="17" fillId="0" borderId="0" xfId="20" applyNumberFormat="1" applyFont="1"/>
    <xf numFmtId="1" fontId="17" fillId="0" borderId="0" xfId="20" applyNumberFormat="1" applyFont="1"/>
    <xf numFmtId="0" fontId="15" fillId="0" borderId="49" xfId="1" applyFont="1" applyBorder="1" applyAlignment="1">
      <alignment horizontal="right" indent="1"/>
    </xf>
    <xf numFmtId="0" fontId="15" fillId="0" borderId="31" xfId="1" applyFont="1" applyBorder="1" applyAlignment="1">
      <alignment horizontal="right" indent="1"/>
    </xf>
    <xf numFmtId="0" fontId="15" fillId="0" borderId="50" xfId="1" applyFont="1" applyBorder="1" applyAlignment="1">
      <alignment horizontal="right" indent="1"/>
    </xf>
    <xf numFmtId="173" fontId="13" fillId="0" borderId="51" xfId="37" applyNumberFormat="1" applyFont="1" applyFill="1" applyBorder="1"/>
    <xf numFmtId="173" fontId="18" fillId="0" borderId="29" xfId="37" applyNumberFormat="1" applyFont="1" applyFill="1" applyBorder="1"/>
    <xf numFmtId="173" fontId="18" fillId="0" borderId="38" xfId="37" applyNumberFormat="1" applyFont="1" applyFill="1" applyBorder="1"/>
    <xf numFmtId="173" fontId="13" fillId="0" borderId="52" xfId="37" applyNumberFormat="1" applyFont="1" applyFill="1" applyBorder="1"/>
    <xf numFmtId="173" fontId="18" fillId="0" borderId="53" xfId="37" applyNumberFormat="1" applyFont="1" applyFill="1" applyBorder="1"/>
    <xf numFmtId="173" fontId="18" fillId="0" borderId="54" xfId="37" applyNumberFormat="1" applyFont="1" applyFill="1" applyBorder="1"/>
    <xf numFmtId="2" fontId="18" fillId="0" borderId="0" xfId="0" applyNumberFormat="1" applyFont="1" applyAlignment="1">
      <alignment horizontal="right"/>
    </xf>
    <xf numFmtId="2" fontId="18" fillId="0" borderId="0" xfId="0" applyNumberFormat="1" applyFont="1"/>
    <xf numFmtId="173" fontId="18" fillId="0" borderId="22" xfId="37" applyNumberFormat="1" applyFont="1" applyFill="1" applyBorder="1"/>
    <xf numFmtId="173" fontId="18" fillId="0" borderId="4" xfId="37" applyNumberFormat="1" applyFont="1" applyFill="1" applyBorder="1"/>
    <xf numFmtId="173" fontId="18" fillId="0" borderId="7" xfId="37" applyNumberFormat="1" applyFont="1" applyFill="1" applyBorder="1"/>
    <xf numFmtId="173" fontId="18" fillId="0" borderId="52" xfId="37" applyNumberFormat="1" applyFont="1" applyFill="1" applyBorder="1"/>
    <xf numFmtId="2" fontId="18" fillId="0" borderId="0" xfId="0" applyNumberFormat="1" applyFont="1" applyAlignment="1">
      <alignment horizontal="right" vertical="top"/>
    </xf>
    <xf numFmtId="173" fontId="15" fillId="0" borderId="49" xfId="1" applyNumberFormat="1" applyFont="1" applyBorder="1" applyAlignment="1">
      <alignment horizontal="right" indent="1"/>
    </xf>
    <xf numFmtId="173" fontId="15" fillId="0" borderId="31" xfId="1" applyNumberFormat="1" applyFont="1" applyBorder="1" applyAlignment="1">
      <alignment horizontal="right" indent="1"/>
    </xf>
    <xf numFmtId="173" fontId="15" fillId="0" borderId="50" xfId="1" applyNumberFormat="1" applyFont="1" applyBorder="1" applyAlignment="1">
      <alignment horizontal="right" indent="1"/>
    </xf>
    <xf numFmtId="173" fontId="18" fillId="0" borderId="4" xfId="0" applyNumberFormat="1" applyFont="1" applyBorder="1"/>
    <xf numFmtId="173" fontId="18" fillId="0" borderId="7" xfId="0" applyNumberFormat="1" applyFont="1" applyBorder="1"/>
    <xf numFmtId="173" fontId="18" fillId="0" borderId="53" xfId="0" applyNumberFormat="1" applyFont="1" applyBorder="1"/>
    <xf numFmtId="173" fontId="18" fillId="0" borderId="54" xfId="0" applyNumberFormat="1" applyFont="1" applyBorder="1"/>
    <xf numFmtId="0" fontId="17" fillId="0" borderId="4" xfId="20" applyFont="1" applyBorder="1" applyAlignment="1">
      <alignment horizontal="center"/>
    </xf>
    <xf numFmtId="165" fontId="13" fillId="0" borderId="0" xfId="42" applyNumberFormat="1" applyFont="1" applyFill="1" applyAlignment="1">
      <alignment horizontal="right" vertical="center"/>
    </xf>
    <xf numFmtId="0" fontId="33" fillId="0" borderId="0" xfId="0" applyFont="1" applyAlignment="1">
      <alignment horizontal="center"/>
    </xf>
    <xf numFmtId="43" fontId="13" fillId="0" borderId="0" xfId="0" applyNumberFormat="1" applyFont="1" applyAlignment="1">
      <alignment horizontal="center" vertical="center"/>
    </xf>
    <xf numFmtId="0" fontId="29" fillId="0" borderId="0" xfId="0" applyFont="1" applyAlignment="1">
      <alignment horizontal="center"/>
    </xf>
    <xf numFmtId="176" fontId="15" fillId="0" borderId="0" xfId="35" applyNumberFormat="1" applyFont="1" applyAlignment="1">
      <alignment horizontal="right"/>
    </xf>
    <xf numFmtId="181" fontId="13" fillId="0" borderId="0" xfId="0" applyNumberFormat="1" applyFont="1" applyAlignment="1">
      <alignment horizontal="center"/>
    </xf>
    <xf numFmtId="176" fontId="15" fillId="0" borderId="0" xfId="34" applyNumberFormat="1" applyFont="1" applyAlignment="1" applyProtection="1">
      <alignment horizontal="right"/>
      <protection locked="0"/>
    </xf>
    <xf numFmtId="0" fontId="18" fillId="0" borderId="0" xfId="0" applyFont="1" applyAlignment="1">
      <alignment horizontal="center" vertical="top" wrapText="1"/>
    </xf>
    <xf numFmtId="0" fontId="18" fillId="0" borderId="23" xfId="0" applyFont="1" applyBorder="1"/>
    <xf numFmtId="0" fontId="18" fillId="0" borderId="4" xfId="0" applyFont="1" applyBorder="1" applyAlignment="1">
      <alignment horizontal="center"/>
    </xf>
    <xf numFmtId="0" fontId="18" fillId="0" borderId="1" xfId="0" applyFont="1" applyBorder="1" applyAlignment="1">
      <alignment horizontal="center"/>
    </xf>
    <xf numFmtId="0" fontId="18" fillId="0" borderId="19" xfId="0" applyFont="1" applyBorder="1"/>
    <xf numFmtId="173" fontId="0" fillId="0" borderId="4" xfId="37" applyNumberFormat="1" applyFont="1" applyFill="1" applyBorder="1" applyAlignment="1">
      <alignment vertical="center" wrapText="1"/>
    </xf>
    <xf numFmtId="1" fontId="0" fillId="0" borderId="4" xfId="0" applyNumberFormat="1" applyBorder="1"/>
    <xf numFmtId="1" fontId="18" fillId="0" borderId="0" xfId="0" applyNumberFormat="1" applyFont="1"/>
    <xf numFmtId="0" fontId="46" fillId="0" borderId="0" xfId="0" applyFont="1" applyAlignment="1">
      <alignment vertical="center"/>
    </xf>
    <xf numFmtId="0" fontId="18" fillId="0" borderId="16" xfId="0" applyFont="1" applyBorder="1"/>
    <xf numFmtId="0" fontId="18" fillId="0" borderId="13" xfId="0" applyFont="1" applyBorder="1"/>
    <xf numFmtId="1" fontId="18" fillId="0" borderId="13" xfId="0" applyNumberFormat="1" applyFont="1" applyBorder="1"/>
    <xf numFmtId="0" fontId="18" fillId="0" borderId="45" xfId="0" applyFont="1" applyBorder="1"/>
    <xf numFmtId="0" fontId="13" fillId="0" borderId="6" xfId="1" applyFont="1" applyBorder="1"/>
    <xf numFmtId="0" fontId="33" fillId="0" borderId="14" xfId="0" applyFont="1" applyBorder="1"/>
    <xf numFmtId="0" fontId="32" fillId="0" borderId="19" xfId="0" applyFont="1" applyBorder="1"/>
    <xf numFmtId="0" fontId="33" fillId="0" borderId="6" xfId="0" applyFont="1" applyBorder="1"/>
    <xf numFmtId="0" fontId="13" fillId="0" borderId="19" xfId="0" applyFont="1" applyBorder="1" applyAlignment="1">
      <alignment horizontal="center"/>
    </xf>
    <xf numFmtId="0" fontId="33" fillId="0" borderId="0" xfId="0" applyFont="1" applyAlignment="1">
      <alignment horizontal="left"/>
    </xf>
    <xf numFmtId="2" fontId="13" fillId="0" borderId="0" xfId="0" applyNumberFormat="1" applyFont="1" applyAlignment="1">
      <alignment horizontal="right"/>
    </xf>
    <xf numFmtId="0" fontId="14" fillId="0" borderId="0" xfId="0" applyFont="1" applyAlignment="1">
      <alignment horizontal="center"/>
    </xf>
    <xf numFmtId="0" fontId="18" fillId="0" borderId="16" xfId="0" applyFont="1" applyBorder="1" applyAlignment="1">
      <alignment horizontal="center"/>
    </xf>
    <xf numFmtId="0" fontId="18" fillId="0" borderId="36" xfId="0" applyFont="1" applyBorder="1" applyAlignment="1">
      <alignment horizontal="center"/>
    </xf>
    <xf numFmtId="0" fontId="64" fillId="0" borderId="0" xfId="0" applyFont="1"/>
    <xf numFmtId="0" fontId="2" fillId="0" borderId="0" xfId="0" applyFont="1" applyAlignment="1">
      <alignment wrapText="1"/>
    </xf>
    <xf numFmtId="0" fontId="2" fillId="0" borderId="0" xfId="0" applyFont="1" applyAlignment="1">
      <alignment horizontal="left"/>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5" fillId="0" borderId="34" xfId="1" applyFont="1" applyBorder="1" applyAlignment="1">
      <alignment horizontal="right"/>
    </xf>
    <xf numFmtId="0" fontId="15" fillId="0" borderId="33" xfId="1" applyFont="1" applyBorder="1" applyAlignment="1">
      <alignment horizontal="right"/>
    </xf>
    <xf numFmtId="0" fontId="15" fillId="0" borderId="17" xfId="1" applyFont="1" applyBorder="1" applyAlignment="1">
      <alignment horizontal="right"/>
    </xf>
    <xf numFmtId="0" fontId="15" fillId="0" borderId="18" xfId="1" applyFont="1" applyBorder="1" applyAlignment="1">
      <alignment horizontal="right"/>
    </xf>
    <xf numFmtId="0" fontId="14" fillId="0" borderId="25" xfId="1" applyFont="1" applyBorder="1" applyAlignment="1">
      <alignment horizontal="center"/>
    </xf>
    <xf numFmtId="0" fontId="14" fillId="0" borderId="26" xfId="1" applyFont="1" applyBorder="1" applyAlignment="1">
      <alignment horizontal="center"/>
    </xf>
    <xf numFmtId="0" fontId="14" fillId="0" borderId="27" xfId="1" applyFont="1" applyBorder="1" applyAlignment="1">
      <alignment horizontal="center"/>
    </xf>
    <xf numFmtId="0" fontId="14" fillId="0" borderId="9" xfId="1" applyFont="1" applyBorder="1" applyAlignment="1">
      <alignment horizontal="center"/>
    </xf>
    <xf numFmtId="0" fontId="14" fillId="0" borderId="10" xfId="1" applyFont="1" applyBorder="1" applyAlignment="1">
      <alignment horizontal="center"/>
    </xf>
    <xf numFmtId="0" fontId="14" fillId="0" borderId="20" xfId="1" applyFont="1" applyBorder="1" applyAlignment="1">
      <alignment horizontal="center"/>
    </xf>
    <xf numFmtId="0" fontId="15" fillId="0" borderId="22" xfId="1" applyFont="1" applyBorder="1" applyAlignment="1">
      <alignment horizontal="right"/>
    </xf>
    <xf numFmtId="0" fontId="15" fillId="0" borderId="4" xfId="1" applyFont="1" applyBorder="1" applyAlignment="1">
      <alignment horizontal="right"/>
    </xf>
    <xf numFmtId="0" fontId="15" fillId="0" borderId="35" xfId="1" applyFont="1" applyBorder="1" applyAlignment="1">
      <alignment horizontal="center"/>
    </xf>
    <xf numFmtId="0" fontId="15" fillId="0" borderId="24" xfId="1" applyFont="1" applyBorder="1" applyAlignment="1">
      <alignment horizontal="center"/>
    </xf>
    <xf numFmtId="0" fontId="15" fillId="0" borderId="21" xfId="1" applyFont="1" applyBorder="1" applyAlignment="1">
      <alignment horizontal="right"/>
    </xf>
    <xf numFmtId="0" fontId="15" fillId="0" borderId="14" xfId="1" applyFont="1" applyBorder="1" applyAlignment="1">
      <alignment horizontal="right"/>
    </xf>
    <xf numFmtId="0" fontId="0" fillId="0" borderId="1" xfId="0" applyBorder="1" applyAlignment="1">
      <alignment horizontal="center" vertical="center"/>
    </xf>
    <xf numFmtId="0" fontId="0" fillId="0" borderId="1" xfId="0" applyBorder="1" applyAlignment="1">
      <alignment horizontal="center" wrapText="1"/>
    </xf>
    <xf numFmtId="0" fontId="33" fillId="0" borderId="41" xfId="0" applyFont="1" applyBorder="1" applyAlignment="1">
      <alignment horizontal="center"/>
    </xf>
    <xf numFmtId="0" fontId="33" fillId="0" borderId="42" xfId="0" applyFont="1" applyBorder="1" applyAlignment="1">
      <alignment horizontal="center"/>
    </xf>
    <xf numFmtId="0" fontId="33" fillId="0" borderId="43" xfId="0" applyFont="1" applyBorder="1" applyAlignment="1">
      <alignment horizontal="center"/>
    </xf>
    <xf numFmtId="0" fontId="13" fillId="0" borderId="0" xfId="0" applyFont="1" applyAlignment="1">
      <alignment vertical="center"/>
    </xf>
    <xf numFmtId="0" fontId="13" fillId="0" borderId="23" xfId="0" applyFont="1" applyBorder="1" applyAlignment="1">
      <alignment horizontal="center"/>
    </xf>
    <xf numFmtId="0" fontId="13" fillId="0" borderId="1" xfId="0" applyFont="1" applyBorder="1" applyAlignment="1">
      <alignment horizontal="center"/>
    </xf>
    <xf numFmtId="0" fontId="13" fillId="0" borderId="24" xfId="0" applyFont="1" applyBorder="1" applyAlignment="1">
      <alignment horizontal="center"/>
    </xf>
    <xf numFmtId="0" fontId="32" fillId="0" borderId="19" xfId="0" applyFont="1" applyBorder="1" applyAlignment="1">
      <alignment horizontal="center"/>
    </xf>
    <xf numFmtId="0" fontId="32" fillId="0" borderId="33" xfId="0" applyFont="1" applyBorder="1" applyAlignment="1">
      <alignment horizontal="center"/>
    </xf>
    <xf numFmtId="0" fontId="16" fillId="0" borderId="0" xfId="1" applyFont="1" applyAlignment="1">
      <alignment horizontal="center"/>
    </xf>
    <xf numFmtId="0" fontId="13" fillId="0" borderId="16" xfId="0" applyFont="1" applyBorder="1" applyAlignment="1">
      <alignment horizontal="center"/>
    </xf>
    <xf numFmtId="0" fontId="13" fillId="0" borderId="36" xfId="0" applyFont="1" applyBorder="1" applyAlignment="1">
      <alignment horizontal="center"/>
    </xf>
    <xf numFmtId="0" fontId="13" fillId="0" borderId="6" xfId="0" applyFont="1" applyBorder="1" applyAlignment="1">
      <alignment horizontal="center" wrapText="1"/>
    </xf>
    <xf numFmtId="0" fontId="13" fillId="0" borderId="6" xfId="0" applyFont="1" applyBorder="1" applyAlignment="1">
      <alignment horizontal="center"/>
    </xf>
    <xf numFmtId="0" fontId="18" fillId="0" borderId="23" xfId="0" applyFont="1" applyBorder="1" applyAlignment="1">
      <alignment horizontal="center"/>
    </xf>
    <xf numFmtId="0" fontId="18" fillId="0" borderId="24" xfId="0" applyFont="1" applyBorder="1" applyAlignment="1">
      <alignment horizontal="center"/>
    </xf>
    <xf numFmtId="0" fontId="18" fillId="0" borderId="0" xfId="0" applyFont="1" applyAlignment="1">
      <alignment horizontal="center"/>
    </xf>
    <xf numFmtId="14" fontId="18" fillId="0" borderId="0" xfId="6" quotePrefix="1" applyNumberFormat="1" applyFont="1" applyFill="1" applyBorder="1" applyAlignment="1">
      <alignment horizontal="center"/>
    </xf>
    <xf numFmtId="14" fontId="18" fillId="0" borderId="0" xfId="6" applyNumberFormat="1" applyFont="1" applyFill="1" applyBorder="1" applyAlignment="1">
      <alignment horizontal="center"/>
    </xf>
    <xf numFmtId="17" fontId="18" fillId="0" borderId="0" xfId="6" applyNumberFormat="1" applyFont="1" applyFill="1" applyBorder="1" applyAlignment="1">
      <alignment horizontal="center"/>
    </xf>
    <xf numFmtId="17" fontId="18" fillId="0" borderId="0" xfId="6" quotePrefix="1" applyNumberFormat="1" applyFont="1" applyFill="1" applyBorder="1" applyAlignment="1">
      <alignment horizontal="center"/>
    </xf>
    <xf numFmtId="0" fontId="18" fillId="0" borderId="46" xfId="0" applyFont="1" applyBorder="1" applyAlignment="1">
      <alignment horizontal="center"/>
    </xf>
    <xf numFmtId="0" fontId="18" fillId="0" borderId="47" xfId="0" applyFont="1" applyBorder="1" applyAlignment="1">
      <alignment horizontal="center"/>
    </xf>
    <xf numFmtId="0" fontId="18" fillId="0" borderId="48" xfId="0" applyFont="1" applyBorder="1" applyAlignment="1">
      <alignment horizontal="center"/>
    </xf>
    <xf numFmtId="0" fontId="14" fillId="0" borderId="0" xfId="1" applyFont="1" applyAlignment="1">
      <alignment horizontal="right"/>
    </xf>
    <xf numFmtId="0" fontId="29" fillId="0" borderId="6" xfId="0" applyFont="1" applyBorder="1" applyAlignment="1">
      <alignment horizontal="center"/>
    </xf>
    <xf numFmtId="173" fontId="18" fillId="0" borderId="46" xfId="0" applyNumberFormat="1" applyFont="1" applyBorder="1" applyAlignment="1">
      <alignment horizontal="center"/>
    </xf>
    <xf numFmtId="173" fontId="18" fillId="0" borderId="47" xfId="0" applyNumberFormat="1" applyFont="1" applyBorder="1" applyAlignment="1">
      <alignment horizontal="center"/>
    </xf>
    <xf numFmtId="173" fontId="18" fillId="0" borderId="48" xfId="0" applyNumberFormat="1" applyFont="1" applyBorder="1" applyAlignment="1">
      <alignment horizontal="center"/>
    </xf>
    <xf numFmtId="0" fontId="18" fillId="0" borderId="23" xfId="0" applyFont="1" applyBorder="1" applyAlignment="1">
      <alignment horizontal="center" vertical="top" wrapText="1"/>
    </xf>
    <xf numFmtId="0" fontId="18" fillId="0" borderId="1" xfId="0" applyFont="1" applyBorder="1" applyAlignment="1">
      <alignment horizontal="center" vertical="top" wrapText="1"/>
    </xf>
    <xf numFmtId="0" fontId="18" fillId="0" borderId="24" xfId="0" applyFont="1" applyBorder="1" applyAlignment="1">
      <alignment horizontal="center" vertical="top" wrapText="1"/>
    </xf>
    <xf numFmtId="0" fontId="18" fillId="0" borderId="15" xfId="0" applyFont="1" applyBorder="1" applyAlignment="1">
      <alignment horizontal="center"/>
    </xf>
    <xf numFmtId="0" fontId="18" fillId="0" borderId="0" xfId="0" applyFont="1" applyAlignment="1">
      <alignment horizontal="center" wrapText="1"/>
    </xf>
    <xf numFmtId="0" fontId="18" fillId="0" borderId="6" xfId="0" applyFont="1" applyBorder="1" applyAlignment="1">
      <alignment horizontal="center" wrapText="1"/>
    </xf>
    <xf numFmtId="0" fontId="31" fillId="0" borderId="0" xfId="0" applyFont="1" applyAlignment="1">
      <alignment horizontal="center" wrapText="1"/>
    </xf>
    <xf numFmtId="0" fontId="16" fillId="0" borderId="0" xfId="0" applyFont="1" applyAlignment="1">
      <alignment horizontal="center"/>
    </xf>
    <xf numFmtId="0" fontId="18" fillId="0" borderId="19" xfId="0" applyFont="1" applyBorder="1" applyAlignment="1">
      <alignment horizontal="center"/>
    </xf>
  </cellXfs>
  <cellStyles count="72">
    <cellStyle name="_x0010_“+ˆÉ•?pý¤" xfId="45" xr:uid="{3CA24BFE-8744-44B4-B3AB-9914BE27DBE7}"/>
    <cellStyle name="Actual Date" xfId="2" xr:uid="{90A20703-E73F-4FFB-9D41-11B9B8598C31}"/>
    <cellStyle name="Actual Date 2" xfId="46" xr:uid="{8B54FD47-1587-4DF3-8EC0-225DFC898EBB}"/>
    <cellStyle name="Actual Date 2 2" xfId="61" xr:uid="{9100D181-04F7-4941-A53D-EC8C1FE94461}"/>
    <cellStyle name="Comma" xfId="37" builtinId="3"/>
    <cellStyle name="Comma [0] 2" xfId="55" xr:uid="{14BD00BB-66FD-4A67-B3E1-4CDB04DACA75}"/>
    <cellStyle name="Comma 2" xfId="3" xr:uid="{A463B59C-A829-4CA9-983F-290777244053}"/>
    <cellStyle name="Comma 3" xfId="54" xr:uid="{BFE2B9D9-3F56-4C52-9C36-6EAB17513E10}"/>
    <cellStyle name="Comma 31 2" xfId="39" xr:uid="{6112A572-923D-4AF2-B44E-C0DB9129578D}"/>
    <cellStyle name="Comma 4" xfId="68" xr:uid="{9DBA38FC-6A3F-4633-8763-D8B065E46EA1}"/>
    <cellStyle name="Comma0" xfId="4" xr:uid="{BFA70494-24E7-4EB4-8245-3E92DE30AB79}"/>
    <cellStyle name="Currency" xfId="38" builtinId="4"/>
    <cellStyle name="Currency [0] 2" xfId="53" xr:uid="{75531AD8-D9C9-4CB3-B082-07DF819F296C}"/>
    <cellStyle name="Currency 2" xfId="6" xr:uid="{C853109E-BA78-4949-AE6E-97FBB2C947A2}"/>
    <cellStyle name="Currency 3" xfId="5" xr:uid="{71193358-ACE2-4128-B76E-A894406DE180}"/>
    <cellStyle name="Currency 4" xfId="52" xr:uid="{CA888CE8-D8D4-4285-88EB-D159A8E34AD8}"/>
    <cellStyle name="Currency0" xfId="7" xr:uid="{11C847DE-D199-4798-B8A6-6DF371C1596F}"/>
    <cellStyle name="Date" xfId="8" xr:uid="{55B42165-9C35-400C-8039-99C32BF8F8D1}"/>
    <cellStyle name="Date 2" xfId="47" xr:uid="{705DB756-1DE4-495A-A47C-D772E3890C88}"/>
    <cellStyle name="Fixed" xfId="9" xr:uid="{73C8C8B8-EF3A-48A3-A48A-A4A6A3CEB441}"/>
    <cellStyle name="Fixed 2" xfId="48" xr:uid="{118364D4-5E2D-4D5D-B1A1-DEAB425B5C4B}"/>
    <cellStyle name="Grey" xfId="10" xr:uid="{B049FF98-EED1-44B0-B326-4132EA93C5E2}"/>
    <cellStyle name="Grey 2" xfId="56" xr:uid="{B3F6CBA1-3199-4D6A-9F83-3DA73A6AD9D5}"/>
    <cellStyle name="HEADER" xfId="11" xr:uid="{EADF02B1-8108-4E0E-9DB6-F65EA011F410}"/>
    <cellStyle name="Heading 1 2" xfId="12" xr:uid="{C958FC72-ADC5-4A1B-8837-26CC92340585}"/>
    <cellStyle name="Heading 2 2" xfId="13" xr:uid="{6C11C16C-14DA-433C-B90A-019D9D58FAA5}"/>
    <cellStyle name="Heading1" xfId="14" xr:uid="{D5CB65F7-622F-48D9-BDFE-EA5710CB06E5}"/>
    <cellStyle name="Heading2" xfId="15" xr:uid="{B6C120CA-23B0-46B6-A206-F21EFD627A0E}"/>
    <cellStyle name="HIGHLIGHT" xfId="16" xr:uid="{0FA977AC-6A13-4F7D-B4C6-304F02BAB7E6}"/>
    <cellStyle name="Hyperlink 3" xfId="65" xr:uid="{7334888F-32E8-4EC7-9870-5C6D3E5E2931}"/>
    <cellStyle name="Hyperlink 3 2" xfId="69" xr:uid="{EAADDAAA-06D4-4459-A79F-5CD06524D90C}"/>
    <cellStyle name="Input [yellow]" xfId="17" xr:uid="{483402D1-6D66-4584-B91A-9EFB4E29CD72}"/>
    <cellStyle name="Input [yellow] 2" xfId="57" xr:uid="{F6391689-45AD-4603-B4A2-BE04D24BFF33}"/>
    <cellStyle name="no dec" xfId="18" xr:uid="{1FFD3759-CFEB-431B-95E2-F9D56114D76C}"/>
    <cellStyle name="Normal" xfId="0" builtinId="0"/>
    <cellStyle name="Normal - Style1" xfId="19" xr:uid="{09AAD6A7-C83A-4809-BC97-D6D075635A0F}"/>
    <cellStyle name="Normal - Style1 2" xfId="58" xr:uid="{64A8C5CE-422C-4E11-B581-47D0D9CBD826}"/>
    <cellStyle name="Normal 10" xfId="36" xr:uid="{11F0179F-876F-4C81-8782-FEAE6EA9A44F}"/>
    <cellStyle name="Normal 19" xfId="40" xr:uid="{2E801201-3018-4BBB-869B-19B0A8909CC2}"/>
    <cellStyle name="Normal 2" xfId="1" xr:uid="{FCF77B81-9A51-4CFC-8630-2394A24C8B4C}"/>
    <cellStyle name="Normal 2 10 10" xfId="50" xr:uid="{D8DFC543-B40C-47A0-8B13-A1C50AA28EB7}"/>
    <cellStyle name="Normal 2 2" xfId="20" xr:uid="{768976F9-6BF3-4C64-A7A2-0699BE302438}"/>
    <cellStyle name="Normal 2 2 2" xfId="64" xr:uid="{6AF58E63-A491-46BE-8739-ACB57E62413E}"/>
    <cellStyle name="Normal 2 2 3" xfId="43" xr:uid="{3CB2400E-38D8-4483-A909-E1123E13C796}"/>
    <cellStyle name="Normal 2 3" xfId="41" xr:uid="{2753EB9B-3133-43A7-96E7-092AD5ED8E76}"/>
    <cellStyle name="Normal 2 4" xfId="63" xr:uid="{65AF1E43-D5BA-47A0-BE92-C6A1BD01AB8A}"/>
    <cellStyle name="Normal 2 98" xfId="71" xr:uid="{C6C74EA9-BCE8-40FE-AD6C-B61AA0A7E65A}"/>
    <cellStyle name="Normal 208 5 8" xfId="66" xr:uid="{9411A5BD-0CDA-4193-BB4B-78D23B29F3A4}"/>
    <cellStyle name="Normal 208 5 8 5" xfId="70" xr:uid="{8DC4EAB7-67BE-42E7-A01F-C442AFF4FE5A}"/>
    <cellStyle name="Normal 3" xfId="21" xr:uid="{1BE115B0-68EE-409A-BE42-7964F3B2186B}"/>
    <cellStyle name="Normal 3 2" xfId="31" xr:uid="{EBD24680-6BB0-4648-B6FB-486BE3B05DA3}"/>
    <cellStyle name="Normal 4" xfId="44" xr:uid="{634F72B5-28C2-4C26-B0A6-C773368C20CB}"/>
    <cellStyle name="Normal 4 2" xfId="60" xr:uid="{9F140B47-14B4-4127-89FE-5D6D6DEC1284}"/>
    <cellStyle name="Normal 5" xfId="49" xr:uid="{B9FA5BE0-F9D1-46D0-A460-7CCC21D37848}"/>
    <cellStyle name="Normal 5 2" xfId="62" xr:uid="{7725BE2F-AB27-47EF-9049-028FDF3881C1}"/>
    <cellStyle name="Normal 6" xfId="67" xr:uid="{10F54CEA-1A14-4C9C-9288-5EF940D33227}"/>
    <cellStyle name="Normal 9" xfId="32" xr:uid="{74F7FB52-B68E-44BF-B225-318676247797}"/>
    <cellStyle name="Normal_Effective Rates (1-6-2003)" xfId="34" xr:uid="{3D00D5F4-4B1C-487C-836C-2BE4F61F1BB5}"/>
    <cellStyle name="Normal_SDGE Tiered ratesmud" xfId="35" xr:uid="{7B4B6413-67CE-4430-9793-D246893E09B2}"/>
    <cellStyle name="Percent" xfId="42" builtinId="5"/>
    <cellStyle name="Percent [2]" xfId="23" xr:uid="{E59307F2-F086-4441-9673-C73345619B92}"/>
    <cellStyle name="Percent 2" xfId="24" xr:uid="{53FD8FB0-DE16-440B-8091-1A5F721D0797}"/>
    <cellStyle name="Percent 3" xfId="25" xr:uid="{FD09ACED-468E-42F6-A1AA-5A76707CDC8A}"/>
    <cellStyle name="Percent 4" xfId="33" xr:uid="{75FC7505-8CA7-4DC6-AF7E-0A549648BDAB}"/>
    <cellStyle name="Percent 5" xfId="22" xr:uid="{FDA81B20-6FA8-49F6-A9CF-1116F234E27E}"/>
    <cellStyle name="Percent 6" xfId="51" xr:uid="{F5A77671-4D5D-42B4-B1A5-EF29B1E96894}"/>
    <cellStyle name="Total 2" xfId="26" xr:uid="{B7044CB5-68EF-42DF-AE5D-9CDC42788CD9}"/>
    <cellStyle name="Unprot" xfId="27" xr:uid="{C5877B4C-C00B-4575-97C3-8AFFB3689A95}"/>
    <cellStyle name="Unprot 2" xfId="59" xr:uid="{16E064EE-0974-4455-9829-AC496E4A9743}"/>
    <cellStyle name="Unprot$" xfId="28" xr:uid="{67D3E91F-4980-4407-9928-2E00A0F61904}"/>
    <cellStyle name="Unprot_07-2008 CSI Update v1.5 - FINAL" xfId="29" xr:uid="{12952277-79F8-44C2-A6A3-D712ABB4C91F}"/>
    <cellStyle name="Unprotect" xfId="30" xr:uid="{B510A288-A05D-40A2-AD64-2906F1437A0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7ED7"/>
      <color rgb="FFD3BDFF"/>
      <color rgb="FFAE2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2809875</xdr:colOff>
      <xdr:row>27</xdr:row>
      <xdr:rowOff>0</xdr:rowOff>
    </xdr:from>
    <xdr:ext cx="184731" cy="264560"/>
    <xdr:sp macro="" textlink="">
      <xdr:nvSpPr>
        <xdr:cNvPr id="2" name="TextBox 1">
          <a:extLst>
            <a:ext uri="{FF2B5EF4-FFF2-40B4-BE49-F238E27FC236}">
              <a16:creationId xmlns:a16="http://schemas.microsoft.com/office/drawing/2014/main" id="{8EEB0705-0831-5161-9639-54E3EDB23EF8}"/>
            </a:ext>
          </a:extLst>
        </xdr:cNvPr>
        <xdr:cNvSpPr txBox="1"/>
      </xdr:nvSpPr>
      <xdr:spPr>
        <a:xfrm>
          <a:off x="4714875" y="1515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542925</xdr:colOff>
      <xdr:row>42</xdr:row>
      <xdr:rowOff>0</xdr:rowOff>
    </xdr:from>
    <xdr:to>
      <xdr:col>14</xdr:col>
      <xdr:colOff>400050</xdr:colOff>
      <xdr:row>55</xdr:row>
      <xdr:rowOff>180975</xdr:rowOff>
    </xdr:to>
    <xdr:sp macro="" textlink="">
      <xdr:nvSpPr>
        <xdr:cNvPr id="12" name="Rectangle 11">
          <a:extLst>
            <a:ext uri="{FF2B5EF4-FFF2-40B4-BE49-F238E27FC236}">
              <a16:creationId xmlns:a16="http://schemas.microsoft.com/office/drawing/2014/main" id="{221DB677-99FF-451A-BC21-29D58F6BE4D5}"/>
            </a:ext>
          </a:extLst>
        </xdr:cNvPr>
        <xdr:cNvSpPr/>
      </xdr:nvSpPr>
      <xdr:spPr>
        <a:xfrm>
          <a:off x="542925" y="8077200"/>
          <a:ext cx="9172575" cy="26574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19049</xdr:colOff>
      <xdr:row>87</xdr:row>
      <xdr:rowOff>9525</xdr:rowOff>
    </xdr:from>
    <xdr:to>
      <xdr:col>11</xdr:col>
      <xdr:colOff>85724</xdr:colOff>
      <xdr:row>103</xdr:row>
      <xdr:rowOff>19050</xdr:rowOff>
    </xdr:to>
    <xdr:sp macro="" textlink="">
      <xdr:nvSpPr>
        <xdr:cNvPr id="26" name="Rectangle 25">
          <a:extLst>
            <a:ext uri="{FF2B5EF4-FFF2-40B4-BE49-F238E27FC236}">
              <a16:creationId xmlns:a16="http://schemas.microsoft.com/office/drawing/2014/main" id="{7FFA8AA2-8309-5707-5E03-6D3BB28C5FDF}"/>
            </a:ext>
          </a:extLst>
        </xdr:cNvPr>
        <xdr:cNvSpPr/>
      </xdr:nvSpPr>
      <xdr:spPr>
        <a:xfrm>
          <a:off x="1238249" y="9686925"/>
          <a:ext cx="6334125" cy="30575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552449</xdr:colOff>
      <xdr:row>18</xdr:row>
      <xdr:rowOff>171451</xdr:rowOff>
    </xdr:from>
    <xdr:to>
      <xdr:col>13</xdr:col>
      <xdr:colOff>295274</xdr:colOff>
      <xdr:row>40</xdr:row>
      <xdr:rowOff>38100</xdr:rowOff>
    </xdr:to>
    <xdr:sp macro="" textlink="">
      <xdr:nvSpPr>
        <xdr:cNvPr id="25" name="Rectangle 24">
          <a:extLst>
            <a:ext uri="{FF2B5EF4-FFF2-40B4-BE49-F238E27FC236}">
              <a16:creationId xmlns:a16="http://schemas.microsoft.com/office/drawing/2014/main" id="{49D6C74C-6350-D759-D85D-8C44E74678EB}"/>
            </a:ext>
          </a:extLst>
        </xdr:cNvPr>
        <xdr:cNvSpPr/>
      </xdr:nvSpPr>
      <xdr:spPr>
        <a:xfrm>
          <a:off x="552449" y="3676651"/>
          <a:ext cx="8448675" cy="40576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9525</xdr:colOff>
      <xdr:row>19</xdr:row>
      <xdr:rowOff>47625</xdr:rowOff>
    </xdr:from>
    <xdr:to>
      <xdr:col>13</xdr:col>
      <xdr:colOff>225425</xdr:colOff>
      <xdr:row>39</xdr:row>
      <xdr:rowOff>152400</xdr:rowOff>
    </xdr:to>
    <xdr:pic>
      <xdr:nvPicPr>
        <xdr:cNvPr id="9" name="Picture 8">
          <a:extLst>
            <a:ext uri="{FF2B5EF4-FFF2-40B4-BE49-F238E27FC236}">
              <a16:creationId xmlns:a16="http://schemas.microsoft.com/office/drawing/2014/main" id="{0F78A18A-524F-7742-349E-2A4A09180FDC}"/>
            </a:ext>
          </a:extLst>
        </xdr:cNvPr>
        <xdr:cNvPicPr>
          <a:picLocks noChangeAspect="1"/>
        </xdr:cNvPicPr>
      </xdr:nvPicPr>
      <xdr:blipFill>
        <a:blip xmlns:r="http://schemas.openxmlformats.org/officeDocument/2006/relationships" r:embed="rId1"/>
        <a:stretch>
          <a:fillRect/>
        </a:stretch>
      </xdr:blipFill>
      <xdr:spPr>
        <a:xfrm>
          <a:off x="619125" y="3743325"/>
          <a:ext cx="8312150" cy="3914775"/>
        </a:xfrm>
        <a:prstGeom prst="rect">
          <a:avLst/>
        </a:prstGeom>
      </xdr:spPr>
    </xdr:pic>
    <xdr:clientData/>
  </xdr:twoCellAnchor>
  <xdr:twoCellAnchor>
    <xdr:from>
      <xdr:col>6</xdr:col>
      <xdr:colOff>571500</xdr:colOff>
      <xdr:row>19</xdr:row>
      <xdr:rowOff>28575</xdr:rowOff>
    </xdr:from>
    <xdr:to>
      <xdr:col>6</xdr:col>
      <xdr:colOff>762000</xdr:colOff>
      <xdr:row>21</xdr:row>
      <xdr:rowOff>123825</xdr:rowOff>
    </xdr:to>
    <xdr:cxnSp macro="">
      <xdr:nvCxnSpPr>
        <xdr:cNvPr id="11" name="Straight Arrow Connector 10">
          <a:extLst>
            <a:ext uri="{FF2B5EF4-FFF2-40B4-BE49-F238E27FC236}">
              <a16:creationId xmlns:a16="http://schemas.microsoft.com/office/drawing/2014/main" id="{470BE8B6-B8B6-8C32-75E1-13075E2F7B9D}"/>
            </a:ext>
          </a:extLst>
        </xdr:cNvPr>
        <xdr:cNvCxnSpPr/>
      </xdr:nvCxnSpPr>
      <xdr:spPr>
        <a:xfrm flipH="1">
          <a:off x="4229100" y="3552825"/>
          <a:ext cx="190500" cy="457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863600</xdr:colOff>
      <xdr:row>19</xdr:row>
      <xdr:rowOff>38100</xdr:rowOff>
    </xdr:from>
    <xdr:to>
      <xdr:col>7</xdr:col>
      <xdr:colOff>463550</xdr:colOff>
      <xdr:row>23</xdr:row>
      <xdr:rowOff>6350</xdr:rowOff>
    </xdr:to>
    <xdr:cxnSp macro="">
      <xdr:nvCxnSpPr>
        <xdr:cNvPr id="13" name="Straight Arrow Connector 12">
          <a:extLst>
            <a:ext uri="{FF2B5EF4-FFF2-40B4-BE49-F238E27FC236}">
              <a16:creationId xmlns:a16="http://schemas.microsoft.com/office/drawing/2014/main" id="{5EE528ED-4B5B-1B3D-5FB0-E381CBDBDF05}"/>
            </a:ext>
          </a:extLst>
        </xdr:cNvPr>
        <xdr:cNvCxnSpPr/>
      </xdr:nvCxnSpPr>
      <xdr:spPr>
        <a:xfrm flipH="1">
          <a:off x="4524375" y="3562350"/>
          <a:ext cx="561975" cy="695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34925</xdr:colOff>
      <xdr:row>19</xdr:row>
      <xdr:rowOff>47625</xdr:rowOff>
    </xdr:from>
    <xdr:to>
      <xdr:col>8</xdr:col>
      <xdr:colOff>352425</xdr:colOff>
      <xdr:row>24</xdr:row>
      <xdr:rowOff>187325</xdr:rowOff>
    </xdr:to>
    <xdr:cxnSp macro="">
      <xdr:nvCxnSpPr>
        <xdr:cNvPr id="15" name="Straight Arrow Connector 14">
          <a:extLst>
            <a:ext uri="{FF2B5EF4-FFF2-40B4-BE49-F238E27FC236}">
              <a16:creationId xmlns:a16="http://schemas.microsoft.com/office/drawing/2014/main" id="{607BBE2D-7BC0-337E-790E-BBAA1009DAE7}"/>
            </a:ext>
          </a:extLst>
        </xdr:cNvPr>
        <xdr:cNvCxnSpPr/>
      </xdr:nvCxnSpPr>
      <xdr:spPr>
        <a:xfrm flipH="1">
          <a:off x="4616450" y="3552825"/>
          <a:ext cx="1250950" cy="1092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577850</xdr:colOff>
      <xdr:row>21</xdr:row>
      <xdr:rowOff>123825</xdr:rowOff>
    </xdr:from>
    <xdr:to>
      <xdr:col>14</xdr:col>
      <xdr:colOff>133350</xdr:colOff>
      <xdr:row>22</xdr:row>
      <xdr:rowOff>66675</xdr:rowOff>
    </xdr:to>
    <xdr:cxnSp macro="">
      <xdr:nvCxnSpPr>
        <xdr:cNvPr id="16" name="Straight Arrow Connector 15">
          <a:extLst>
            <a:ext uri="{FF2B5EF4-FFF2-40B4-BE49-F238E27FC236}">
              <a16:creationId xmlns:a16="http://schemas.microsoft.com/office/drawing/2014/main" id="{E8F0DFCF-FFD7-4132-BA57-0608850196E4}"/>
            </a:ext>
          </a:extLst>
        </xdr:cNvPr>
        <xdr:cNvCxnSpPr/>
      </xdr:nvCxnSpPr>
      <xdr:spPr>
        <a:xfrm flipH="1">
          <a:off x="8674100" y="4010025"/>
          <a:ext cx="774700" cy="133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22</xdr:row>
      <xdr:rowOff>133350</xdr:rowOff>
    </xdr:from>
    <xdr:to>
      <xdr:col>14</xdr:col>
      <xdr:colOff>139700</xdr:colOff>
      <xdr:row>23</xdr:row>
      <xdr:rowOff>28575</xdr:rowOff>
    </xdr:to>
    <xdr:cxnSp macro="">
      <xdr:nvCxnSpPr>
        <xdr:cNvPr id="19" name="Straight Arrow Connector 18">
          <a:extLst>
            <a:ext uri="{FF2B5EF4-FFF2-40B4-BE49-F238E27FC236}">
              <a16:creationId xmlns:a16="http://schemas.microsoft.com/office/drawing/2014/main" id="{B5FF9E9D-594B-49C9-84FE-A0DC18875C1C}"/>
            </a:ext>
          </a:extLst>
        </xdr:cNvPr>
        <xdr:cNvCxnSpPr/>
      </xdr:nvCxnSpPr>
      <xdr:spPr>
        <a:xfrm flipH="1">
          <a:off x="8705850" y="4210050"/>
          <a:ext cx="749300" cy="85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63500</xdr:colOff>
      <xdr:row>87</xdr:row>
      <xdr:rowOff>57150</xdr:rowOff>
    </xdr:from>
    <xdr:to>
      <xdr:col>11</xdr:col>
      <xdr:colOff>54866</xdr:colOff>
      <xdr:row>102</xdr:row>
      <xdr:rowOff>152792</xdr:rowOff>
    </xdr:to>
    <xdr:pic>
      <xdr:nvPicPr>
        <xdr:cNvPr id="22" name="Picture 21">
          <a:extLst>
            <a:ext uri="{FF2B5EF4-FFF2-40B4-BE49-F238E27FC236}">
              <a16:creationId xmlns:a16="http://schemas.microsoft.com/office/drawing/2014/main" id="{401F06CA-CAFE-0895-9EDF-EB9E0479766F}"/>
            </a:ext>
          </a:extLst>
        </xdr:cNvPr>
        <xdr:cNvPicPr>
          <a:picLocks noChangeAspect="1"/>
        </xdr:cNvPicPr>
      </xdr:nvPicPr>
      <xdr:blipFill>
        <a:blip xmlns:r="http://schemas.openxmlformats.org/officeDocument/2006/relationships" r:embed="rId2"/>
        <a:stretch>
          <a:fillRect/>
        </a:stretch>
      </xdr:blipFill>
      <xdr:spPr>
        <a:xfrm>
          <a:off x="1282700" y="9734550"/>
          <a:ext cx="6258816" cy="2953142"/>
        </a:xfrm>
        <a:prstGeom prst="rect">
          <a:avLst/>
        </a:prstGeom>
      </xdr:spPr>
    </xdr:pic>
    <xdr:clientData/>
  </xdr:twoCellAnchor>
  <xdr:twoCellAnchor>
    <xdr:from>
      <xdr:col>7</xdr:col>
      <xdr:colOff>457200</xdr:colOff>
      <xdr:row>87</xdr:row>
      <xdr:rowOff>9525</xdr:rowOff>
    </xdr:from>
    <xdr:to>
      <xdr:col>7</xdr:col>
      <xdr:colOff>647700</xdr:colOff>
      <xdr:row>90</xdr:row>
      <xdr:rowOff>9525</xdr:rowOff>
    </xdr:to>
    <xdr:cxnSp macro="">
      <xdr:nvCxnSpPr>
        <xdr:cNvPr id="3" name="Straight Arrow Connector 2">
          <a:extLst>
            <a:ext uri="{FF2B5EF4-FFF2-40B4-BE49-F238E27FC236}">
              <a16:creationId xmlns:a16="http://schemas.microsoft.com/office/drawing/2014/main" id="{13CEA4E9-AA51-4FE5-B824-538054C50761}"/>
            </a:ext>
          </a:extLst>
        </xdr:cNvPr>
        <xdr:cNvCxnSpPr/>
      </xdr:nvCxnSpPr>
      <xdr:spPr>
        <a:xfrm flipH="1">
          <a:off x="5038725" y="8924925"/>
          <a:ext cx="1905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523875</xdr:colOff>
      <xdr:row>87</xdr:row>
      <xdr:rowOff>9525</xdr:rowOff>
    </xdr:from>
    <xdr:to>
      <xdr:col>8</xdr:col>
      <xdr:colOff>457200</xdr:colOff>
      <xdr:row>90</xdr:row>
      <xdr:rowOff>158750</xdr:rowOff>
    </xdr:to>
    <xdr:cxnSp macro="">
      <xdr:nvCxnSpPr>
        <xdr:cNvPr id="10" name="Straight Arrow Connector 9">
          <a:extLst>
            <a:ext uri="{FF2B5EF4-FFF2-40B4-BE49-F238E27FC236}">
              <a16:creationId xmlns:a16="http://schemas.microsoft.com/office/drawing/2014/main" id="{494BB723-FB7F-42F2-9CB0-4F948286D3DA}"/>
            </a:ext>
          </a:extLst>
        </xdr:cNvPr>
        <xdr:cNvCxnSpPr/>
      </xdr:nvCxnSpPr>
      <xdr:spPr>
        <a:xfrm flipH="1">
          <a:off x="5105400" y="8924925"/>
          <a:ext cx="866775" cy="7207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514350</xdr:colOff>
      <xdr:row>87</xdr:row>
      <xdr:rowOff>0</xdr:rowOff>
    </xdr:from>
    <xdr:to>
      <xdr:col>9</xdr:col>
      <xdr:colOff>333375</xdr:colOff>
      <xdr:row>91</xdr:row>
      <xdr:rowOff>104775</xdr:rowOff>
    </xdr:to>
    <xdr:cxnSp macro="">
      <xdr:nvCxnSpPr>
        <xdr:cNvPr id="17" name="Straight Arrow Connector 16">
          <a:extLst>
            <a:ext uri="{FF2B5EF4-FFF2-40B4-BE49-F238E27FC236}">
              <a16:creationId xmlns:a16="http://schemas.microsoft.com/office/drawing/2014/main" id="{8B47B4EA-3766-418E-BD1E-D4649E6E4698}"/>
            </a:ext>
          </a:extLst>
        </xdr:cNvPr>
        <xdr:cNvCxnSpPr/>
      </xdr:nvCxnSpPr>
      <xdr:spPr>
        <a:xfrm flipH="1">
          <a:off x="5095875" y="13830300"/>
          <a:ext cx="1504950" cy="866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485775</xdr:colOff>
      <xdr:row>64</xdr:row>
      <xdr:rowOff>9524</xdr:rowOff>
    </xdr:from>
    <xdr:to>
      <xdr:col>13</xdr:col>
      <xdr:colOff>247651</xdr:colOff>
      <xdr:row>72</xdr:row>
      <xdr:rowOff>66675</xdr:rowOff>
    </xdr:to>
    <xdr:sp macro="" textlink="">
      <xdr:nvSpPr>
        <xdr:cNvPr id="21" name="Rectangle 20">
          <a:extLst>
            <a:ext uri="{FF2B5EF4-FFF2-40B4-BE49-F238E27FC236}">
              <a16:creationId xmlns:a16="http://schemas.microsoft.com/office/drawing/2014/main" id="{386B0E63-779E-4C21-8556-73E6CFF52605}"/>
            </a:ext>
          </a:extLst>
        </xdr:cNvPr>
        <xdr:cNvSpPr/>
      </xdr:nvSpPr>
      <xdr:spPr>
        <a:xfrm>
          <a:off x="485775" y="12353924"/>
          <a:ext cx="8467726" cy="1581151"/>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552450</xdr:colOff>
      <xdr:row>64</xdr:row>
      <xdr:rowOff>66675</xdr:rowOff>
    </xdr:from>
    <xdr:to>
      <xdr:col>13</xdr:col>
      <xdr:colOff>153559</xdr:colOff>
      <xdr:row>71</xdr:row>
      <xdr:rowOff>180975</xdr:rowOff>
    </xdr:to>
    <xdr:pic>
      <xdr:nvPicPr>
        <xdr:cNvPr id="23" name="Picture 22">
          <a:extLst>
            <a:ext uri="{FF2B5EF4-FFF2-40B4-BE49-F238E27FC236}">
              <a16:creationId xmlns:a16="http://schemas.microsoft.com/office/drawing/2014/main" id="{BD718DDC-920F-E5C0-D250-41E3B13BDBF8}"/>
            </a:ext>
          </a:extLst>
        </xdr:cNvPr>
        <xdr:cNvPicPr>
          <a:picLocks noChangeAspect="1"/>
        </xdr:cNvPicPr>
      </xdr:nvPicPr>
      <xdr:blipFill>
        <a:blip xmlns:r="http://schemas.openxmlformats.org/officeDocument/2006/relationships" r:embed="rId3"/>
        <a:stretch>
          <a:fillRect/>
        </a:stretch>
      </xdr:blipFill>
      <xdr:spPr>
        <a:xfrm>
          <a:off x="552450" y="12411075"/>
          <a:ext cx="8306959" cy="1447800"/>
        </a:xfrm>
        <a:prstGeom prst="rect">
          <a:avLst/>
        </a:prstGeom>
      </xdr:spPr>
    </xdr:pic>
    <xdr:clientData/>
  </xdr:twoCellAnchor>
  <xdr:twoCellAnchor>
    <xdr:from>
      <xdr:col>12</xdr:col>
      <xdr:colOff>476250</xdr:colOff>
      <xdr:row>67</xdr:row>
      <xdr:rowOff>152400</xdr:rowOff>
    </xdr:from>
    <xdr:to>
      <xdr:col>13</xdr:col>
      <xdr:colOff>590550</xdr:colOff>
      <xdr:row>68</xdr:row>
      <xdr:rowOff>114300</xdr:rowOff>
    </xdr:to>
    <xdr:cxnSp macro="">
      <xdr:nvCxnSpPr>
        <xdr:cNvPr id="8" name="Straight Arrow Connector 7">
          <a:extLst>
            <a:ext uri="{FF2B5EF4-FFF2-40B4-BE49-F238E27FC236}">
              <a16:creationId xmlns:a16="http://schemas.microsoft.com/office/drawing/2014/main" id="{664467AC-A8CE-47BC-A63C-998110984C41}"/>
            </a:ext>
          </a:extLst>
        </xdr:cNvPr>
        <xdr:cNvCxnSpPr/>
      </xdr:nvCxnSpPr>
      <xdr:spPr>
        <a:xfrm flipH="1">
          <a:off x="8572500" y="10020300"/>
          <a:ext cx="723900" cy="152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42</xdr:row>
      <xdr:rowOff>76200</xdr:rowOff>
    </xdr:from>
    <xdr:to>
      <xdr:col>14</xdr:col>
      <xdr:colOff>314325</xdr:colOff>
      <xdr:row>55</xdr:row>
      <xdr:rowOff>95317</xdr:rowOff>
    </xdr:to>
    <xdr:pic>
      <xdr:nvPicPr>
        <xdr:cNvPr id="5" name="Picture 4">
          <a:extLst>
            <a:ext uri="{FF2B5EF4-FFF2-40B4-BE49-F238E27FC236}">
              <a16:creationId xmlns:a16="http://schemas.microsoft.com/office/drawing/2014/main" id="{1E08B9FD-93A1-4CAF-239A-E2AF5D0E164E}"/>
            </a:ext>
          </a:extLst>
        </xdr:cNvPr>
        <xdr:cNvPicPr>
          <a:picLocks noChangeAspect="1"/>
        </xdr:cNvPicPr>
      </xdr:nvPicPr>
      <xdr:blipFill>
        <a:blip xmlns:r="http://schemas.openxmlformats.org/officeDocument/2006/relationships" r:embed="rId4"/>
        <a:stretch>
          <a:fillRect/>
        </a:stretch>
      </xdr:blipFill>
      <xdr:spPr>
        <a:xfrm>
          <a:off x="609600" y="8153400"/>
          <a:ext cx="9020175" cy="24956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Zevallos, Katherine" id="{B44DAAC7-1048-428D-87B4-A6751C55BE0B}" userId="S::KXZN@pge.com::a013b438-ec2d-46ed-9f54-a18f6655ef38"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44" dT="2026-03-05T18:31:20.52" personId="{B44DAAC7-1048-428D-87B4-A6751C55BE0B}" id="{3C318DE9-79AF-4A9D-815C-0AC059E214AA}">
    <text>Formula will need to be changed in September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8FE14-FACB-4C1F-8343-CF764E04D9EB}">
  <sheetPr codeName="Sheet9"/>
  <dimension ref="A1:R37"/>
  <sheetViews>
    <sheetView showGridLines="0" tabSelected="1" workbookViewId="0">
      <selection activeCell="E20" sqref="E20"/>
    </sheetView>
  </sheetViews>
  <sheetFormatPr defaultColWidth="0" defaultRowHeight="14.5" zeroHeight="1"/>
  <cols>
    <col min="1" max="1" width="26" bestFit="1" customWidth="1"/>
    <col min="2" max="2" width="2.54296875" customWidth="1"/>
    <col min="3" max="3" width="90.7265625" customWidth="1"/>
    <col min="4" max="4" width="2.453125" customWidth="1"/>
    <col min="5" max="5" width="26.7265625" customWidth="1"/>
    <col min="6" max="6" width="4.1796875" customWidth="1"/>
    <col min="7" max="8" width="9.1796875" customWidth="1"/>
    <col min="9" max="17" width="9.1796875" hidden="1" customWidth="1"/>
    <col min="18" max="18" width="92.1796875" hidden="1" customWidth="1"/>
    <col min="19" max="16384" width="9.1796875" hidden="1"/>
  </cols>
  <sheetData>
    <row r="1" spans="1:5"/>
    <row r="2" spans="1:5"/>
    <row r="3" spans="1:5"/>
    <row r="4" spans="1:5"/>
    <row r="5" spans="1:5">
      <c r="A5" s="11" t="s">
        <v>0</v>
      </c>
      <c r="C5" s="11" t="s">
        <v>1</v>
      </c>
      <c r="E5" s="11" t="s">
        <v>2</v>
      </c>
    </row>
    <row r="6" spans="1:5"/>
    <row r="7" spans="1:5" ht="29">
      <c r="A7" s="171" t="s">
        <v>3</v>
      </c>
      <c r="C7" s="178" t="s">
        <v>4</v>
      </c>
      <c r="E7" s="169" t="s">
        <v>5</v>
      </c>
    </row>
    <row r="8" spans="1:5">
      <c r="A8" s="171"/>
      <c r="C8" s="179"/>
    </row>
    <row r="9" spans="1:5">
      <c r="A9" s="171" t="s">
        <v>6</v>
      </c>
      <c r="C9" s="178" t="s">
        <v>7</v>
      </c>
      <c r="E9" s="169" t="s">
        <v>5</v>
      </c>
    </row>
    <row r="10" spans="1:5">
      <c r="A10" s="171"/>
      <c r="C10" s="179"/>
    </row>
    <row r="11" spans="1:5" ht="29">
      <c r="A11" s="171" t="s">
        <v>8</v>
      </c>
      <c r="C11" s="178" t="s">
        <v>9</v>
      </c>
      <c r="E11" s="169" t="s">
        <v>5</v>
      </c>
    </row>
    <row r="12" spans="1:5">
      <c r="A12" s="171"/>
      <c r="C12" s="179"/>
    </row>
    <row r="13" spans="1:5" ht="211">
      <c r="A13" s="171" t="s">
        <v>10</v>
      </c>
      <c r="C13" s="178" t="s">
        <v>11</v>
      </c>
      <c r="E13" s="169" t="s">
        <v>12</v>
      </c>
    </row>
    <row r="14" spans="1:5">
      <c r="A14" s="171"/>
      <c r="C14" s="179"/>
    </row>
    <row r="15" spans="1:5" ht="29">
      <c r="A15" s="171" t="s">
        <v>13</v>
      </c>
      <c r="C15" s="181" t="s">
        <v>14</v>
      </c>
      <c r="E15" s="169" t="s">
        <v>15</v>
      </c>
    </row>
    <row r="16" spans="1:5">
      <c r="A16" s="171"/>
      <c r="C16" s="180"/>
      <c r="E16" s="169"/>
    </row>
    <row r="17" spans="1:18" ht="87">
      <c r="A17" s="171" t="s">
        <v>15</v>
      </c>
      <c r="C17" s="181" t="s">
        <v>16</v>
      </c>
      <c r="E17" s="170" t="s">
        <v>17</v>
      </c>
    </row>
    <row r="18" spans="1:18">
      <c r="A18" s="171"/>
      <c r="C18" s="179"/>
      <c r="D18" t="s">
        <v>18</v>
      </c>
    </row>
    <row r="19" spans="1:18" ht="116">
      <c r="A19" s="171" t="s">
        <v>19</v>
      </c>
      <c r="C19" s="203" t="s">
        <v>20</v>
      </c>
      <c r="E19" s="169" t="s">
        <v>21</v>
      </c>
    </row>
    <row r="20" spans="1:18">
      <c r="A20" s="171"/>
      <c r="C20" s="181"/>
    </row>
    <row r="21" spans="1:18" ht="130.5">
      <c r="A21" s="171" t="s">
        <v>22</v>
      </c>
      <c r="C21" s="178" t="s">
        <v>23</v>
      </c>
      <c r="E21" s="169" t="s">
        <v>24</v>
      </c>
    </row>
    <row r="22" spans="1:18">
      <c r="A22" s="171"/>
      <c r="C22" s="178"/>
      <c r="E22" s="169"/>
    </row>
    <row r="23" spans="1:18" ht="116">
      <c r="A23" s="171" t="s">
        <v>25</v>
      </c>
      <c r="C23" s="203" t="s">
        <v>26</v>
      </c>
      <c r="E23" s="169" t="s">
        <v>27</v>
      </c>
    </row>
    <row r="24" spans="1:18">
      <c r="A24" s="171"/>
      <c r="C24" s="181"/>
      <c r="E24" s="169"/>
    </row>
    <row r="25" spans="1:18" ht="87">
      <c r="A25" s="171" t="s">
        <v>28</v>
      </c>
      <c r="C25" s="178" t="s">
        <v>29</v>
      </c>
      <c r="E25" s="169" t="s">
        <v>24</v>
      </c>
    </row>
    <row r="26" spans="1:18">
      <c r="A26" s="171"/>
      <c r="C26" s="181"/>
      <c r="R26" s="172"/>
    </row>
    <row r="27" spans="1:18" ht="196.5">
      <c r="A27" s="171" t="s">
        <v>30</v>
      </c>
      <c r="C27" s="178" t="s">
        <v>31</v>
      </c>
      <c r="E27" s="169" t="s">
        <v>5</v>
      </c>
      <c r="R27" s="172"/>
    </row>
    <row r="28" spans="1:18">
      <c r="C28" s="172"/>
    </row>
    <row r="29" spans="1:18">
      <c r="A29" s="171"/>
      <c r="C29" s="172"/>
    </row>
    <row r="30" spans="1:18">
      <c r="C30" s="96"/>
    </row>
    <row r="31" spans="1:18" ht="16.5">
      <c r="C31" s="173"/>
    </row>
    <row r="32" spans="1:18" ht="16.5">
      <c r="C32" s="173"/>
    </row>
    <row r="33" spans="3:3" ht="16.5">
      <c r="C33" s="173"/>
    </row>
    <row r="34" spans="3:3"/>
    <row r="37" spans="3:3" hidden="1">
      <c r="C37" s="109"/>
    </row>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CAD3C-62F3-4C43-9DAC-A7A4C2C68A11}">
  <sheetPr codeName="Sheet13">
    <tabColor rgb="FFFFFF00"/>
  </sheetPr>
  <dimension ref="B1:AN74"/>
  <sheetViews>
    <sheetView tabSelected="1" topLeftCell="A44" zoomScaleNormal="100" workbookViewId="0">
      <selection activeCell="E20" sqref="E20"/>
    </sheetView>
  </sheetViews>
  <sheetFormatPr defaultColWidth="8.81640625" defaultRowHeight="15.5"/>
  <cols>
    <col min="1" max="1" width="3.54296875" style="124" customWidth="1"/>
    <col min="2" max="2" width="20.54296875" style="124" customWidth="1"/>
    <col min="3" max="3" width="16" style="124" bestFit="1" customWidth="1"/>
    <col min="4" max="4" width="17.453125" style="124" customWidth="1"/>
    <col min="5" max="5" width="10.54296875" style="124" customWidth="1"/>
    <col min="6" max="6" width="20.81640625" style="124" customWidth="1"/>
    <col min="7" max="7" width="20.54296875" style="124" bestFit="1" customWidth="1"/>
    <col min="8" max="8" width="18.54296875" style="124" bestFit="1" customWidth="1"/>
    <col min="9" max="9" width="13.54296875" style="124" customWidth="1"/>
    <col min="10" max="10" width="18.26953125" style="124" bestFit="1" customWidth="1"/>
    <col min="11" max="11" width="16.1796875" style="124" bestFit="1" customWidth="1"/>
    <col min="12" max="14" width="15.453125" style="124" customWidth="1"/>
    <col min="15" max="15" width="16.1796875" style="124" bestFit="1" customWidth="1"/>
    <col min="16" max="16" width="15.54296875" style="124" customWidth="1"/>
    <col min="17" max="17" width="16.453125" style="124" customWidth="1"/>
    <col min="18" max="18" width="14" style="124" customWidth="1"/>
    <col min="19" max="19" width="15.81640625" style="124" customWidth="1"/>
    <col min="20" max="20" width="18.1796875" style="124" customWidth="1"/>
    <col min="21" max="21" width="15" style="124" customWidth="1"/>
    <col min="22" max="22" width="16" style="124" bestFit="1" customWidth="1"/>
    <col min="23" max="24" width="11.54296875" style="124" bestFit="1" customWidth="1"/>
    <col min="25" max="26" width="20.1796875" style="124" bestFit="1" customWidth="1"/>
    <col min="27" max="27" width="15.7265625" style="124" bestFit="1" customWidth="1"/>
    <col min="28" max="28" width="16.81640625" style="124" bestFit="1" customWidth="1"/>
    <col min="29" max="29" width="15.1796875" style="124" customWidth="1"/>
    <col min="30" max="30" width="13" style="124" bestFit="1" customWidth="1"/>
    <col min="31" max="32" width="11.7265625" style="124" customWidth="1"/>
    <col min="33" max="34" width="8.81640625" style="124"/>
    <col min="35" max="35" width="14.7265625" style="124" bestFit="1" customWidth="1"/>
    <col min="36" max="36" width="16.453125" style="124" bestFit="1" customWidth="1"/>
    <col min="37" max="38" width="8.81640625" style="124"/>
    <col min="39" max="40" width="10.81640625" style="124" customWidth="1"/>
    <col min="41" max="16384" width="8.81640625" style="124"/>
  </cols>
  <sheetData>
    <row r="1" spans="2:29" ht="53.9" customHeight="1">
      <c r="B1" s="313"/>
      <c r="C1" s="313"/>
      <c r="D1" s="313"/>
      <c r="E1" s="313"/>
      <c r="F1" s="313"/>
      <c r="G1" s="313"/>
      <c r="H1" s="313"/>
      <c r="I1" s="313"/>
      <c r="J1" s="313"/>
      <c r="K1" s="313"/>
      <c r="L1" s="313"/>
      <c r="M1" s="313"/>
      <c r="N1" s="313"/>
      <c r="O1" s="313"/>
      <c r="P1" s="313"/>
      <c r="Q1" s="313"/>
      <c r="R1" s="313"/>
      <c r="S1" s="313"/>
      <c r="T1" s="313"/>
      <c r="U1" s="313"/>
      <c r="V1" s="313"/>
      <c r="W1" s="313"/>
    </row>
    <row r="2" spans="2:29">
      <c r="B2" s="314"/>
      <c r="C2" s="517" t="s">
        <v>512</v>
      </c>
      <c r="D2" s="517"/>
      <c r="E2" s="314"/>
      <c r="F2" s="314"/>
      <c r="H2" s="316"/>
      <c r="J2" s="316"/>
      <c r="R2" s="314"/>
      <c r="S2" s="314"/>
      <c r="T2" s="314"/>
      <c r="U2" s="314"/>
      <c r="V2" s="314"/>
      <c r="W2" s="314"/>
    </row>
    <row r="3" spans="2:29">
      <c r="B3" s="317"/>
      <c r="C3" s="318" t="s">
        <v>446</v>
      </c>
      <c r="D3" s="318" t="s">
        <v>513</v>
      </c>
      <c r="R3" s="319"/>
      <c r="S3" s="319"/>
      <c r="T3" s="319"/>
      <c r="U3" s="319"/>
      <c r="V3" s="319"/>
      <c r="W3" s="319"/>
    </row>
    <row r="4" spans="2:29">
      <c r="B4" s="320" t="s">
        <v>233</v>
      </c>
      <c r="C4" s="187">
        <f>INDEX('Incremental Rev Req'!$R$9:$V$24,MATCH(B4,'Incremental Rev Req'!$R$9:$R$24,0),MATCH(Summary!$D$3,'Incremental Rev Req'!$R$9:$V$9,0))</f>
        <v>3075727.8217516071</v>
      </c>
      <c r="D4" s="187">
        <f>INDEX('Incremental Rev Req'!$R$101:$V$116,MATCH(B4,'Incremental Rev Req'!$R$101:$R$116,0),MATCH(Summary!$D$3,'Incremental Rev Req'!$R$101:$V$101,0))</f>
        <v>3075727.8217516071</v>
      </c>
      <c r="G4" s="520" t="s">
        <v>514</v>
      </c>
      <c r="H4" s="520"/>
      <c r="I4" s="520"/>
      <c r="J4" s="520"/>
      <c r="K4" s="520"/>
      <c r="L4" s="520"/>
      <c r="M4" s="520"/>
      <c r="N4" s="520"/>
      <c r="O4" s="520"/>
      <c r="P4" s="520"/>
      <c r="Q4" s="520"/>
      <c r="R4" s="520"/>
      <c r="S4" s="520"/>
      <c r="T4" s="520"/>
      <c r="U4" s="321"/>
      <c r="V4" s="321"/>
      <c r="W4" s="321"/>
      <c r="X4" s="321"/>
      <c r="Y4" s="321"/>
    </row>
    <row r="5" spans="2:29" ht="31">
      <c r="B5" s="320" t="s">
        <v>248</v>
      </c>
      <c r="C5" s="187">
        <f>INDEX('Incremental Rev Req'!$R$9:$V$24,MATCH(B5,'Incremental Rev Req'!$R$9:$R$24,0),MATCH(Summary!$D$3,'Incremental Rev Req'!$R$9:$V$9,0))</f>
        <v>431130.2253517076</v>
      </c>
      <c r="D5" s="187">
        <f>INDEX('Incremental Rev Req'!$R$101:$V$116,MATCH(B5,'Incremental Rev Req'!$R$101:$R$116,0),MATCH(Summary!$D$3,'Incremental Rev Req'!$R$101:$V$101,0))</f>
        <v>431130.2253517076</v>
      </c>
      <c r="F5" s="5"/>
      <c r="G5" s="322" t="s">
        <v>233</v>
      </c>
      <c r="H5" s="322" t="s">
        <v>214</v>
      </c>
      <c r="I5" s="322" t="s">
        <v>259</v>
      </c>
      <c r="J5" s="322" t="s">
        <v>515</v>
      </c>
      <c r="K5" s="322" t="s">
        <v>248</v>
      </c>
      <c r="L5" s="322" t="s">
        <v>421</v>
      </c>
      <c r="M5" s="322" t="s">
        <v>243</v>
      </c>
      <c r="N5" s="322" t="s">
        <v>242</v>
      </c>
      <c r="O5" s="322" t="s">
        <v>425</v>
      </c>
      <c r="P5" s="322" t="s">
        <v>516</v>
      </c>
      <c r="Q5" s="323" t="s">
        <v>402</v>
      </c>
      <c r="R5" s="322" t="s">
        <v>282</v>
      </c>
      <c r="S5" s="323" t="s">
        <v>225</v>
      </c>
      <c r="T5" s="324" t="s">
        <v>217</v>
      </c>
    </row>
    <row r="6" spans="2:29">
      <c r="B6" s="320" t="s">
        <v>214</v>
      </c>
      <c r="C6" s="187">
        <f>INDEX('Incremental Rev Req'!$R$9:$V$24,MATCH(B6,'Incremental Rev Req'!$R$9:$R$24,0),MATCH(Summary!$D$3,'Incremental Rev Req'!$R$9:$V$9,0))</f>
        <v>9526110.0969884321</v>
      </c>
      <c r="D6" s="187">
        <f>INDEX('Incremental Rev Req'!$R$101:$V$116,MATCH(B6,'Incremental Rev Req'!$R$101:$R$116,0),MATCH(Summary!$D$3,'Incremental Rev Req'!$R$101:$V$101,0))</f>
        <v>9570321.726732187</v>
      </c>
      <c r="F6" s="5" t="s">
        <v>542</v>
      </c>
      <c r="G6" s="62">
        <f>VLOOKUP(Summary!$D$3,$F$35:$T$38,G$33,FALSE)</f>
        <v>6.2387176715901604E-2</v>
      </c>
      <c r="H6" s="62">
        <f>VLOOKUP(Summary!$D$3,$F$35:$T$38,H$33,FALSE)</f>
        <v>0.10594202727452035</v>
      </c>
      <c r="I6" s="62">
        <f>VLOOKUP(Summary!$D$3,$F$35:$T$38,I$33,FALSE)</f>
        <v>7.1285345053628824E-2</v>
      </c>
      <c r="J6" s="62">
        <f>VLOOKUP(Summary!$D$3,$F$35:$T$38,J$33,FALSE)</f>
        <v>8.3024257458251927E-2</v>
      </c>
      <c r="K6" s="62">
        <f>VLOOKUP(Summary!$D$3,$F$35:$T$38,K$33,FALSE)</f>
        <v>6.6495184409869068E-2</v>
      </c>
      <c r="L6" s="62">
        <f>VLOOKUP(Summary!$D$3,$F$35:$T$38,L$33,FALSE)</f>
        <v>6.7202128263150501E-2</v>
      </c>
      <c r="M6" s="62">
        <f>VLOOKUP(Summary!$D$3,$F$35:$T$38,M$33,FALSE)</f>
        <v>7.3803059041629981E-2</v>
      </c>
      <c r="N6" s="62">
        <f>VLOOKUP(Summary!$D$3,$F$35:$T$38,N$33,FALSE)</f>
        <v>7.2949875113434787E-2</v>
      </c>
      <c r="O6" s="62">
        <f>VLOOKUP(Summary!$D$3,$F$35:$T$38,O$33,FALSE)</f>
        <v>7.395335385981644E-2</v>
      </c>
      <c r="P6" s="62">
        <f>VLOOKUP(Summary!$D$3,$F$35:$T$38,P$33,FALSE)</f>
        <v>4.3153356023048754E-2</v>
      </c>
      <c r="Q6" s="62">
        <f>VLOOKUP(Summary!$D$3,$F$35:$T$38,Q$33,FALSE)</f>
        <v>8.1326918619140431E-2</v>
      </c>
      <c r="R6" s="62">
        <f>VLOOKUP(Summary!$D$3,$F$35:$T$38,R$33,FALSE)</f>
        <v>0.10015456264895582</v>
      </c>
      <c r="S6" s="62">
        <f>VLOOKUP(Summary!$D$3,$F$35:$T$38,S$33,FALSE)</f>
        <v>9.305731383769536E-2</v>
      </c>
      <c r="T6" s="62">
        <f>VLOOKUP(Summary!$D$3,$F$35:$T$38,T$33,FALSE)</f>
        <v>9.4954102324552689E-2</v>
      </c>
    </row>
    <row r="7" spans="2:29">
      <c r="B7" s="320" t="s">
        <v>336</v>
      </c>
      <c r="C7" s="187">
        <f>INDEX('Incremental Rev Req'!$R$9:$V$24,MATCH(B7,'Incremental Rev Req'!$R$9:$R$24,0),MATCH(Summary!$D$3,'Incremental Rev Req'!$R$9:$V$9,0))</f>
        <v>-475276.50099999999</v>
      </c>
      <c r="D7" s="187">
        <f>INDEX('Incremental Rev Req'!$R$101:$V$116,MATCH(B7,'Incremental Rev Req'!$R$101:$R$116,0),MATCH(Summary!$D$3,'Incremental Rev Req'!$R$101:$V$101,0))</f>
        <v>-475276.50099999999</v>
      </c>
      <c r="F7" s="5"/>
      <c r="G7" s="70"/>
      <c r="H7" s="70"/>
      <c r="I7" s="70"/>
      <c r="J7" s="70"/>
      <c r="K7" s="70"/>
      <c r="L7" s="70"/>
      <c r="M7" s="70"/>
      <c r="N7" s="70"/>
      <c r="O7" s="70"/>
      <c r="P7" s="70"/>
      <c r="Q7" s="70"/>
    </row>
    <row r="8" spans="2:29" ht="15.75" customHeight="1">
      <c r="B8" s="320" t="s">
        <v>243</v>
      </c>
      <c r="C8" s="187">
        <f>INDEX('Incremental Rev Req'!$R$9:$V$24,MATCH(B8,'Incremental Rev Req'!$R$9:$R$24,0),MATCH(Summary!$D$3,'Incremental Rev Req'!$R$9:$V$9,0))</f>
        <v>19992.065902402835</v>
      </c>
      <c r="D8" s="187">
        <f>INDEX('Incremental Rev Req'!$R$101:$V$116,MATCH(B8,'Incremental Rev Req'!$R$101:$R$116,0),MATCH(Summary!$D$3,'Incremental Rev Req'!$R$101:$V$101,0))</f>
        <v>19992.065902402835</v>
      </c>
      <c r="F8" s="321"/>
      <c r="G8" s="520" t="s">
        <v>517</v>
      </c>
      <c r="H8" s="520"/>
      <c r="I8" s="520"/>
      <c r="J8" s="520"/>
      <c r="K8" s="520"/>
      <c r="L8" s="520"/>
      <c r="M8" s="520"/>
      <c r="N8" s="520"/>
      <c r="O8" s="520"/>
      <c r="P8" s="520"/>
      <c r="Q8" s="520"/>
      <c r="R8" s="520"/>
      <c r="S8" s="520"/>
      <c r="T8" s="520"/>
    </row>
    <row r="9" spans="2:29" ht="34.5" customHeight="1">
      <c r="B9" s="320" t="s">
        <v>259</v>
      </c>
      <c r="C9" s="187">
        <f>INDEX('Incremental Rev Req'!$R$9:$V$24,MATCH(B9,'Incremental Rev Req'!$R$9:$R$24,0),MATCH(Summary!$D$3,'Incremental Rev Req'!$R$9:$V$9,0))</f>
        <v>-1604.9394941091518</v>
      </c>
      <c r="D9" s="187">
        <f>INDEX('Incremental Rev Req'!$R$101:$V$116,MATCH(B9,'Incremental Rev Req'!$R$101:$R$116,0),MATCH(Summary!$D$3,'Incremental Rev Req'!$R$101:$V$101,0))</f>
        <v>-1604.9394941091518</v>
      </c>
      <c r="F9" s="327" t="s">
        <v>446</v>
      </c>
      <c r="G9" s="322" t="s">
        <v>233</v>
      </c>
      <c r="H9" s="322" t="s">
        <v>214</v>
      </c>
      <c r="I9" s="322" t="s">
        <v>259</v>
      </c>
      <c r="J9" s="322" t="s">
        <v>338</v>
      </c>
      <c r="K9" s="322" t="s">
        <v>248</v>
      </c>
      <c r="L9" s="322" t="s">
        <v>421</v>
      </c>
      <c r="M9" s="322" t="s">
        <v>243</v>
      </c>
      <c r="N9" s="322" t="s">
        <v>242</v>
      </c>
      <c r="O9" s="322" t="s">
        <v>425</v>
      </c>
      <c r="P9" s="322" t="s">
        <v>336</v>
      </c>
      <c r="Q9" s="322" t="s">
        <v>402</v>
      </c>
      <c r="R9" s="322" t="s">
        <v>282</v>
      </c>
      <c r="S9" s="323" t="s">
        <v>225</v>
      </c>
      <c r="T9" s="324" t="s">
        <v>217</v>
      </c>
      <c r="U9" s="322" t="s">
        <v>170</v>
      </c>
    </row>
    <row r="10" spans="2:29">
      <c r="B10" s="320" t="s">
        <v>338</v>
      </c>
      <c r="C10" s="187">
        <f>INDEX('Incremental Rev Req'!$R$9:$V$24,MATCH(B10,'Incremental Rev Req'!$R$9:$R$24,0),MATCH(Summary!$D$3,'Incremental Rev Req'!$R$9:$V$9,0))</f>
        <v>744305.81456082384</v>
      </c>
      <c r="D10" s="187">
        <f>INDEX('Incremental Rev Req'!$R$101:$V$116,MATCH(B10,'Incremental Rev Req'!$R$101:$R$116,0),MATCH(Summary!$D$3,'Incremental Rev Req'!$R$101:$V$101,0))</f>
        <v>744305.81456082384</v>
      </c>
      <c r="F10" s="5" t="s">
        <v>542</v>
      </c>
      <c r="G10" s="328">
        <f t="shared" ref="G10:T10" si="0">G6*G11</f>
        <v>191885.97514563263</v>
      </c>
      <c r="H10" s="328">
        <f t="shared" si="0"/>
        <v>1009215.4157152321</v>
      </c>
      <c r="I10" s="328">
        <f t="shared" si="0"/>
        <v>-114.40866562776738</v>
      </c>
      <c r="J10" s="328">
        <f t="shared" si="0"/>
        <v>61795.437575771757</v>
      </c>
      <c r="K10" s="328">
        <f t="shared" si="0"/>
        <v>28668.083839430205</v>
      </c>
      <c r="L10" s="328">
        <f t="shared" si="0"/>
        <v>173394.24989018028</v>
      </c>
      <c r="M10" s="328">
        <f t="shared" si="0"/>
        <v>1475.475620159194</v>
      </c>
      <c r="N10" s="328">
        <f t="shared" si="0"/>
        <v>122.94388770478547</v>
      </c>
      <c r="O10" s="328">
        <f t="shared" si="0"/>
        <v>26277.947717493142</v>
      </c>
      <c r="P10" s="328">
        <f t="shared" si="0"/>
        <v>-20509.776057041887</v>
      </c>
      <c r="Q10" s="328">
        <f t="shared" si="0"/>
        <v>32679.602700975665</v>
      </c>
      <c r="R10" s="328">
        <f t="shared" si="0"/>
        <v>22392.844908257881</v>
      </c>
      <c r="S10" s="328">
        <f t="shared" si="0"/>
        <v>121090.41465385133</v>
      </c>
      <c r="T10" s="328">
        <f t="shared" si="0"/>
        <v>162459.31609399285</v>
      </c>
      <c r="U10" s="328">
        <f>SUM(G10:T10)</f>
        <v>1810833.5230260126</v>
      </c>
      <c r="W10" s="330"/>
      <c r="X10" s="330"/>
    </row>
    <row r="11" spans="2:29">
      <c r="B11" s="320" t="s">
        <v>402</v>
      </c>
      <c r="C11" s="187">
        <f>INDEX('Incremental Rev Req'!$R$9:$V$24,MATCH(B11,'Incremental Rev Req'!$R$9:$R$24,0),MATCH(Summary!$D$3,'Incremental Rev Req'!$R$9:$V$9,0))</f>
        <v>401830.0859770244</v>
      </c>
      <c r="D11" s="187">
        <f>INDEX('Incremental Rev Req'!$R$101:$V$116,MATCH(B11,'Incremental Rev Req'!$R$101:$R$116,0),MATCH(Summary!$D$3,'Incremental Rev Req'!$R$101:$V$101,0))</f>
        <v>401830.0859770244</v>
      </c>
      <c r="F11" s="5" t="s">
        <v>518</v>
      </c>
      <c r="G11" s="55">
        <f t="shared" ref="G11:M11" si="1">VLOOKUP(G9,$B$4:$D$17,2,FALSE)</f>
        <v>3075727.8217516071</v>
      </c>
      <c r="H11" s="55">
        <f t="shared" si="1"/>
        <v>9526110.0969884321</v>
      </c>
      <c r="I11" s="55">
        <f t="shared" si="1"/>
        <v>-1604.9394941091518</v>
      </c>
      <c r="J11" s="55">
        <f t="shared" si="1"/>
        <v>744305.81456082384</v>
      </c>
      <c r="K11" s="55">
        <f t="shared" si="1"/>
        <v>431130.2253517076</v>
      </c>
      <c r="L11" s="55">
        <f t="shared" si="1"/>
        <v>2580189.8596306657</v>
      </c>
      <c r="M11" s="55">
        <f t="shared" si="1"/>
        <v>19992.065902402835</v>
      </c>
      <c r="N11" s="55">
        <f>VLOOKUP(N9,$B$4:$D$16,2,FALSE)</f>
        <v>1685.3200572805854</v>
      </c>
      <c r="O11" s="55">
        <f>VLOOKUP(O9,$B$4:$D$16,2,FALSE)</f>
        <v>355331.38588014222</v>
      </c>
      <c r="P11" s="55">
        <f>VLOOKUP(P9,$B$4:$D$17,2,FALSE)</f>
        <v>-475276.50099999999</v>
      </c>
      <c r="Q11" s="55">
        <f>VLOOKUP(Q9,$B$4:$D$17,2,FALSE)</f>
        <v>401830.0859770244</v>
      </c>
      <c r="R11" s="55">
        <f>VLOOKUP(R9,$B$4:$D$17,2,FALSE)</f>
        <v>223582.8734707309</v>
      </c>
      <c r="S11" s="56">
        <f>VLOOKUP(S9,$B$4:$D$17,2,FALSE)</f>
        <v>1301245.5406250982</v>
      </c>
      <c r="T11" s="55">
        <f>VLOOKUP(T9,$B$4:$D$17,2,FALSE)</f>
        <v>1710924.6690438676</v>
      </c>
      <c r="U11" s="55">
        <f>SUM(G11:T11)</f>
        <v>19895174.318745676</v>
      </c>
      <c r="X11" s="316"/>
    </row>
    <row r="12" spans="2:29">
      <c r="B12" s="320" t="s">
        <v>242</v>
      </c>
      <c r="C12" s="187">
        <f>INDEX('Incremental Rev Req'!$R$9:$V$24,MATCH(B12,'Incremental Rev Req'!$R$9:$R$24,0),MATCH(Summary!$D$3,'Incremental Rev Req'!$R$9:$V$9,0))</f>
        <v>1685.3200572805854</v>
      </c>
      <c r="D12" s="187">
        <f>INDEX('Incremental Rev Req'!$R$101:$V$116,MATCH(B12,'Incremental Rev Req'!$R$101:$R$116,0),MATCH(Summary!$D$3,'Incremental Rev Req'!$R$101:$V$101,0))</f>
        <v>1685.3200572805854</v>
      </c>
      <c r="F12" s="327" t="s">
        <v>519</v>
      </c>
    </row>
    <row r="13" spans="2:29" ht="15.65" customHeight="1">
      <c r="B13" s="320" t="s">
        <v>421</v>
      </c>
      <c r="C13" s="187">
        <f>INDEX('Incremental Rev Req'!$R$9:$V$24,MATCH(B13,'Incremental Rev Req'!$R$9:$R$24,0),MATCH(Summary!$D$3,'Incremental Rev Req'!$R$9:$V$9,0))</f>
        <v>2580189.8596306657</v>
      </c>
      <c r="D13" s="187">
        <f>INDEX('Incremental Rev Req'!$R$101:$V$116,MATCH(B13,'Incremental Rev Req'!$R$101:$R$116,0),MATCH(Summary!$D$3,'Incremental Rev Req'!$R$101:$V$101,0))</f>
        <v>2580189.8596306657</v>
      </c>
      <c r="F13" s="5" t="s">
        <v>542</v>
      </c>
      <c r="G13" s="328">
        <f t="shared" ref="G13:T13" si="2">G6*G14</f>
        <v>191885.97514563263</v>
      </c>
      <c r="H13" s="328">
        <f t="shared" si="2"/>
        <v>1013899.285399396</v>
      </c>
      <c r="I13" s="328">
        <f t="shared" si="2"/>
        <v>-114.40866562776738</v>
      </c>
      <c r="J13" s="328">
        <f t="shared" si="2"/>
        <v>61795.437575771757</v>
      </c>
      <c r="K13" s="328">
        <f t="shared" si="2"/>
        <v>28668.083839430205</v>
      </c>
      <c r="L13" s="328">
        <f t="shared" si="2"/>
        <v>173394.24989018028</v>
      </c>
      <c r="M13" s="328">
        <f t="shared" si="2"/>
        <v>1475.475620159194</v>
      </c>
      <c r="N13" s="328">
        <f t="shared" si="2"/>
        <v>122.94388770478547</v>
      </c>
      <c r="O13" s="328">
        <f t="shared" si="2"/>
        <v>26277.947717493142</v>
      </c>
      <c r="P13" s="328">
        <f t="shared" si="2"/>
        <v>-20509.776057041887</v>
      </c>
      <c r="Q13" s="328">
        <f t="shared" si="2"/>
        <v>32679.602700975665</v>
      </c>
      <c r="R13" s="328">
        <f t="shared" si="2"/>
        <v>22392.844908257881</v>
      </c>
      <c r="S13" s="328">
        <f t="shared" si="2"/>
        <v>125855.08960562178</v>
      </c>
      <c r="T13" s="328">
        <f t="shared" si="2"/>
        <v>193388.44896584449</v>
      </c>
      <c r="U13" s="328">
        <f>SUM(G13:T13)</f>
        <v>1851211.2005337982</v>
      </c>
    </row>
    <row r="14" spans="2:29" ht="15.65" customHeight="1">
      <c r="B14" s="320" t="s">
        <v>425</v>
      </c>
      <c r="C14" s="187">
        <f>INDEX('Incremental Rev Req'!$R$9:$V$24,MATCH(B14,'Incremental Rev Req'!$R$9:$R$24,0),MATCH(Summary!$D$3,'Incremental Rev Req'!$R$9:$V$9,0))</f>
        <v>355331.38588014222</v>
      </c>
      <c r="D14" s="187">
        <f>INDEX('Incremental Rev Req'!$R$101:$V$116,MATCH(B14,'Incremental Rev Req'!$R$101:$R$116,0),MATCH(Summary!$D$3,'Incremental Rev Req'!$R$101:$V$101,0))</f>
        <v>355331.38588014222</v>
      </c>
      <c r="F14" s="5" t="s">
        <v>518</v>
      </c>
      <c r="G14" s="55">
        <f t="shared" ref="G14:S14" si="3">VLOOKUP(G9,$B$4:$D$16,3,FALSE)</f>
        <v>3075727.8217516071</v>
      </c>
      <c r="H14" s="55">
        <f t="shared" si="3"/>
        <v>9570321.726732187</v>
      </c>
      <c r="I14" s="55">
        <f t="shared" si="3"/>
        <v>-1604.9394941091518</v>
      </c>
      <c r="J14" s="55">
        <f t="shared" si="3"/>
        <v>744305.81456082384</v>
      </c>
      <c r="K14" s="55">
        <f t="shared" si="3"/>
        <v>431130.2253517076</v>
      </c>
      <c r="L14" s="55">
        <f t="shared" si="3"/>
        <v>2580189.8596306657</v>
      </c>
      <c r="M14" s="55">
        <f t="shared" si="3"/>
        <v>19992.065902402835</v>
      </c>
      <c r="N14" s="55">
        <f t="shared" si="3"/>
        <v>1685.3200572805854</v>
      </c>
      <c r="O14" s="55">
        <f t="shared" si="3"/>
        <v>355331.38588014222</v>
      </c>
      <c r="P14" s="55">
        <f t="shared" si="3"/>
        <v>-475276.50099999999</v>
      </c>
      <c r="Q14" s="55">
        <f t="shared" si="3"/>
        <v>401830.0859770244</v>
      </c>
      <c r="R14" s="55">
        <f t="shared" si="3"/>
        <v>223582.8734707309</v>
      </c>
      <c r="S14" s="55">
        <f t="shared" si="3"/>
        <v>1352447.050267647</v>
      </c>
      <c r="T14" s="55">
        <f>VLOOKUP(T9,$B$4:$D$17,3,FALSE)</f>
        <v>2036651.858440446</v>
      </c>
      <c r="U14" s="55">
        <f>SUM(G14:T14)</f>
        <v>20316314.647528559</v>
      </c>
    </row>
    <row r="15" spans="2:29">
      <c r="B15" s="320" t="s">
        <v>225</v>
      </c>
      <c r="C15" s="76">
        <f>INDEX('Incremental Rev Req'!$R$9:$V$24,MATCH(B15,'Incremental Rev Req'!$R$9:$R$24,0),MATCH(Summary!$D$3,'Incremental Rev Req'!$R$9:$V$9,0))</f>
        <v>1301245.5406250982</v>
      </c>
      <c r="D15" s="187">
        <f>INDEX('Incremental Rev Req'!$R$101:$V$116,MATCH(B15,'Incremental Rev Req'!$R$101:$R$116,0),MATCH(Summary!$D$3,'Incremental Rev Req'!$R$101:$V$101,0))</f>
        <v>1352447.050267647</v>
      </c>
      <c r="F15" s="199"/>
      <c r="G15" s="331"/>
      <c r="H15" s="331"/>
      <c r="I15" s="331"/>
      <c r="J15" s="321"/>
      <c r="AA15" s="5"/>
      <c r="AB15" s="332" t="s">
        <v>446</v>
      </c>
      <c r="AC15" s="332" t="s">
        <v>519</v>
      </c>
    </row>
    <row r="16" spans="2:29">
      <c r="B16" s="320" t="s">
        <v>282</v>
      </c>
      <c r="C16" s="76">
        <f>INDEX('Incremental Rev Req'!$R$9:$V$24,MATCH(B16,'Incremental Rev Req'!$R$9:$R$24,0),MATCH(Summary!$D$3,'Incremental Rev Req'!$R$9:$V$9,0))</f>
        <v>223582.8734707309</v>
      </c>
      <c r="D16" s="187">
        <f>INDEX('Incremental Rev Req'!$R$101:$V$116,MATCH(B16,'Incremental Rev Req'!$R$101:$R$116,0),MATCH(Summary!$D$3,'Incremental Rev Req'!$R$101:$V$101,0))</f>
        <v>223582.8734707309</v>
      </c>
      <c r="U16" s="515" t="s">
        <v>446</v>
      </c>
      <c r="V16" s="516"/>
      <c r="W16" s="515" t="s">
        <v>519</v>
      </c>
      <c r="X16" s="516"/>
      <c r="AA16" s="72"/>
      <c r="AB16" s="55"/>
      <c r="AC16" s="55"/>
    </row>
    <row r="17" spans="2:40">
      <c r="B17" s="124" t="s">
        <v>217</v>
      </c>
      <c r="C17" s="76">
        <f>INDEX('Incremental Rev Req'!$R$9:$V$24,MATCH(B17,'Incremental Rev Req'!$R$9:$R$24,0),MATCH(Summary!$D$3,'Incremental Rev Req'!$R$9:$V$9,0))</f>
        <v>1710924.6690438676</v>
      </c>
      <c r="D17" s="187">
        <f>INDEX('Incremental Rev Req'!$R$101:$V$116,MATCH(B17,'Incremental Rev Req'!$R$101:$R$116,0),MATCH(Summary!$D$3,'Incremental Rev Req'!$R$101:$V$101,0))</f>
        <v>2036651.858440446</v>
      </c>
      <c r="F17" s="321"/>
      <c r="G17" s="521" t="s">
        <v>521</v>
      </c>
      <c r="H17" s="521"/>
      <c r="I17" s="521"/>
      <c r="J17" s="521"/>
      <c r="K17" s="521"/>
      <c r="L17" s="521"/>
      <c r="M17" s="521"/>
      <c r="N17" s="521"/>
      <c r="O17" s="521"/>
      <c r="P17" s="521"/>
      <c r="Q17" s="521"/>
      <c r="R17" s="521"/>
      <c r="S17" s="521"/>
      <c r="T17" s="519"/>
      <c r="U17" s="518" t="s">
        <v>522</v>
      </c>
      <c r="V17" s="519"/>
      <c r="W17" s="518" t="s">
        <v>522</v>
      </c>
      <c r="X17" s="519"/>
      <c r="AA17" s="72"/>
      <c r="AB17" s="73"/>
      <c r="AC17" s="73"/>
    </row>
    <row r="18" spans="2:40" ht="31.5" customHeight="1">
      <c r="B18" s="320" t="s">
        <v>170</v>
      </c>
      <c r="C18" s="188">
        <f>SUM(C4:C17)</f>
        <v>19895174.318745676</v>
      </c>
      <c r="D18" s="188">
        <f>SUM(D4:D17)</f>
        <v>20316314.647528559</v>
      </c>
      <c r="E18" s="321"/>
      <c r="G18" s="323" t="s">
        <v>233</v>
      </c>
      <c r="H18" s="322" t="s">
        <v>214</v>
      </c>
      <c r="I18" s="322" t="s">
        <v>259</v>
      </c>
      <c r="J18" s="322" t="s">
        <v>515</v>
      </c>
      <c r="K18" s="322" t="s">
        <v>248</v>
      </c>
      <c r="L18" s="322" t="s">
        <v>421</v>
      </c>
      <c r="M18" s="322" t="s">
        <v>243</v>
      </c>
      <c r="N18" s="322" t="s">
        <v>242</v>
      </c>
      <c r="O18" s="322" t="s">
        <v>425</v>
      </c>
      <c r="P18" s="322" t="s">
        <v>516</v>
      </c>
      <c r="Q18" s="323" t="s">
        <v>402</v>
      </c>
      <c r="R18" s="322" t="s">
        <v>282</v>
      </c>
      <c r="S18" s="323" t="s">
        <v>225</v>
      </c>
      <c r="T18" s="335" t="s">
        <v>217</v>
      </c>
      <c r="U18" s="41" t="s">
        <v>170</v>
      </c>
      <c r="V18" s="41" t="s">
        <v>524</v>
      </c>
      <c r="W18" s="336" t="s">
        <v>170</v>
      </c>
      <c r="X18" s="337" t="s">
        <v>524</v>
      </c>
      <c r="AA18" s="72" t="s">
        <v>525</v>
      </c>
      <c r="AB18" s="55">
        <f>'SAR and RAR'!AB18</f>
        <v>968142.91952427558</v>
      </c>
      <c r="AC18" s="55">
        <f>'SAR and RAR'!AC18</f>
        <v>983728.52708624792</v>
      </c>
    </row>
    <row r="19" spans="2:40">
      <c r="B19" s="6"/>
      <c r="C19" s="187"/>
      <c r="D19" s="5"/>
      <c r="F19" s="5" t="s">
        <v>542</v>
      </c>
      <c r="G19" s="94">
        <f>VLOOKUP(Summary!$D$3,$F$41:$Q$44,G$33,FALSE)</f>
        <v>1</v>
      </c>
      <c r="H19" s="94">
        <f>VLOOKUP(Summary!$D$3,$F$41:$T$44,H$33,FALSE)</f>
        <v>0.27744948825880661</v>
      </c>
      <c r="I19" s="94">
        <f>VLOOKUP(Summary!$D$3,$F$41:$T$44,I$33,FALSE)</f>
        <v>0.27744948825880661</v>
      </c>
      <c r="J19" s="94">
        <f>VLOOKUP(Summary!$D$3,$F$41:$T$44,J$33,FALSE)</f>
        <v>0.27744948825880661</v>
      </c>
      <c r="K19" s="94">
        <f>VLOOKUP(Summary!$D$3,$F$41:$T$44,K$33,FALSE)</f>
        <v>0.27744948825880661</v>
      </c>
      <c r="L19" s="94">
        <f>VLOOKUP(Summary!$D$3,$F$41:$T$44,L$33,FALSE)</f>
        <v>0.27744948825880661</v>
      </c>
      <c r="M19" s="94">
        <f>VLOOKUP(Summary!$D$3,$F$41:$T$44,M$33,FALSE)</f>
        <v>0.27744948825880661</v>
      </c>
      <c r="N19" s="94">
        <f>VLOOKUP(Summary!$D$3,$F$41:$T$44,N$33,FALSE)</f>
        <v>0.27744948825880661</v>
      </c>
      <c r="O19" s="94">
        <f>VLOOKUP(Summary!$D$3,$F$41:$T$44,O$33,FALSE)</f>
        <v>0.27744948825880661</v>
      </c>
      <c r="P19" s="94">
        <f>VLOOKUP(Summary!$D$3,$F$41:$T$44,P$33,FALSE)</f>
        <v>0.27744948825880661</v>
      </c>
      <c r="Q19" s="94">
        <f>VLOOKUP(Summary!$D$3,$F$41:$T$44,Q$33,FALSE)</f>
        <v>0.27744948825880661</v>
      </c>
      <c r="R19" s="94">
        <f>VLOOKUP(Summary!$D$3,$F$41:$T$44,R$33,FALSE)</f>
        <v>0.27744948825880661</v>
      </c>
      <c r="S19" s="94">
        <f>VLOOKUP(Summary!$D$3,$F$41:$T$44,S$33,FALSE)</f>
        <v>-0.12511365232632765</v>
      </c>
      <c r="T19" s="71">
        <f>VLOOKUP(Summary!$D$3,$F$41:$T$44,T$33,FALSE)</f>
        <v>0.27744948825880661</v>
      </c>
      <c r="U19" s="56">
        <f>SUMPRODUCT(G10:T10,G19:T19)</f>
        <v>592315.6062050832</v>
      </c>
      <c r="V19" s="56">
        <f>U19+AB21*H19</f>
        <v>614173.23792552645</v>
      </c>
      <c r="W19" s="74">
        <f>SUMPRODUCT(G13:T13,G19:T19)</f>
        <v>601600.28965424548</v>
      </c>
      <c r="X19" s="75">
        <f>W19+AC21*H19</f>
        <v>623809.79552814155</v>
      </c>
      <c r="AA19" s="72" t="s">
        <v>635</v>
      </c>
      <c r="AB19" s="328">
        <f>VLOOKUP(Summary!$D$3,$F$51:$O$54,10,FALSE)</f>
        <v>5516736.1075789528</v>
      </c>
      <c r="AC19" s="76">
        <f>AB19</f>
        <v>5516736.1075789528</v>
      </c>
    </row>
    <row r="20" spans="2:40">
      <c r="B20" s="6"/>
      <c r="C20" s="6"/>
      <c r="D20" s="5"/>
      <c r="F20" s="5" t="s">
        <v>518</v>
      </c>
      <c r="G20" s="94">
        <f>VLOOKUP(Summary!$D$3,$F$45:$T$48,G$33,FALSE)</f>
        <v>1</v>
      </c>
      <c r="H20" s="94">
        <f>VLOOKUP(Summary!$D$3,$F$45:$T$48,H$33,FALSE)</f>
        <v>0.32886186544742674</v>
      </c>
      <c r="I20" s="94">
        <f>VLOOKUP(Summary!$D$3,$F$45:$T$48,I$33,FALSE)</f>
        <v>0.32886186544742674</v>
      </c>
      <c r="J20" s="94">
        <f>VLOOKUP(Summary!$D$3,$F$45:$T$48,J$33,FALSE)</f>
        <v>0.32886186544742674</v>
      </c>
      <c r="K20" s="94">
        <f>VLOOKUP(Summary!$D$3,$F$45:$T$48,K$33,FALSE)</f>
        <v>0.32886186544742674</v>
      </c>
      <c r="L20" s="94">
        <f>VLOOKUP(Summary!$D$3,$F$45:$T$48,L$33,FALSE)</f>
        <v>0.32886186544742674</v>
      </c>
      <c r="M20" s="94">
        <f>VLOOKUP(Summary!$D$3,$F$45:$T$48,M$33,FALSE)</f>
        <v>0.32886186544742674</v>
      </c>
      <c r="N20" s="94">
        <f>VLOOKUP(Summary!$D$3,$F$45:$T$48,N$33,FALSE)</f>
        <v>0.32886186544742674</v>
      </c>
      <c r="O20" s="94">
        <f>VLOOKUP(Summary!$D$3,$F$45:$T$48,O$33,FALSE)</f>
        <v>0.32886186544742674</v>
      </c>
      <c r="P20" s="94">
        <f>VLOOKUP(Summary!$D$3,$F$45:$T$48,P$33,FALSE)</f>
        <v>0.32886186544742674</v>
      </c>
      <c r="Q20" s="94">
        <f>VLOOKUP(Summary!$D$3,$F$45:$T$48,Q$33,FALSE)</f>
        <v>0.32886186544742674</v>
      </c>
      <c r="R20" s="94">
        <f>VLOOKUP(Summary!$D$3,$F$45:$T$48,R$33,FALSE)</f>
        <v>0.32886186544742674</v>
      </c>
      <c r="S20" s="94">
        <f>VLOOKUP(Summary!$D$3,$F$45:$T$48,S$33,FALSE)</f>
        <v>-0.18596781844616742</v>
      </c>
      <c r="T20" s="71">
        <f>VLOOKUP(Summary!$D$3,$F$45:$T$48,T$33,FALSE)</f>
        <v>0.32886186544742674</v>
      </c>
      <c r="U20" s="56">
        <f>SUMPRODUCT(G11:T11,G20:T20)</f>
        <v>7937082.5421982938</v>
      </c>
      <c r="V20" s="56">
        <f>U20</f>
        <v>7937082.5421982938</v>
      </c>
      <c r="W20" s="74">
        <f>SUMPRODUCT(G14:T14,G20:T20)</f>
        <v>8049219.4793128278</v>
      </c>
      <c r="X20" s="75">
        <f>W20</f>
        <v>8049219.4793128278</v>
      </c>
      <c r="AA20" s="72" t="s">
        <v>527</v>
      </c>
      <c r="AB20" s="328">
        <f>VLOOKUP(Summary!$D$3,$F$55:$O$58,2,FALSE)</f>
        <v>67795755.926224142</v>
      </c>
      <c r="AC20" s="76">
        <f>AB20</f>
        <v>67795755.926224142</v>
      </c>
    </row>
    <row r="21" spans="2:40">
      <c r="B21" s="6"/>
      <c r="C21" s="6"/>
      <c r="D21" s="5"/>
      <c r="G21" s="316"/>
      <c r="H21" s="316"/>
      <c r="I21" s="316"/>
      <c r="J21" s="316"/>
      <c r="K21" s="316"/>
      <c r="L21" s="316"/>
      <c r="M21" s="316"/>
      <c r="N21" s="316"/>
      <c r="O21" s="316"/>
      <c r="P21" s="316"/>
      <c r="Q21" s="316"/>
      <c r="S21" s="316"/>
      <c r="U21" s="5"/>
      <c r="V21" s="56"/>
      <c r="AA21" s="72" t="s">
        <v>636</v>
      </c>
      <c r="AB21" s="55">
        <f>AB18*AB19/AB20</f>
        <v>78780.580413449192</v>
      </c>
      <c r="AC21" s="55">
        <f>AC18*AC19/AC20</f>
        <v>80048.826232394771</v>
      </c>
    </row>
    <row r="22" spans="2:40">
      <c r="B22" s="6"/>
      <c r="C22" s="6"/>
      <c r="D22" s="5"/>
      <c r="F22" s="321" t="str">
        <f>"Notes: Allocation and bundled/unbundled split based on "&amp;Summary!L4&amp;" sales forecast"</f>
        <v>Notes: Allocation and bundled/unbundled split based on 2026 sales forecast</v>
      </c>
      <c r="R22" s="316"/>
      <c r="S22" s="322"/>
      <c r="T22" s="5"/>
      <c r="V22" s="124" t="s">
        <v>637</v>
      </c>
      <c r="W22" s="330">
        <f>P10*P19</f>
        <v>-5690.4268713289957</v>
      </c>
      <c r="X22" s="330">
        <f>P13*P19</f>
        <v>-5690.4268713289957</v>
      </c>
      <c r="Y22" s="338"/>
    </row>
    <row r="23" spans="2:40">
      <c r="B23" s="6"/>
      <c r="C23" s="6"/>
      <c r="E23" s="5"/>
      <c r="F23" s="5"/>
      <c r="G23" s="6">
        <f>G10*G19</f>
        <v>191885.97514563263</v>
      </c>
      <c r="H23" s="6">
        <f t="shared" ref="H23:T23" si="4">H10*H19</f>
        <v>280006.30063308991</v>
      </c>
      <c r="I23" s="6">
        <f t="shared" si="4"/>
        <v>-31.742625730796977</v>
      </c>
      <c r="J23" s="6">
        <f t="shared" si="4"/>
        <v>17145.112532126903</v>
      </c>
      <c r="K23" s="6">
        <f t="shared" si="4"/>
        <v>7953.9451906104741</v>
      </c>
      <c r="L23" s="6">
        <f t="shared" si="4"/>
        <v>48108.145899050149</v>
      </c>
      <c r="M23" s="6">
        <f t="shared" si="4"/>
        <v>409.36995575151371</v>
      </c>
      <c r="N23" s="6">
        <f t="shared" si="4"/>
        <v>34.110718728240911</v>
      </c>
      <c r="O23" s="6">
        <f t="shared" si="4"/>
        <v>7290.8031467101473</v>
      </c>
      <c r="P23" s="6">
        <f>P10*P19</f>
        <v>-5690.4268713289957</v>
      </c>
      <c r="Q23" s="6">
        <f t="shared" si="4"/>
        <v>9066.9390458868129</v>
      </c>
      <c r="R23" s="6">
        <f t="shared" si="4"/>
        <v>6212.8833604549727</v>
      </c>
      <c r="S23" s="6">
        <f t="shared" si="4"/>
        <v>-15150.064039052806</v>
      </c>
      <c r="T23" s="6">
        <f t="shared" si="4"/>
        <v>45074.25411315402</v>
      </c>
      <c r="U23" s="5"/>
      <c r="V23" s="339" t="s">
        <v>530</v>
      </c>
      <c r="W23" s="330">
        <f>P11*P20</f>
        <v>-156300.31672218579</v>
      </c>
      <c r="X23" s="340">
        <f>P14*P20</f>
        <v>-156300.31672218579</v>
      </c>
      <c r="Y23" s="5"/>
    </row>
    <row r="24" spans="2:40" ht="16" thickBot="1">
      <c r="B24" s="6"/>
      <c r="C24" s="6"/>
      <c r="E24" s="41"/>
      <c r="F24" s="41"/>
      <c r="G24" s="341"/>
      <c r="H24" s="41"/>
      <c r="I24" s="41"/>
      <c r="J24" s="41"/>
      <c r="K24" s="41"/>
      <c r="L24" s="41"/>
      <c r="M24" s="41"/>
      <c r="N24" s="41"/>
      <c r="O24" s="41"/>
      <c r="P24" s="41"/>
      <c r="Q24" s="41"/>
      <c r="R24" s="41"/>
      <c r="S24" s="9"/>
      <c r="T24" s="9"/>
      <c r="U24" s="189"/>
      <c r="V24" s="189"/>
      <c r="X24" s="5"/>
      <c r="Y24" s="116"/>
    </row>
    <row r="25" spans="2:40" ht="16" thickBot="1">
      <c r="B25" s="6"/>
      <c r="C25" s="6"/>
      <c r="E25" s="41"/>
      <c r="F25" s="41"/>
      <c r="G25" s="41"/>
      <c r="H25" s="41"/>
      <c r="I25" s="41"/>
      <c r="J25" s="41"/>
      <c r="K25" s="41"/>
      <c r="L25" s="41"/>
      <c r="M25" s="41"/>
      <c r="N25" s="41"/>
      <c r="O25" s="41"/>
      <c r="P25" s="41"/>
      <c r="Q25" s="41"/>
      <c r="R25" s="41"/>
      <c r="S25" s="190"/>
      <c r="T25" s="5"/>
      <c r="U25" s="5"/>
      <c r="V25" s="5"/>
      <c r="X25" s="5"/>
      <c r="Y25" s="342"/>
      <c r="AA25" s="508">
        <v>2025</v>
      </c>
      <c r="AB25" s="509"/>
      <c r="AC25" s="509"/>
      <c r="AD25" s="509"/>
      <c r="AE25" s="509"/>
      <c r="AF25" s="510"/>
      <c r="AI25" s="508">
        <v>2026</v>
      </c>
      <c r="AJ25" s="509"/>
      <c r="AK25" s="509"/>
      <c r="AL25" s="509"/>
      <c r="AM25" s="509"/>
      <c r="AN25" s="510"/>
    </row>
    <row r="26" spans="2:40">
      <c r="B26" s="6"/>
      <c r="C26" s="6"/>
      <c r="D26" s="5"/>
      <c r="E26" s="5"/>
      <c r="F26" s="512" t="s">
        <v>531</v>
      </c>
      <c r="G26" s="513"/>
      <c r="H26" s="513"/>
      <c r="I26" s="513"/>
      <c r="J26" s="513"/>
      <c r="K26" s="514"/>
      <c r="O26" s="5"/>
      <c r="P26" s="512" t="s">
        <v>532</v>
      </c>
      <c r="Q26" s="513"/>
      <c r="R26" s="513"/>
      <c r="S26" s="513"/>
      <c r="T26" s="513"/>
      <c r="U26" s="514"/>
      <c r="V26" s="191"/>
      <c r="Z26" s="5"/>
      <c r="AA26" s="343"/>
      <c r="AB26" s="192">
        <v>500000000</v>
      </c>
      <c r="AC26" s="344"/>
      <c r="AF26" s="344"/>
      <c r="AI26" s="343"/>
      <c r="AJ26" s="192">
        <v>500000000</v>
      </c>
      <c r="AK26" s="344"/>
      <c r="AN26" s="344"/>
    </row>
    <row r="27" spans="2:40" ht="46.5">
      <c r="B27" s="6"/>
      <c r="C27" s="6"/>
      <c r="D27" s="5"/>
      <c r="E27" s="5"/>
      <c r="F27" s="322" t="str">
        <f>Summary!D3&amp;" Sales"</f>
        <v>2026 Sales</v>
      </c>
      <c r="G27" s="322" t="str">
        <f>TEXT(Summary!L3,"mm/d/yyyy")&amp;" Avg Rates"</f>
        <v>03/1/2026 Avg Rates</v>
      </c>
      <c r="H27" s="322" t="s">
        <v>533</v>
      </c>
      <c r="I27" s="322" t="s">
        <v>534</v>
      </c>
      <c r="J27" s="322" t="s">
        <v>535</v>
      </c>
      <c r="K27" s="322" t="s">
        <v>536</v>
      </c>
      <c r="O27" s="5"/>
      <c r="P27" s="322" t="str">
        <f>F27</f>
        <v>2026 Sales</v>
      </c>
      <c r="Q27" s="322" t="str">
        <f>G27</f>
        <v>03/1/2026 Avg Rates</v>
      </c>
      <c r="R27" s="322" t="s">
        <v>533</v>
      </c>
      <c r="S27" s="322" t="s">
        <v>534</v>
      </c>
      <c r="T27" s="322" t="s">
        <v>535</v>
      </c>
      <c r="U27" s="322" t="s">
        <v>536</v>
      </c>
      <c r="V27" s="191"/>
      <c r="Z27" s="5"/>
      <c r="AA27" s="347" t="s">
        <v>537</v>
      </c>
      <c r="AB27" s="192">
        <f>(SUMIF('Authorized Rev Req'!L:L, "Distribution (Wildfire)", 'Authorized Rev Req'!H:H)+SUMIF('Authorized Rev Req'!L:L, "WHC", 'Authorized Rev Req'!H:H))*1000</f>
        <v>2216164203.6611958</v>
      </c>
      <c r="AC27" s="344"/>
      <c r="AF27" s="344"/>
      <c r="AI27" s="347" t="s">
        <v>537</v>
      </c>
      <c r="AJ27" s="192">
        <f>('Incremental Rev Req'!T115+'Incremental Rev Req'!T114)*1000</f>
        <v>1621418034.304044</v>
      </c>
      <c r="AK27" s="344"/>
      <c r="AN27" s="344"/>
    </row>
    <row r="28" spans="2:40" ht="16" thickBot="1">
      <c r="B28" s="6"/>
      <c r="C28" s="9"/>
      <c r="D28" s="5"/>
      <c r="E28" s="5" t="s">
        <v>542</v>
      </c>
      <c r="F28" s="98">
        <f>VLOOKUP(Summary!$D$3,$J$51:$K$54,2,FALSE)</f>
        <v>1530615.6099066611</v>
      </c>
      <c r="G28" s="341">
        <f>IF(Summary!$I$3="Y", AB52,AC52 )</f>
        <v>40.73713053702604</v>
      </c>
      <c r="H28" s="9">
        <f>IF(Summary!$I$3="Y",V19/$F$28*100,SUM(V19-W22)/$F$28*100)</f>
        <v>40.125896662126657</v>
      </c>
      <c r="I28" s="9">
        <f>IF(Summary!$I$3="Y",X19/$F$28*100,SUM(X19-X22)/$F$28*100)</f>
        <v>40.755483708034461</v>
      </c>
      <c r="J28" s="112">
        <f>H28/G28-1</f>
        <v>-1.5004342889193722E-2</v>
      </c>
      <c r="K28" s="112">
        <f>I28/G28-1</f>
        <v>4.5052684777924235E-4</v>
      </c>
      <c r="O28" s="5" t="s">
        <v>542</v>
      </c>
      <c r="P28" s="98">
        <f>VLOOKUP(Summary!$D$3,$N$51:$O$54,2,FALSE)</f>
        <v>5516736.1075789528</v>
      </c>
      <c r="Q28" s="341">
        <f>IF(Summary!$I$3="Y", AE52,AF52 )</f>
        <v>34.868791397863305</v>
      </c>
      <c r="R28" s="9">
        <f>IF(Summary!$I$3="Y",(U10+AB21)/P28*100,(U10+AB21-P10)/P28)</f>
        <v>34.252392476114437</v>
      </c>
      <c r="S28" s="9">
        <f>IF(Summary!$I$3="Y",(U13+AC21)/P28*100,(U13+AC21-P11)/P28)</f>
        <v>35.007293970668755</v>
      </c>
      <c r="T28" s="112">
        <f>R28/Q28-1</f>
        <v>-1.7677668110591238E-2</v>
      </c>
      <c r="U28" s="112">
        <f>S28/Q28-1</f>
        <v>3.9721070691867144E-3</v>
      </c>
      <c r="V28" s="191"/>
      <c r="X28" s="55"/>
      <c r="AA28" s="349"/>
      <c r="AB28" s="350"/>
      <c r="AC28" s="351"/>
      <c r="AF28" s="344"/>
      <c r="AI28" s="349"/>
      <c r="AJ28" s="350"/>
      <c r="AK28" s="351"/>
      <c r="AN28" s="344"/>
    </row>
    <row r="29" spans="2:40">
      <c r="E29" s="348" t="s">
        <v>518</v>
      </c>
      <c r="F29" s="98">
        <f>VLOOKUP(Summary!$D$3,$J$55:$K$58,2,FALSE)</f>
        <v>24784494.935273737</v>
      </c>
      <c r="G29" s="341">
        <f>IF(Summary!$I$3="Y", AB53,AC53 )</f>
        <v>32.596708001946226</v>
      </c>
      <c r="H29" s="9">
        <f>IF(Summary!$I$3="Y",V20/$F$29*100,SUM(V20-W23)/$F$29*100)</f>
        <v>32.024386871414897</v>
      </c>
      <c r="I29" s="9">
        <f>IF(Summary!$I$3="Y",W20/$F$29*100,SUM(W20-X23)/$F$29*100)</f>
        <v>32.476834812788681</v>
      </c>
      <c r="J29" s="112">
        <f>H29/G29-1</f>
        <v>-1.7557635896764734E-2</v>
      </c>
      <c r="K29" s="112">
        <f>I29/G29-1</f>
        <v>-3.6774630478141335E-3</v>
      </c>
      <c r="O29" s="348" t="s">
        <v>518</v>
      </c>
      <c r="P29" s="98">
        <f>VLOOKUP(Summary!$D$3,$N$55:$O$58,2,FALSE)</f>
        <v>75364454.013400629</v>
      </c>
      <c r="Q29" s="341">
        <f>IF(Summary!$I$3="Y", AE53,AF53 )</f>
        <v>26.65073540105055</v>
      </c>
      <c r="R29" s="9">
        <f>IF(Summary!$I$3="Y",(U11+AB21)/P29*100,(U11+AB21-P11)/P29)</f>
        <v>26.50315080317246</v>
      </c>
      <c r="S29" s="9">
        <f>IF(Summary!$I$3="Y",(U14+AC21)/P29*100,(U14+AC21-P11)/P29)</f>
        <v>27.063638608904743</v>
      </c>
      <c r="T29" s="112">
        <f>R29/Q29-1</f>
        <v>-5.5377307851802726E-3</v>
      </c>
      <c r="U29" s="112">
        <f>S29/Q29-1</f>
        <v>1.5493126236130639E-2</v>
      </c>
      <c r="V29" s="194"/>
      <c r="AA29" s="353"/>
      <c r="AB29" s="354" t="s">
        <v>214</v>
      </c>
      <c r="AC29" s="346" t="s">
        <v>538</v>
      </c>
      <c r="AE29" s="355" t="s">
        <v>539</v>
      </c>
      <c r="AF29" s="356" t="s">
        <v>540</v>
      </c>
      <c r="AI29" s="353"/>
      <c r="AJ29" s="354" t="s">
        <v>214</v>
      </c>
      <c r="AK29" s="346" t="s">
        <v>538</v>
      </c>
      <c r="AM29" s="355" t="s">
        <v>539</v>
      </c>
      <c r="AN29" s="356" t="s">
        <v>540</v>
      </c>
    </row>
    <row r="30" spans="2:40">
      <c r="Q30" s="5"/>
      <c r="R30" s="5"/>
      <c r="S30" s="190"/>
      <c r="T30" s="5"/>
      <c r="U30" s="190"/>
      <c r="V30" s="191"/>
      <c r="AA30" s="357" t="s">
        <v>541</v>
      </c>
      <c r="AB30" s="183">
        <f>'SAR and RAR'!AB30</f>
        <v>0.47635912890533372</v>
      </c>
      <c r="AC30" s="184">
        <f>'SAR and RAR'!AC30</f>
        <v>0.37373788819706122</v>
      </c>
      <c r="AE30" s="451">
        <f>AVERAGE(AB31:AC31)</f>
        <v>9.8991114183677578E-2</v>
      </c>
      <c r="AF30" s="184">
        <f>(0.125*AB31)+(0.875*AC31)</f>
        <v>9.3777929365545493E-2</v>
      </c>
      <c r="AI30" s="357" t="s">
        <v>541</v>
      </c>
      <c r="AJ30" s="183">
        <f>'SAR and RAR'!AJ30</f>
        <v>0.47635912890533372</v>
      </c>
      <c r="AK30" s="184">
        <f>'SAR and RAR'!AK30</f>
        <v>0.37373788819706122</v>
      </c>
      <c r="AM30" s="451">
        <f>AVERAGE(AJ31:AK31)</f>
        <v>9.8991114183677578E-2</v>
      </c>
      <c r="AN30" s="184">
        <f>(0.125*AJ31)+(0.875*AK31)</f>
        <v>9.3777929365545493E-2</v>
      </c>
    </row>
    <row r="31" spans="2:40">
      <c r="Q31" s="5"/>
      <c r="R31" s="5"/>
      <c r="S31" s="190"/>
      <c r="T31" s="5"/>
      <c r="U31" s="190"/>
      <c r="V31" s="194"/>
      <c r="AA31" s="357" t="s">
        <v>542</v>
      </c>
      <c r="AB31" s="183">
        <f>'SAR and RAR'!AB31</f>
        <v>0.10594202727452035</v>
      </c>
      <c r="AC31" s="184">
        <f>'SAR and RAR'!AC31</f>
        <v>9.2040201092834811E-2</v>
      </c>
      <c r="AF31" s="344"/>
      <c r="AI31" s="357" t="s">
        <v>542</v>
      </c>
      <c r="AJ31" s="183">
        <f>'SAR and RAR'!AJ31</f>
        <v>0.10594202727452035</v>
      </c>
      <c r="AK31" s="184">
        <f>'SAR and RAR'!AK31</f>
        <v>9.2040201092834811E-2</v>
      </c>
      <c r="AN31" s="344"/>
    </row>
    <row r="32" spans="2:40">
      <c r="B32" s="6"/>
      <c r="C32" s="6"/>
      <c r="D32" s="5"/>
      <c r="E32" s="5"/>
      <c r="F32" s="360"/>
      <c r="G32" s="360"/>
      <c r="H32" s="360"/>
      <c r="I32" s="41"/>
      <c r="J32" s="41"/>
      <c r="K32" s="41"/>
      <c r="L32" s="5"/>
      <c r="M32" s="5"/>
      <c r="N32" s="5"/>
      <c r="O32" s="5"/>
      <c r="P32" s="5"/>
      <c r="Q32" s="5"/>
      <c r="R32" s="5"/>
      <c r="S32" s="190"/>
      <c r="T32" s="5"/>
      <c r="U32" s="190"/>
      <c r="V32" s="194"/>
      <c r="W32" s="194"/>
      <c r="X32" s="191"/>
      <c r="AA32" s="357" t="s">
        <v>543</v>
      </c>
      <c r="AB32" s="183">
        <f>'SAR and RAR'!AB32</f>
        <v>3.3281626839025656E-2</v>
      </c>
      <c r="AC32" s="184">
        <f>'SAR and RAR'!AC32</f>
        <v>2.9394853387822543E-2</v>
      </c>
      <c r="AF32" s="344"/>
      <c r="AI32" s="357" t="s">
        <v>543</v>
      </c>
      <c r="AJ32" s="183">
        <f>'SAR and RAR'!AJ32</f>
        <v>3.3281626839025656E-2</v>
      </c>
      <c r="AK32" s="184">
        <f>'SAR and RAR'!AK32</f>
        <v>2.9394853387822543E-2</v>
      </c>
      <c r="AN32" s="344"/>
    </row>
    <row r="33" spans="2:40">
      <c r="B33" s="6"/>
      <c r="C33" s="6"/>
      <c r="D33" s="5"/>
      <c r="E33" s="41"/>
      <c r="F33" s="340"/>
      <c r="G33" s="322">
        <v>2</v>
      </c>
      <c r="H33" s="322">
        <v>3</v>
      </c>
      <c r="I33" s="41">
        <v>4</v>
      </c>
      <c r="J33" s="41">
        <v>5</v>
      </c>
      <c r="K33" s="41">
        <v>6</v>
      </c>
      <c r="L33" s="322">
        <v>7</v>
      </c>
      <c r="M33" s="322">
        <v>8</v>
      </c>
      <c r="N33" s="322">
        <v>9</v>
      </c>
      <c r="O33" s="322">
        <v>10</v>
      </c>
      <c r="P33" s="322">
        <v>11</v>
      </c>
      <c r="Q33" s="322">
        <v>12</v>
      </c>
      <c r="R33" s="322">
        <v>13</v>
      </c>
      <c r="S33" s="322">
        <v>14</v>
      </c>
      <c r="T33" s="5">
        <v>15</v>
      </c>
      <c r="U33" s="190"/>
      <c r="V33" s="191"/>
      <c r="W33" s="194"/>
      <c r="X33" s="191"/>
      <c r="AA33" s="357" t="s">
        <v>544</v>
      </c>
      <c r="AB33" s="183">
        <f>'SAR and RAR'!AB33</f>
        <v>8.8088789773212287E-2</v>
      </c>
      <c r="AC33" s="184">
        <f>'SAR and RAR'!AC33</f>
        <v>0.10147953048583333</v>
      </c>
      <c r="AF33" s="344"/>
      <c r="AI33" s="357" t="s">
        <v>544</v>
      </c>
      <c r="AJ33" s="183">
        <f>'SAR and RAR'!AJ33</f>
        <v>8.8088789773212287E-2</v>
      </c>
      <c r="AK33" s="184">
        <f>'SAR and RAR'!AK33</f>
        <v>0.10147953048583333</v>
      </c>
      <c r="AN33" s="344"/>
    </row>
    <row r="34" spans="2:40">
      <c r="B34" s="6"/>
      <c r="C34" s="6"/>
      <c r="D34" s="321"/>
      <c r="E34" s="327"/>
      <c r="F34" s="327" t="s">
        <v>638</v>
      </c>
      <c r="G34" s="322" t="s">
        <v>233</v>
      </c>
      <c r="H34" s="322" t="s">
        <v>214</v>
      </c>
      <c r="I34" s="322" t="s">
        <v>259</v>
      </c>
      <c r="J34" s="322" t="s">
        <v>515</v>
      </c>
      <c r="K34" s="322" t="s">
        <v>248</v>
      </c>
      <c r="L34" s="322" t="s">
        <v>421</v>
      </c>
      <c r="M34" s="322" t="s">
        <v>243</v>
      </c>
      <c r="N34" s="322" t="s">
        <v>242</v>
      </c>
      <c r="O34" s="322" t="s">
        <v>425</v>
      </c>
      <c r="P34" s="322" t="s">
        <v>516</v>
      </c>
      <c r="Q34" s="41" t="s">
        <v>402</v>
      </c>
      <c r="R34" s="322" t="s">
        <v>282</v>
      </c>
      <c r="S34" s="322" t="s">
        <v>225</v>
      </c>
      <c r="T34" s="452" t="s">
        <v>217</v>
      </c>
      <c r="U34" s="5"/>
      <c r="V34" s="189"/>
      <c r="W34" s="194"/>
      <c r="AA34" s="357" t="s">
        <v>546</v>
      </c>
      <c r="AB34" s="183">
        <f>'SAR and RAR'!AB34</f>
        <v>0.14614496563460946</v>
      </c>
      <c r="AC34" s="184">
        <f>'SAR and RAR'!AC34</f>
        <v>0.18401660606871539</v>
      </c>
      <c r="AF34" s="344"/>
      <c r="AI34" s="357" t="s">
        <v>546</v>
      </c>
      <c r="AJ34" s="183">
        <f>'SAR and RAR'!AJ34</f>
        <v>0.14614496563460946</v>
      </c>
      <c r="AK34" s="184">
        <f>'SAR and RAR'!AK34</f>
        <v>0.18401660606871539</v>
      </c>
      <c r="AN34" s="344"/>
    </row>
    <row r="35" spans="2:40">
      <c r="E35" s="5"/>
      <c r="F35" s="361">
        <f>'SAR and RAR'!F35</f>
        <v>2026</v>
      </c>
      <c r="G35" s="62">
        <v>6.2387176715901604E-2</v>
      </c>
      <c r="H35" s="62">
        <v>0.10594202727452035</v>
      </c>
      <c r="I35" s="62">
        <v>7.1285345053628824E-2</v>
      </c>
      <c r="J35" s="62">
        <v>8.3024257458251927E-2</v>
      </c>
      <c r="K35" s="62">
        <v>6.6495184409869068E-2</v>
      </c>
      <c r="L35" s="62">
        <v>6.7202128263150501E-2</v>
      </c>
      <c r="M35" s="62">
        <v>7.3803059041629981E-2</v>
      </c>
      <c r="N35" s="62">
        <v>7.2949875113434787E-2</v>
      </c>
      <c r="O35" s="62">
        <v>7.395335385981644E-2</v>
      </c>
      <c r="P35" s="62">
        <v>4.3153356023048754E-2</v>
      </c>
      <c r="Q35" s="62">
        <v>8.1326918619140431E-2</v>
      </c>
      <c r="R35" s="62">
        <v>0.10015456264895582</v>
      </c>
      <c r="S35" s="62">
        <v>9.305731383769536E-2</v>
      </c>
      <c r="T35" s="62">
        <f>((AB26*AE30)+((AB27-AB26)*(AF30)))/AB27</f>
        <v>9.4954102324552689E-2</v>
      </c>
      <c r="U35" s="5"/>
      <c r="V35" s="5"/>
      <c r="W35" s="194"/>
      <c r="AA35" s="357" t="s">
        <v>547</v>
      </c>
      <c r="AB35" s="183">
        <f>'SAR and RAR'!AB35</f>
        <v>3.4254682883420378E-3</v>
      </c>
      <c r="AC35" s="184">
        <f>'SAR and RAR'!AC35</f>
        <v>3.9605516879272504E-3</v>
      </c>
      <c r="AF35" s="344"/>
      <c r="AI35" s="357" t="s">
        <v>547</v>
      </c>
      <c r="AJ35" s="183">
        <f>'SAR and RAR'!AJ35</f>
        <v>3.4254682883420378E-3</v>
      </c>
      <c r="AK35" s="184">
        <f>'SAR and RAR'!AK35</f>
        <v>3.9605516879272504E-3</v>
      </c>
      <c r="AN35" s="344"/>
    </row>
    <row r="36" spans="2:40">
      <c r="E36" s="5"/>
      <c r="F36" s="361">
        <f>F35+1</f>
        <v>2027</v>
      </c>
      <c r="G36" s="62">
        <f>G35</f>
        <v>6.2387176715901604E-2</v>
      </c>
      <c r="H36" s="62">
        <f>H35</f>
        <v>0.10594202727452035</v>
      </c>
      <c r="I36" s="62">
        <f>I35</f>
        <v>7.1285345053628824E-2</v>
      </c>
      <c r="J36" s="62">
        <f>J35</f>
        <v>8.3024257458251927E-2</v>
      </c>
      <c r="K36" s="62">
        <f t="shared" ref="K36:Q36" si="5">K35</f>
        <v>6.6495184409869068E-2</v>
      </c>
      <c r="L36" s="62">
        <f t="shared" si="5"/>
        <v>6.7202128263150501E-2</v>
      </c>
      <c r="M36" s="62">
        <f t="shared" si="5"/>
        <v>7.3803059041629981E-2</v>
      </c>
      <c r="N36" s="62">
        <f t="shared" si="5"/>
        <v>7.2949875113434787E-2</v>
      </c>
      <c r="O36" s="62">
        <f t="shared" si="5"/>
        <v>7.395335385981644E-2</v>
      </c>
      <c r="P36" s="62">
        <f t="shared" si="5"/>
        <v>4.3153356023048754E-2</v>
      </c>
      <c r="Q36" s="62">
        <f t="shared" si="5"/>
        <v>8.1326918619140431E-2</v>
      </c>
      <c r="R36" s="62">
        <f t="shared" ref="R36" si="6">R35</f>
        <v>0.10015456264895582</v>
      </c>
      <c r="S36" s="62">
        <f t="shared" ref="S36" si="7">S35</f>
        <v>9.305731383769536E-2</v>
      </c>
      <c r="T36" s="62">
        <f>((AJ26*AM30)+((AJ27-AJ26)*(AN30)))/AJ27</f>
        <v>9.5385529844828967E-2</v>
      </c>
      <c r="U36" s="190"/>
      <c r="V36" s="5"/>
      <c r="W36" s="114"/>
      <c r="X36" s="5"/>
      <c r="AA36" s="357" t="s">
        <v>548</v>
      </c>
      <c r="AB36" s="183">
        <f>'SAR and RAR'!AB36</f>
        <v>1.3888877142098327E-3</v>
      </c>
      <c r="AC36" s="184">
        <f>'SAR and RAR'!AC36</f>
        <v>3.8893033581186244E-3</v>
      </c>
      <c r="AF36" s="344"/>
      <c r="AI36" s="357" t="s">
        <v>548</v>
      </c>
      <c r="AJ36" s="183">
        <f>'SAR and RAR'!AJ36</f>
        <v>1.3888877142098327E-3</v>
      </c>
      <c r="AK36" s="184">
        <f>'SAR and RAR'!AK36</f>
        <v>3.8893033581186244E-3</v>
      </c>
      <c r="AN36" s="344"/>
    </row>
    <row r="37" spans="2:40">
      <c r="B37" s="6"/>
      <c r="C37" s="6"/>
      <c r="E37" s="5"/>
      <c r="F37" s="361">
        <f>F36+1</f>
        <v>2028</v>
      </c>
      <c r="G37" s="62">
        <f>G36</f>
        <v>6.2387176715901604E-2</v>
      </c>
      <c r="H37" s="62">
        <f t="shared" ref="H37:T38" si="8">H36</f>
        <v>0.10594202727452035</v>
      </c>
      <c r="I37" s="62">
        <f t="shared" si="8"/>
        <v>7.1285345053628824E-2</v>
      </c>
      <c r="J37" s="62">
        <f t="shared" si="8"/>
        <v>8.3024257458251927E-2</v>
      </c>
      <c r="K37" s="62">
        <f t="shared" si="8"/>
        <v>6.6495184409869068E-2</v>
      </c>
      <c r="L37" s="62">
        <f t="shared" si="8"/>
        <v>6.7202128263150501E-2</v>
      </c>
      <c r="M37" s="62">
        <f t="shared" si="8"/>
        <v>7.3803059041629981E-2</v>
      </c>
      <c r="N37" s="62">
        <f t="shared" si="8"/>
        <v>7.2949875113434787E-2</v>
      </c>
      <c r="O37" s="62">
        <f t="shared" si="8"/>
        <v>7.395335385981644E-2</v>
      </c>
      <c r="P37" s="62">
        <f t="shared" si="8"/>
        <v>4.3153356023048754E-2</v>
      </c>
      <c r="Q37" s="62">
        <f t="shared" si="8"/>
        <v>8.1326918619140431E-2</v>
      </c>
      <c r="R37" s="62">
        <f t="shared" si="8"/>
        <v>0.10015456264895582</v>
      </c>
      <c r="S37" s="62">
        <f t="shared" si="8"/>
        <v>9.305731383769536E-2</v>
      </c>
      <c r="T37" s="62">
        <f t="shared" si="8"/>
        <v>9.5385529844828967E-2</v>
      </c>
      <c r="U37" s="190"/>
      <c r="V37" s="194"/>
      <c r="W37" s="196"/>
      <c r="X37" s="191"/>
      <c r="AA37" s="357" t="s">
        <v>549</v>
      </c>
      <c r="AB37" s="183">
        <f>'SAR and RAR'!AB37</f>
        <v>8.8543538034994873E-2</v>
      </c>
      <c r="AC37" s="184">
        <f>'SAR and RAR'!AC37</f>
        <v>8.0695912474960468E-2</v>
      </c>
      <c r="AF37" s="344"/>
      <c r="AI37" s="357" t="s">
        <v>549</v>
      </c>
      <c r="AJ37" s="183">
        <f>'SAR and RAR'!AJ37</f>
        <v>8.8543538034994873E-2</v>
      </c>
      <c r="AK37" s="184">
        <f>'SAR and RAR'!AK37</f>
        <v>8.0695912474960468E-2</v>
      </c>
      <c r="AN37" s="344"/>
    </row>
    <row r="38" spans="2:40">
      <c r="B38" s="6"/>
      <c r="C38" s="6"/>
      <c r="E38" s="5"/>
      <c r="F38" s="361">
        <f>F37+1</f>
        <v>2029</v>
      </c>
      <c r="G38" s="62">
        <f>G37</f>
        <v>6.2387176715901604E-2</v>
      </c>
      <c r="H38" s="62">
        <f t="shared" si="8"/>
        <v>0.10594202727452035</v>
      </c>
      <c r="I38" s="62">
        <f t="shared" si="8"/>
        <v>7.1285345053628824E-2</v>
      </c>
      <c r="J38" s="62">
        <f t="shared" si="8"/>
        <v>8.3024257458251927E-2</v>
      </c>
      <c r="K38" s="62">
        <f t="shared" si="8"/>
        <v>6.6495184409869068E-2</v>
      </c>
      <c r="L38" s="62">
        <f t="shared" si="8"/>
        <v>6.7202128263150501E-2</v>
      </c>
      <c r="M38" s="62">
        <f t="shared" si="8"/>
        <v>7.3803059041629981E-2</v>
      </c>
      <c r="N38" s="62">
        <f t="shared" si="8"/>
        <v>7.2949875113434787E-2</v>
      </c>
      <c r="O38" s="62">
        <f t="shared" si="8"/>
        <v>7.395335385981644E-2</v>
      </c>
      <c r="P38" s="62">
        <f t="shared" si="8"/>
        <v>4.3153356023048754E-2</v>
      </c>
      <c r="Q38" s="62">
        <f t="shared" si="8"/>
        <v>8.1326918619140431E-2</v>
      </c>
      <c r="R38" s="62">
        <f t="shared" si="8"/>
        <v>0.10015456264895582</v>
      </c>
      <c r="S38" s="62">
        <f t="shared" si="8"/>
        <v>9.305731383769536E-2</v>
      </c>
      <c r="T38" s="62">
        <f t="shared" si="8"/>
        <v>9.5385529844828967E-2</v>
      </c>
      <c r="U38" s="190"/>
      <c r="V38" s="194"/>
      <c r="W38" s="191"/>
      <c r="X38" s="191"/>
      <c r="AA38" s="357" t="s">
        <v>550</v>
      </c>
      <c r="AB38" s="183">
        <f>'SAR and RAR'!AB38</f>
        <v>3.9672541409688462E-2</v>
      </c>
      <c r="AC38" s="184">
        <f>'SAR and RAR'!AC38</f>
        <v>6.7877531643634414E-2</v>
      </c>
      <c r="AF38" s="344"/>
      <c r="AI38" s="357" t="s">
        <v>550</v>
      </c>
      <c r="AJ38" s="183">
        <f>'SAR and RAR'!AJ38</f>
        <v>3.9672541409688462E-2</v>
      </c>
      <c r="AK38" s="184">
        <f>'SAR and RAR'!AK38</f>
        <v>6.7877531643634414E-2</v>
      </c>
      <c r="AN38" s="344"/>
    </row>
    <row r="39" spans="2:40">
      <c r="B39" s="6"/>
      <c r="C39" s="6"/>
      <c r="E39" s="5"/>
      <c r="F39" s="7"/>
      <c r="G39" s="8"/>
      <c r="H39" s="113"/>
      <c r="I39" s="41"/>
      <c r="J39" s="41"/>
      <c r="K39" s="41"/>
      <c r="L39" s="5"/>
      <c r="M39" s="5"/>
      <c r="N39" s="5"/>
      <c r="O39" s="5"/>
      <c r="P39" s="5"/>
      <c r="Q39" s="5"/>
      <c r="S39" s="5"/>
      <c r="T39" s="5"/>
      <c r="U39" s="190"/>
      <c r="V39" s="194"/>
      <c r="W39" s="196"/>
      <c r="X39" s="194"/>
      <c r="AA39" s="357" t="s">
        <v>551</v>
      </c>
      <c r="AB39" s="183">
        <f>'SAR and RAR'!AB39</f>
        <v>1.5683267100265449E-2</v>
      </c>
      <c r="AC39" s="184">
        <f>'SAR and RAR'!AC39</f>
        <v>2.2712125739292564E-2</v>
      </c>
      <c r="AD39" s="357"/>
      <c r="AF39" s="344"/>
      <c r="AI39" s="357" t="s">
        <v>551</v>
      </c>
      <c r="AJ39" s="183">
        <f>'SAR and RAR'!AJ39</f>
        <v>1.5683267100265449E-2</v>
      </c>
      <c r="AK39" s="184">
        <f>'SAR and RAR'!AK39</f>
        <v>2.2712125739292564E-2</v>
      </c>
      <c r="AN39" s="344"/>
    </row>
    <row r="40" spans="2:40" ht="16" thickBot="1">
      <c r="B40" s="6"/>
      <c r="C40" s="6"/>
      <c r="D40" s="5"/>
      <c r="E40" s="5"/>
      <c r="F40" s="327" t="s">
        <v>521</v>
      </c>
      <c r="G40" s="41"/>
      <c r="H40" s="41"/>
      <c r="I40" s="41"/>
      <c r="J40" s="41"/>
      <c r="K40" s="41"/>
      <c r="L40" s="5"/>
      <c r="M40" s="5"/>
      <c r="N40" s="5"/>
      <c r="O40" s="5"/>
      <c r="P40" s="5"/>
      <c r="Q40" s="5"/>
      <c r="S40" s="5"/>
      <c r="T40" s="5"/>
      <c r="U40" s="190"/>
      <c r="V40" s="194"/>
      <c r="W40" s="194"/>
      <c r="X40" s="191"/>
      <c r="AA40" s="349" t="s">
        <v>552</v>
      </c>
      <c r="AB40" s="185">
        <f>'SAR and RAR'!AB40</f>
        <v>1.4697590257974668E-3</v>
      </c>
      <c r="AC40" s="186">
        <f>'SAR and RAR'!AC40</f>
        <v>4.0195495863799224E-2</v>
      </c>
      <c r="AD40" s="349"/>
      <c r="AE40" s="350"/>
      <c r="AF40" s="350"/>
      <c r="AG40" s="357"/>
      <c r="AI40" s="349" t="s">
        <v>552</v>
      </c>
      <c r="AJ40" s="185">
        <f>'SAR and RAR'!AJ40</f>
        <v>1.4697590257974668E-3</v>
      </c>
      <c r="AK40" s="186">
        <f>'SAR and RAR'!AK40</f>
        <v>4.0195495863799224E-2</v>
      </c>
      <c r="AL40" s="350"/>
      <c r="AM40" s="350"/>
      <c r="AN40" s="351"/>
    </row>
    <row r="41" spans="2:40">
      <c r="B41" s="6"/>
      <c r="C41" s="6"/>
      <c r="D41" s="5"/>
      <c r="E41" s="5" t="s">
        <v>542</v>
      </c>
      <c r="F41" s="361">
        <f>F35</f>
        <v>2026</v>
      </c>
      <c r="G41" s="62">
        <v>1</v>
      </c>
      <c r="H41" s="62">
        <f t="shared" ref="H41:T41" si="9">$K51/$O51</f>
        <v>0.27744948825880661</v>
      </c>
      <c r="I41" s="62">
        <f t="shared" si="9"/>
        <v>0.27744948825880661</v>
      </c>
      <c r="J41" s="62">
        <f t="shared" si="9"/>
        <v>0.27744948825880661</v>
      </c>
      <c r="K41" s="62">
        <f t="shared" si="9"/>
        <v>0.27744948825880661</v>
      </c>
      <c r="L41" s="62">
        <f t="shared" si="9"/>
        <v>0.27744948825880661</v>
      </c>
      <c r="M41" s="62">
        <f t="shared" si="9"/>
        <v>0.27744948825880661</v>
      </c>
      <c r="N41" s="62">
        <f t="shared" si="9"/>
        <v>0.27744948825880661</v>
      </c>
      <c r="O41" s="62">
        <f t="shared" si="9"/>
        <v>0.27744948825880661</v>
      </c>
      <c r="P41" s="62">
        <f t="shared" si="9"/>
        <v>0.27744948825880661</v>
      </c>
      <c r="Q41" s="62">
        <f t="shared" si="9"/>
        <v>0.27744948825880661</v>
      </c>
      <c r="R41" s="62">
        <f>$K51/$O51</f>
        <v>0.27744948825880661</v>
      </c>
      <c r="S41" s="62">
        <v>-0.12511365232632765</v>
      </c>
      <c r="T41" s="62">
        <f t="shared" si="9"/>
        <v>0.27744948825880661</v>
      </c>
      <c r="U41" s="190"/>
      <c r="V41" s="194"/>
      <c r="W41" s="189"/>
      <c r="X41" s="189"/>
    </row>
    <row r="42" spans="2:40">
      <c r="B42" s="6"/>
      <c r="C42" s="6"/>
      <c r="D42" s="5"/>
      <c r="E42" s="5" t="s">
        <v>542</v>
      </c>
      <c r="F42" s="361">
        <f>F36</f>
        <v>2027</v>
      </c>
      <c r="G42" s="62">
        <v>1</v>
      </c>
      <c r="H42" s="62">
        <f t="shared" ref="H42:T42" si="10">$K52/$O52</f>
        <v>0.27744948825880661</v>
      </c>
      <c r="I42" s="62">
        <f t="shared" si="10"/>
        <v>0.27744948825880661</v>
      </c>
      <c r="J42" s="62">
        <f t="shared" si="10"/>
        <v>0.27744948825880661</v>
      </c>
      <c r="K42" s="62">
        <f t="shared" si="10"/>
        <v>0.27744948825880661</v>
      </c>
      <c r="L42" s="62">
        <f t="shared" si="10"/>
        <v>0.27744948825880661</v>
      </c>
      <c r="M42" s="62">
        <f t="shared" si="10"/>
        <v>0.27744948825880661</v>
      </c>
      <c r="N42" s="62">
        <f t="shared" si="10"/>
        <v>0.27744948825880661</v>
      </c>
      <c r="O42" s="62">
        <f t="shared" si="10"/>
        <v>0.27744948825880661</v>
      </c>
      <c r="P42" s="62">
        <f t="shared" si="10"/>
        <v>0.27744948825880661</v>
      </c>
      <c r="Q42" s="62">
        <f t="shared" si="10"/>
        <v>0.27744948825880661</v>
      </c>
      <c r="R42" s="62">
        <f t="shared" si="10"/>
        <v>0.27744948825880661</v>
      </c>
      <c r="S42" s="62">
        <v>0.23107670361753627</v>
      </c>
      <c r="T42" s="62">
        <f t="shared" si="10"/>
        <v>0.27744948825880661</v>
      </c>
      <c r="U42" s="5"/>
      <c r="V42" s="189"/>
      <c r="X42" s="191"/>
      <c r="AB42" s="364"/>
      <c r="AC42" s="364"/>
    </row>
    <row r="43" spans="2:40">
      <c r="B43" s="6"/>
      <c r="C43" s="6"/>
      <c r="D43" s="5"/>
      <c r="E43" s="5" t="s">
        <v>542</v>
      </c>
      <c r="F43" s="361">
        <f>F37</f>
        <v>2028</v>
      </c>
      <c r="G43" s="62">
        <f t="shared" ref="G43:S43" si="11">G42</f>
        <v>1</v>
      </c>
      <c r="H43" s="62">
        <f t="shared" si="11"/>
        <v>0.27744948825880661</v>
      </c>
      <c r="I43" s="62">
        <f t="shared" si="11"/>
        <v>0.27744948825880661</v>
      </c>
      <c r="J43" s="62">
        <f t="shared" si="11"/>
        <v>0.27744948825880661</v>
      </c>
      <c r="K43" s="62">
        <f t="shared" si="11"/>
        <v>0.27744948825880661</v>
      </c>
      <c r="L43" s="62">
        <f t="shared" si="11"/>
        <v>0.27744948825880661</v>
      </c>
      <c r="M43" s="62">
        <f t="shared" si="11"/>
        <v>0.27744948825880661</v>
      </c>
      <c r="N43" s="62">
        <f t="shared" si="11"/>
        <v>0.27744948825880661</v>
      </c>
      <c r="O43" s="62">
        <f t="shared" si="11"/>
        <v>0.27744948825880661</v>
      </c>
      <c r="P43" s="62">
        <f t="shared" si="11"/>
        <v>0.27744948825880661</v>
      </c>
      <c r="Q43" s="62">
        <f t="shared" si="11"/>
        <v>0.27744948825880661</v>
      </c>
      <c r="R43" s="62">
        <f t="shared" si="11"/>
        <v>0.27744948825880661</v>
      </c>
      <c r="S43" s="62">
        <f t="shared" si="11"/>
        <v>0.23107670361753627</v>
      </c>
      <c r="T43" s="62">
        <f t="shared" ref="T43:T47" si="12">$K53/$O53</f>
        <v>0.27744948825880661</v>
      </c>
      <c r="U43" s="190"/>
      <c r="V43" s="194"/>
      <c r="W43" s="144"/>
      <c r="X43" s="5"/>
      <c r="AB43" s="364"/>
    </row>
    <row r="44" spans="2:40">
      <c r="B44" s="6"/>
      <c r="C44" s="6"/>
      <c r="D44" s="5"/>
      <c r="E44" s="5" t="s">
        <v>542</v>
      </c>
      <c r="F44" s="361">
        <f>F38</f>
        <v>2029</v>
      </c>
      <c r="G44" s="62">
        <f t="shared" ref="G44:R44" si="13">G42</f>
        <v>1</v>
      </c>
      <c r="H44" s="62">
        <f t="shared" si="13"/>
        <v>0.27744948825880661</v>
      </c>
      <c r="I44" s="62">
        <f t="shared" si="13"/>
        <v>0.27744948825880661</v>
      </c>
      <c r="J44" s="62">
        <f t="shared" si="13"/>
        <v>0.27744948825880661</v>
      </c>
      <c r="K44" s="62">
        <f t="shared" si="13"/>
        <v>0.27744948825880661</v>
      </c>
      <c r="L44" s="62">
        <f t="shared" si="13"/>
        <v>0.27744948825880661</v>
      </c>
      <c r="M44" s="62">
        <f t="shared" si="13"/>
        <v>0.27744948825880661</v>
      </c>
      <c r="N44" s="62">
        <f t="shared" si="13"/>
        <v>0.27744948825880661</v>
      </c>
      <c r="O44" s="62">
        <f t="shared" si="13"/>
        <v>0.27744948825880661</v>
      </c>
      <c r="P44" s="62">
        <f t="shared" si="13"/>
        <v>0.27744948825880661</v>
      </c>
      <c r="Q44" s="62">
        <f t="shared" si="13"/>
        <v>0.27744948825880661</v>
      </c>
      <c r="R44" s="62">
        <f t="shared" si="13"/>
        <v>0.27744948825880661</v>
      </c>
      <c r="S44" s="62">
        <f t="shared" ref="S44" si="14">S43</f>
        <v>0.23107670361753627</v>
      </c>
      <c r="T44" s="62">
        <f t="shared" si="12"/>
        <v>0.27744948825880661</v>
      </c>
      <c r="U44" s="5"/>
      <c r="V44" s="5"/>
      <c r="W44" s="5"/>
      <c r="X44" s="5"/>
    </row>
    <row r="45" spans="2:40" ht="62">
      <c r="B45" s="6"/>
      <c r="C45" s="6"/>
      <c r="D45" s="5"/>
      <c r="E45" s="348" t="s">
        <v>518</v>
      </c>
      <c r="F45" s="361">
        <f>F41</f>
        <v>2026</v>
      </c>
      <c r="G45" s="62">
        <v>1</v>
      </c>
      <c r="H45" s="62">
        <f t="shared" ref="H45:R45" si="15">$K55/$O55</f>
        <v>0.32886186544742674</v>
      </c>
      <c r="I45" s="62">
        <f t="shared" si="15"/>
        <v>0.32886186544742674</v>
      </c>
      <c r="J45" s="62">
        <f t="shared" si="15"/>
        <v>0.32886186544742674</v>
      </c>
      <c r="K45" s="62">
        <f t="shared" si="15"/>
        <v>0.32886186544742674</v>
      </c>
      <c r="L45" s="62">
        <f t="shared" si="15"/>
        <v>0.32886186544742674</v>
      </c>
      <c r="M45" s="62">
        <f t="shared" si="15"/>
        <v>0.32886186544742674</v>
      </c>
      <c r="N45" s="62">
        <f t="shared" si="15"/>
        <v>0.32886186544742674</v>
      </c>
      <c r="O45" s="62">
        <f t="shared" si="15"/>
        <v>0.32886186544742674</v>
      </c>
      <c r="P45" s="62">
        <f t="shared" si="15"/>
        <v>0.32886186544742674</v>
      </c>
      <c r="Q45" s="62">
        <f t="shared" si="15"/>
        <v>0.32886186544742674</v>
      </c>
      <c r="R45" s="62">
        <f t="shared" si="15"/>
        <v>0.32886186544742674</v>
      </c>
      <c r="S45" s="62">
        <v>-0.18596781844616742</v>
      </c>
      <c r="T45" s="62">
        <f t="shared" si="12"/>
        <v>0.32886186544742674</v>
      </c>
      <c r="U45" s="190"/>
      <c r="V45" s="194"/>
      <c r="W45" s="191"/>
      <c r="X45" s="191"/>
      <c r="AA45" s="138"/>
      <c r="AB45" s="213" t="str">
        <f>'SAR and RAR'!AB43</f>
        <v>1/1/26  Bundled
w/Credit</v>
      </c>
      <c r="AC45" s="213" t="str">
        <f>'SAR and RAR'!AC43</f>
        <v>1/1/26  Bundled
w/out Credit</v>
      </c>
      <c r="AD45" s="213">
        <f>'SAR and RAR'!AD43</f>
        <v>0</v>
      </c>
      <c r="AE45" s="213" t="str">
        <f>'SAR and RAR'!AE43</f>
        <v>1/1/26  System
w/Credit</v>
      </c>
      <c r="AF45" s="213" t="str">
        <f>'SAR and RAR'!AF43</f>
        <v>1/1/26  System
w/out Credit</v>
      </c>
    </row>
    <row r="46" spans="2:40">
      <c r="B46" s="6"/>
      <c r="C46" s="6"/>
      <c r="D46" s="5"/>
      <c r="E46" s="348" t="s">
        <v>518</v>
      </c>
      <c r="F46" s="361">
        <f>F42</f>
        <v>2027</v>
      </c>
      <c r="G46" s="62">
        <v>1</v>
      </c>
      <c r="H46" s="62">
        <f t="shared" ref="H46:R46" si="16">$K56/$O56</f>
        <v>0.32886186544742674</v>
      </c>
      <c r="I46" s="62">
        <f t="shared" si="16"/>
        <v>0.32886186544742674</v>
      </c>
      <c r="J46" s="62">
        <f t="shared" si="16"/>
        <v>0.32886186544742674</v>
      </c>
      <c r="K46" s="62">
        <f t="shared" si="16"/>
        <v>0.32886186544742674</v>
      </c>
      <c r="L46" s="62">
        <f t="shared" si="16"/>
        <v>0.32886186544742674</v>
      </c>
      <c r="M46" s="62">
        <f t="shared" si="16"/>
        <v>0.32886186544742674</v>
      </c>
      <c r="N46" s="62">
        <f t="shared" si="16"/>
        <v>0.32886186544742674</v>
      </c>
      <c r="O46" s="62">
        <f t="shared" si="16"/>
        <v>0.32886186544742674</v>
      </c>
      <c r="P46" s="62">
        <f t="shared" si="16"/>
        <v>0.32886186544742674</v>
      </c>
      <c r="Q46" s="62">
        <f t="shared" si="16"/>
        <v>0.32886186544742674</v>
      </c>
      <c r="R46" s="62">
        <f t="shared" si="16"/>
        <v>0.32886186544742674</v>
      </c>
      <c r="S46" s="62">
        <v>0.28144412281858089</v>
      </c>
      <c r="T46" s="62">
        <f t="shared" si="12"/>
        <v>0.32886186544742674</v>
      </c>
      <c r="U46" s="190"/>
      <c r="V46" s="194"/>
      <c r="W46" s="191"/>
      <c r="X46" s="191"/>
      <c r="AA46" s="139"/>
      <c r="AB46" s="148"/>
      <c r="AC46" s="148"/>
      <c r="AD46" s="149"/>
      <c r="AE46" s="148"/>
      <c r="AF46" s="148"/>
    </row>
    <row r="47" spans="2:40">
      <c r="B47" s="6"/>
      <c r="C47" s="6"/>
      <c r="D47" s="5"/>
      <c r="E47" s="348" t="s">
        <v>518</v>
      </c>
      <c r="F47" s="361">
        <f>F43</f>
        <v>2028</v>
      </c>
      <c r="G47" s="62">
        <f t="shared" ref="G47:S47" si="17">G46</f>
        <v>1</v>
      </c>
      <c r="H47" s="62">
        <f t="shared" si="17"/>
        <v>0.32886186544742674</v>
      </c>
      <c r="I47" s="62">
        <f t="shared" si="17"/>
        <v>0.32886186544742674</v>
      </c>
      <c r="J47" s="62">
        <f t="shared" si="17"/>
        <v>0.32886186544742674</v>
      </c>
      <c r="K47" s="62">
        <f t="shared" si="17"/>
        <v>0.32886186544742674</v>
      </c>
      <c r="L47" s="62">
        <f t="shared" si="17"/>
        <v>0.32886186544742674</v>
      </c>
      <c r="M47" s="62">
        <f t="shared" si="17"/>
        <v>0.32886186544742674</v>
      </c>
      <c r="N47" s="62">
        <f t="shared" si="17"/>
        <v>0.32886186544742674</v>
      </c>
      <c r="O47" s="62">
        <f t="shared" si="17"/>
        <v>0.32886186544742674</v>
      </c>
      <c r="P47" s="62">
        <f t="shared" si="17"/>
        <v>0.32886186544742674</v>
      </c>
      <c r="Q47" s="62">
        <f t="shared" si="17"/>
        <v>0.32886186544742674</v>
      </c>
      <c r="R47" s="62">
        <f t="shared" si="17"/>
        <v>0.32886186544742674</v>
      </c>
      <c r="S47" s="62">
        <f t="shared" si="17"/>
        <v>0.28144412281858089</v>
      </c>
      <c r="T47" s="62">
        <f t="shared" si="12"/>
        <v>0.32886186544742674</v>
      </c>
      <c r="U47" s="5"/>
      <c r="V47" s="189"/>
      <c r="W47" s="194"/>
      <c r="X47" s="191"/>
      <c r="AA47" s="139" t="s">
        <v>542</v>
      </c>
      <c r="AB47" s="217">
        <v>41.443190323578825</v>
      </c>
      <c r="AC47" s="217">
        <v>41.448292903006582</v>
      </c>
      <c r="AD47" s="139" t="s">
        <v>542</v>
      </c>
      <c r="AE47" s="217">
        <v>35.574773392062006</v>
      </c>
      <c r="AF47" s="217">
        <v>35.578867266548578</v>
      </c>
    </row>
    <row r="48" spans="2:40">
      <c r="B48" s="6"/>
      <c r="C48" s="6"/>
      <c r="D48" s="5"/>
      <c r="E48" s="348" t="s">
        <v>518</v>
      </c>
      <c r="F48" s="361">
        <f>F44</f>
        <v>2029</v>
      </c>
      <c r="G48" s="62">
        <f t="shared" ref="G48:R48" si="18">G46</f>
        <v>1</v>
      </c>
      <c r="H48" s="62">
        <f t="shared" si="18"/>
        <v>0.32886186544742674</v>
      </c>
      <c r="I48" s="62">
        <f t="shared" si="18"/>
        <v>0.32886186544742674</v>
      </c>
      <c r="J48" s="62">
        <f t="shared" si="18"/>
        <v>0.32886186544742674</v>
      </c>
      <c r="K48" s="62">
        <f t="shared" si="18"/>
        <v>0.32886186544742674</v>
      </c>
      <c r="L48" s="62">
        <f t="shared" si="18"/>
        <v>0.32886186544742674</v>
      </c>
      <c r="M48" s="62">
        <f t="shared" si="18"/>
        <v>0.32886186544742674</v>
      </c>
      <c r="N48" s="62">
        <f t="shared" si="18"/>
        <v>0.32886186544742674</v>
      </c>
      <c r="O48" s="62">
        <f t="shared" si="18"/>
        <v>0.32886186544742674</v>
      </c>
      <c r="P48" s="62">
        <f t="shared" si="18"/>
        <v>0.32886186544742674</v>
      </c>
      <c r="Q48" s="62">
        <f t="shared" si="18"/>
        <v>0.32886186544742674</v>
      </c>
      <c r="R48" s="62">
        <f t="shared" si="18"/>
        <v>0.32886186544742674</v>
      </c>
      <c r="S48" s="62">
        <f t="shared" ref="S48" si="19">S47</f>
        <v>0.28144412281858089</v>
      </c>
      <c r="T48" s="62">
        <f>$K58/$O58</f>
        <v>0.32886186544742674</v>
      </c>
      <c r="U48" s="190"/>
      <c r="V48" s="194"/>
      <c r="W48" s="194"/>
      <c r="X48" s="191"/>
      <c r="AA48" s="139" t="s">
        <v>166</v>
      </c>
      <c r="AB48" s="217">
        <v>33.416008222733581</v>
      </c>
      <c r="AC48" s="217">
        <v>34.072433607860397</v>
      </c>
      <c r="AD48" s="149" t="s">
        <v>518</v>
      </c>
      <c r="AE48" s="217">
        <v>27.143640625458705</v>
      </c>
      <c r="AF48" s="217">
        <v>27.73770240701548</v>
      </c>
    </row>
    <row r="49" spans="2:32">
      <c r="B49" s="6"/>
      <c r="C49" s="6"/>
      <c r="D49" s="5"/>
      <c r="E49" s="5"/>
      <c r="F49" s="41"/>
      <c r="G49" s="41"/>
      <c r="H49" s="41"/>
      <c r="I49" s="41"/>
      <c r="J49" s="41"/>
      <c r="K49" s="41"/>
      <c r="L49" s="5"/>
      <c r="M49" s="5"/>
      <c r="N49" s="5"/>
      <c r="O49" s="5"/>
      <c r="P49" s="5"/>
      <c r="Q49" s="5"/>
      <c r="R49" s="5"/>
      <c r="S49" s="190"/>
      <c r="T49" s="5"/>
      <c r="U49" s="5"/>
      <c r="V49" s="5"/>
      <c r="W49" s="191"/>
      <c r="X49" s="191"/>
      <c r="AA49" s="140"/>
      <c r="AB49" s="150"/>
      <c r="AC49" s="150"/>
      <c r="AD49" s="150"/>
      <c r="AE49" s="150"/>
      <c r="AF49" s="151"/>
    </row>
    <row r="50" spans="2:32" ht="31">
      <c r="B50" s="6"/>
      <c r="C50" s="6"/>
      <c r="D50" s="5"/>
      <c r="E50" s="5"/>
      <c r="F50" s="327" t="s">
        <v>561</v>
      </c>
      <c r="G50" s="41"/>
      <c r="H50" s="41"/>
      <c r="I50" s="41"/>
      <c r="J50" s="327" t="s">
        <v>562</v>
      </c>
      <c r="K50" s="41"/>
      <c r="L50" s="114"/>
      <c r="M50" s="197"/>
      <c r="N50" s="327" t="s">
        <v>563</v>
      </c>
      <c r="O50" s="5"/>
      <c r="P50" s="5"/>
      <c r="Q50" s="5"/>
      <c r="R50" s="5"/>
      <c r="S50" s="190"/>
      <c r="T50" s="511"/>
      <c r="U50" s="511"/>
      <c r="V50" s="5"/>
      <c r="W50" s="453"/>
      <c r="X50" s="189"/>
      <c r="AA50" s="138"/>
      <c r="AB50" s="209" t="str">
        <f>'SAR and RAR'!AB48</f>
        <v>3/1/26 Bundled
w/Credit</v>
      </c>
      <c r="AC50" s="209" t="str">
        <f>'SAR and RAR'!AC48</f>
        <v>3/1/26 Bundled
w/out Credit</v>
      </c>
      <c r="AD50" s="209"/>
      <c r="AE50" s="209" t="str">
        <f>'SAR and RAR'!AE48</f>
        <v>3/1/26 System
w/Credit</v>
      </c>
      <c r="AF50" s="209" t="str">
        <f>'SAR and RAR'!AF48</f>
        <v>3/1/26 System
w/out Credit</v>
      </c>
    </row>
    <row r="51" spans="2:32">
      <c r="B51" s="5"/>
      <c r="C51" s="5"/>
      <c r="D51" s="5"/>
      <c r="E51" s="5" t="s">
        <v>542</v>
      </c>
      <c r="F51" s="361">
        <f t="shared" ref="F51" si="20">F41</f>
        <v>2026</v>
      </c>
      <c r="G51" s="98">
        <v>5503318.717468637</v>
      </c>
      <c r="H51" s="41"/>
      <c r="I51" s="5" t="s">
        <v>542</v>
      </c>
      <c r="J51" s="361">
        <f t="shared" ref="J51" si="21">F51</f>
        <v>2026</v>
      </c>
      <c r="K51" s="98">
        <v>1530615.6099066611</v>
      </c>
      <c r="L51" s="340"/>
      <c r="M51" s="5" t="s">
        <v>542</v>
      </c>
      <c r="N51" s="361">
        <f t="shared" ref="N51" si="22">F51</f>
        <v>2026</v>
      </c>
      <c r="O51" s="328">
        <v>5516736.1075789528</v>
      </c>
      <c r="P51" s="115"/>
      <c r="Q51" s="5"/>
      <c r="R51" s="5"/>
      <c r="S51" s="190"/>
      <c r="T51" s="5"/>
      <c r="U51" s="190"/>
      <c r="V51" s="194"/>
      <c r="W51" s="5"/>
      <c r="X51" s="5"/>
      <c r="AA51" s="139"/>
      <c r="AB51" s="148"/>
      <c r="AC51" s="148"/>
      <c r="AD51" s="149"/>
      <c r="AE51" s="148"/>
      <c r="AF51" s="148"/>
    </row>
    <row r="52" spans="2:32">
      <c r="B52" s="5"/>
      <c r="C52" s="5"/>
      <c r="D52" s="5"/>
      <c r="E52" s="5" t="s">
        <v>542</v>
      </c>
      <c r="F52" s="361">
        <f t="shared" ref="F52:F58" si="23">F42</f>
        <v>2027</v>
      </c>
      <c r="G52" s="98">
        <f>G51</f>
        <v>5503318.717468637</v>
      </c>
      <c r="H52" s="198"/>
      <c r="I52" s="5" t="s">
        <v>542</v>
      </c>
      <c r="J52" s="361">
        <f t="shared" ref="J52:J58" si="24">F52</f>
        <v>2027</v>
      </c>
      <c r="K52" s="98">
        <f>K51</f>
        <v>1530615.6099066611</v>
      </c>
      <c r="L52" s="210"/>
      <c r="M52" s="5" t="s">
        <v>542</v>
      </c>
      <c r="N52" s="361">
        <f t="shared" ref="N52:N58" si="25">F52</f>
        <v>2027</v>
      </c>
      <c r="O52" s="328">
        <f>O51</f>
        <v>5516736.1075789528</v>
      </c>
      <c r="P52" s="198"/>
      <c r="Q52" s="6"/>
      <c r="R52" s="5"/>
      <c r="S52" s="190"/>
      <c r="T52" s="5"/>
      <c r="U52" s="190"/>
      <c r="V52" s="191"/>
      <c r="W52" s="5"/>
      <c r="X52" s="5"/>
      <c r="AA52" s="139" t="s">
        <v>542</v>
      </c>
      <c r="AB52" s="217">
        <v>40.73713053702604</v>
      </c>
      <c r="AC52" s="217">
        <v>40.742233116453797</v>
      </c>
      <c r="AD52" s="139" t="s">
        <v>542</v>
      </c>
      <c r="AE52" s="217">
        <v>34.868791397863305</v>
      </c>
      <c r="AF52" s="217">
        <v>34.872885272349876</v>
      </c>
    </row>
    <row r="53" spans="2:32">
      <c r="B53" s="5"/>
      <c r="C53" s="5"/>
      <c r="D53" s="5"/>
      <c r="E53" s="5" t="s">
        <v>542</v>
      </c>
      <c r="F53" s="361">
        <f t="shared" si="23"/>
        <v>2028</v>
      </c>
      <c r="G53" s="98">
        <f>$G$52</f>
        <v>5503318.717468637</v>
      </c>
      <c r="H53" s="41"/>
      <c r="I53" s="5" t="s">
        <v>542</v>
      </c>
      <c r="J53" s="361">
        <f t="shared" si="24"/>
        <v>2028</v>
      </c>
      <c r="K53" s="98">
        <f>K52</f>
        <v>1530615.6099066611</v>
      </c>
      <c r="L53" s="5"/>
      <c r="M53" s="5" t="s">
        <v>542</v>
      </c>
      <c r="N53" s="361">
        <f t="shared" si="25"/>
        <v>2028</v>
      </c>
      <c r="O53" s="98">
        <f>O52</f>
        <v>5516736.1075789528</v>
      </c>
      <c r="P53" s="5"/>
      <c r="Q53" s="5"/>
      <c r="R53" s="5"/>
      <c r="S53" s="190"/>
      <c r="T53" s="5"/>
      <c r="U53" s="190"/>
      <c r="V53" s="194"/>
      <c r="W53" s="194"/>
      <c r="X53" s="191"/>
      <c r="AA53" s="139" t="s">
        <v>166</v>
      </c>
      <c r="AB53" s="217">
        <v>32.596708001946226</v>
      </c>
      <c r="AC53" s="217">
        <v>33.253133387073035</v>
      </c>
      <c r="AD53" s="149" t="s">
        <v>518</v>
      </c>
      <c r="AE53" s="218">
        <v>26.65073540105055</v>
      </c>
      <c r="AF53" s="218">
        <v>27.244797182607329</v>
      </c>
    </row>
    <row r="54" spans="2:32">
      <c r="B54" s="5"/>
      <c r="C54" s="5"/>
      <c r="D54" s="5"/>
      <c r="E54" s="5" t="s">
        <v>542</v>
      </c>
      <c r="F54" s="361">
        <f t="shared" si="23"/>
        <v>2029</v>
      </c>
      <c r="G54" s="98">
        <f>$G$52</f>
        <v>5503318.717468637</v>
      </c>
      <c r="H54" s="41"/>
      <c r="I54" s="5" t="s">
        <v>542</v>
      </c>
      <c r="J54" s="361">
        <f t="shared" si="24"/>
        <v>2029</v>
      </c>
      <c r="K54" s="98">
        <f>K53</f>
        <v>1530615.6099066611</v>
      </c>
      <c r="L54" s="5"/>
      <c r="M54" s="5" t="s">
        <v>542</v>
      </c>
      <c r="N54" s="361">
        <f t="shared" si="25"/>
        <v>2029</v>
      </c>
      <c r="O54" s="98">
        <f>O53</f>
        <v>5516736.1075789528</v>
      </c>
      <c r="P54" s="5"/>
      <c r="Q54" s="5"/>
      <c r="R54" s="5"/>
      <c r="S54" s="190"/>
      <c r="T54" s="5"/>
      <c r="U54" s="190"/>
      <c r="V54" s="194"/>
      <c r="W54" s="194"/>
      <c r="X54" s="191"/>
    </row>
    <row r="55" spans="2:32">
      <c r="B55" s="5"/>
      <c r="C55" s="5"/>
      <c r="D55" s="5"/>
      <c r="E55" s="348" t="s">
        <v>518</v>
      </c>
      <c r="F55" s="361">
        <f t="shared" si="23"/>
        <v>2026</v>
      </c>
      <c r="G55" s="98">
        <f>'SAR and RAR'!G55</f>
        <v>67795755.926224142</v>
      </c>
      <c r="H55" s="41"/>
      <c r="I55" s="348" t="s">
        <v>518</v>
      </c>
      <c r="J55" s="361">
        <f t="shared" si="24"/>
        <v>2026</v>
      </c>
      <c r="K55" s="98">
        <f>'SAR and RAR'!K55</f>
        <v>24784494.935273737</v>
      </c>
      <c r="L55" s="5"/>
      <c r="M55" s="348" t="s">
        <v>518</v>
      </c>
      <c r="N55" s="361">
        <f t="shared" si="25"/>
        <v>2026</v>
      </c>
      <c r="O55" s="328">
        <f>'SAR and RAR'!O55</f>
        <v>75364454.013400629</v>
      </c>
      <c r="P55" s="115"/>
      <c r="Q55" s="5"/>
      <c r="R55" s="5"/>
      <c r="S55" s="190"/>
      <c r="T55" s="5"/>
      <c r="U55" s="190"/>
      <c r="V55" s="191"/>
      <c r="W55" s="194"/>
      <c r="X55" s="191"/>
    </row>
    <row r="56" spans="2:32">
      <c r="B56" s="5"/>
      <c r="C56" s="5"/>
      <c r="D56" s="5"/>
      <c r="E56" s="348" t="s">
        <v>518</v>
      </c>
      <c r="F56" s="361">
        <f t="shared" si="23"/>
        <v>2027</v>
      </c>
      <c r="G56" s="98">
        <f>'SAR and RAR'!G56</f>
        <v>67795755.926224142</v>
      </c>
      <c r="H56" s="198"/>
      <c r="I56" s="348" t="s">
        <v>518</v>
      </c>
      <c r="J56" s="361">
        <f t="shared" si="24"/>
        <v>2027</v>
      </c>
      <c r="K56" s="98">
        <f>'SAR and RAR'!K56</f>
        <v>24784494.935273737</v>
      </c>
      <c r="L56" s="198"/>
      <c r="M56" s="348" t="s">
        <v>518</v>
      </c>
      <c r="N56" s="361">
        <f t="shared" si="25"/>
        <v>2027</v>
      </c>
      <c r="O56" s="328">
        <f>'SAR and RAR'!O56</f>
        <v>75364454.013400629</v>
      </c>
      <c r="P56" s="198"/>
      <c r="Q56" s="5"/>
      <c r="R56" s="5"/>
      <c r="S56" s="190"/>
      <c r="T56" s="5"/>
      <c r="U56" s="5"/>
      <c r="V56" s="5"/>
      <c r="W56" s="5"/>
      <c r="X56" s="5"/>
    </row>
    <row r="57" spans="2:32">
      <c r="B57" s="5"/>
      <c r="C57" s="5"/>
      <c r="D57" s="5"/>
      <c r="E57" s="348" t="s">
        <v>518</v>
      </c>
      <c r="F57" s="361">
        <f t="shared" si="23"/>
        <v>2028</v>
      </c>
      <c r="G57" s="98">
        <f>'SAR and RAR'!G57</f>
        <v>67795755.926224142</v>
      </c>
      <c r="H57" s="41"/>
      <c r="I57" s="348" t="s">
        <v>518</v>
      </c>
      <c r="J57" s="361">
        <f t="shared" si="24"/>
        <v>2028</v>
      </c>
      <c r="K57" s="98">
        <f>'SAR and RAR'!K57</f>
        <v>24784494.935273737</v>
      </c>
      <c r="L57" s="5"/>
      <c r="M57" s="348" t="s">
        <v>518</v>
      </c>
      <c r="N57" s="361">
        <f t="shared" si="25"/>
        <v>2028</v>
      </c>
      <c r="O57" s="328">
        <f>'SAR and RAR'!O57</f>
        <v>75364454.013400629</v>
      </c>
      <c r="P57" s="5"/>
      <c r="Q57" s="5"/>
      <c r="R57" s="5"/>
      <c r="S57" s="190"/>
      <c r="T57" s="5"/>
      <c r="U57" s="5"/>
      <c r="V57" s="5"/>
      <c r="W57" s="5"/>
      <c r="X57" s="5"/>
    </row>
    <row r="58" spans="2:32">
      <c r="B58" s="5"/>
      <c r="C58" s="5"/>
      <c r="D58" s="5"/>
      <c r="E58" s="348" t="s">
        <v>518</v>
      </c>
      <c r="F58" s="361">
        <f t="shared" si="23"/>
        <v>2029</v>
      </c>
      <c r="G58" s="98">
        <f>'SAR and RAR'!G58</f>
        <v>67795755.926224142</v>
      </c>
      <c r="H58" s="41"/>
      <c r="I58" s="348" t="s">
        <v>518</v>
      </c>
      <c r="J58" s="361">
        <f t="shared" si="24"/>
        <v>2029</v>
      </c>
      <c r="K58" s="98">
        <f>'SAR and RAR'!K58</f>
        <v>24784494.935273737</v>
      </c>
      <c r="L58" s="5"/>
      <c r="M58" s="348" t="s">
        <v>518</v>
      </c>
      <c r="N58" s="361">
        <f t="shared" si="25"/>
        <v>2029</v>
      </c>
      <c r="O58" s="328">
        <f>'SAR and RAR'!O58</f>
        <v>75364454.013400629</v>
      </c>
      <c r="P58" s="5"/>
      <c r="Q58" s="5"/>
      <c r="R58" s="5"/>
      <c r="S58" s="190"/>
      <c r="T58" s="5"/>
      <c r="U58" s="190"/>
      <c r="V58" s="191"/>
      <c r="W58" s="194"/>
      <c r="X58" s="191"/>
    </row>
    <row r="59" spans="2:32">
      <c r="B59" s="5"/>
      <c r="C59" s="5"/>
      <c r="D59" s="5"/>
      <c r="E59" s="5"/>
      <c r="F59" s="41"/>
      <c r="G59" s="41"/>
      <c r="H59" s="41"/>
      <c r="I59" s="41"/>
      <c r="J59" s="41"/>
      <c r="K59" s="41"/>
      <c r="L59" s="5"/>
      <c r="M59" s="5"/>
      <c r="N59" s="5"/>
      <c r="O59" s="5"/>
      <c r="P59" s="5"/>
      <c r="Q59" s="5"/>
      <c r="R59" s="5"/>
      <c r="S59" s="190"/>
      <c r="T59" s="5"/>
      <c r="U59" s="5"/>
      <c r="V59" s="189"/>
      <c r="W59" s="194"/>
      <c r="X59" s="191"/>
    </row>
    <row r="60" spans="2:32">
      <c r="B60" s="5"/>
      <c r="C60" s="5"/>
      <c r="D60" s="5"/>
      <c r="E60" s="367" t="s">
        <v>433</v>
      </c>
      <c r="F60" s="41"/>
      <c r="G60" s="41"/>
      <c r="H60" s="41"/>
      <c r="I60" s="41"/>
      <c r="J60" s="41"/>
      <c r="K60" s="41"/>
      <c r="L60" s="5"/>
      <c r="M60" s="5"/>
      <c r="N60" s="5"/>
      <c r="O60" s="5"/>
      <c r="P60" s="5"/>
      <c r="Q60" s="5"/>
      <c r="R60" s="5"/>
      <c r="S60" s="190"/>
      <c r="T60" s="511"/>
      <c r="U60" s="511"/>
      <c r="V60" s="5"/>
      <c r="W60" s="194"/>
      <c r="X60" s="191"/>
    </row>
    <row r="61" spans="2:32">
      <c r="B61" s="5"/>
      <c r="C61" s="5"/>
      <c r="D61" s="5"/>
      <c r="E61" s="5"/>
      <c r="F61" s="41"/>
      <c r="G61" s="41"/>
      <c r="H61" s="41"/>
      <c r="I61" s="41"/>
      <c r="J61" s="41"/>
      <c r="K61" s="41"/>
      <c r="L61" s="5"/>
      <c r="M61" s="5"/>
      <c r="N61" s="5"/>
      <c r="O61" s="5"/>
      <c r="P61" s="5"/>
      <c r="Q61" s="5"/>
      <c r="R61" s="5"/>
      <c r="S61" s="190"/>
      <c r="T61" s="5"/>
      <c r="U61" s="190"/>
      <c r="V61" s="5"/>
      <c r="W61" s="194"/>
      <c r="X61" s="194"/>
    </row>
    <row r="62" spans="2:32">
      <c r="B62" s="5"/>
      <c r="C62" s="5"/>
      <c r="D62" s="5"/>
      <c r="E62" s="5" t="s">
        <v>639</v>
      </c>
      <c r="F62" s="41"/>
      <c r="G62" s="41"/>
      <c r="H62" s="41"/>
      <c r="I62" s="41"/>
      <c r="J62" s="41"/>
      <c r="K62" s="41"/>
      <c r="L62" s="5"/>
      <c r="M62" s="5"/>
      <c r="N62" s="5"/>
      <c r="O62" s="5"/>
      <c r="P62" s="5"/>
      <c r="Q62" s="5"/>
      <c r="R62" s="5"/>
      <c r="S62" s="190"/>
      <c r="T62" s="5"/>
      <c r="U62" s="5"/>
      <c r="V62" s="5"/>
      <c r="W62" s="5"/>
      <c r="X62" s="5"/>
    </row>
    <row r="63" spans="2:32">
      <c r="B63" s="5"/>
      <c r="C63" s="5"/>
      <c r="D63" s="5"/>
      <c r="E63" s="5" t="str">
        <f>'SAR and RAR'!E63</f>
        <v>2027 Forecast: Set equal to the 2026</v>
      </c>
      <c r="F63" s="41"/>
      <c r="G63" s="41"/>
      <c r="H63" s="41"/>
      <c r="I63" s="41"/>
      <c r="J63" s="41"/>
      <c r="K63" s="41"/>
      <c r="L63" s="5"/>
      <c r="M63" s="5"/>
      <c r="N63" s="5"/>
      <c r="O63" s="5"/>
      <c r="P63" s="5"/>
      <c r="Q63" s="5"/>
      <c r="R63" s="5"/>
      <c r="S63" s="190"/>
      <c r="T63" s="5"/>
      <c r="U63" s="5"/>
      <c r="V63" s="189"/>
      <c r="W63" s="5"/>
      <c r="X63" s="5"/>
    </row>
    <row r="64" spans="2:32">
      <c r="B64" s="5"/>
      <c r="C64" s="5"/>
      <c r="D64" s="5"/>
      <c r="E64" s="5" t="str">
        <f>'SAR and RAR'!E64</f>
        <v>2028 Forecast: Set equal to the 2026</v>
      </c>
      <c r="F64" s="41"/>
      <c r="G64" s="41"/>
      <c r="H64" s="41"/>
      <c r="I64" s="41"/>
      <c r="J64" s="41"/>
      <c r="K64" s="41"/>
      <c r="L64" s="5"/>
      <c r="M64" s="5"/>
      <c r="N64" s="5"/>
      <c r="O64" s="5"/>
      <c r="P64" s="5"/>
      <c r="Q64" s="5"/>
      <c r="R64" s="5"/>
      <c r="S64" s="190"/>
      <c r="T64" s="511"/>
      <c r="U64" s="511"/>
      <c r="V64" s="191"/>
      <c r="W64" s="191"/>
      <c r="X64" s="191"/>
    </row>
    <row r="65" spans="2:24">
      <c r="B65" s="5"/>
      <c r="C65" s="5"/>
      <c r="D65" s="5"/>
      <c r="E65" s="5" t="str">
        <f>'SAR and RAR'!E65</f>
        <v>2029 Forecast: Set equal to the 2026</v>
      </c>
      <c r="F65" s="41"/>
      <c r="G65" s="41"/>
      <c r="H65" s="41"/>
      <c r="I65" s="41"/>
      <c r="J65" s="41"/>
      <c r="K65" s="41"/>
      <c r="L65" s="5"/>
      <c r="M65" s="5"/>
      <c r="N65" s="5"/>
      <c r="O65" s="5"/>
      <c r="P65" s="5"/>
      <c r="Q65" s="5"/>
      <c r="R65" s="5"/>
      <c r="S65" s="5"/>
      <c r="T65" s="5"/>
      <c r="U65" s="5"/>
      <c r="V65" s="5"/>
      <c r="W65" s="189"/>
      <c r="X65" s="189"/>
    </row>
    <row r="66" spans="2:24">
      <c r="B66" s="5"/>
      <c r="C66" s="5"/>
      <c r="D66" s="5"/>
      <c r="W66" s="5"/>
      <c r="X66" s="5"/>
    </row>
    <row r="67" spans="2:24">
      <c r="B67" s="5"/>
      <c r="C67" s="5"/>
      <c r="D67" s="5"/>
      <c r="W67" s="5"/>
      <c r="X67" s="5"/>
    </row>
    <row r="68" spans="2:24">
      <c r="B68" s="5"/>
      <c r="C68" s="5"/>
      <c r="D68" s="5"/>
      <c r="W68" s="5"/>
      <c r="X68" s="5"/>
    </row>
    <row r="69" spans="2:24">
      <c r="B69" s="5"/>
      <c r="C69" s="5"/>
      <c r="D69" s="5"/>
      <c r="W69" s="189"/>
      <c r="X69" s="189"/>
    </row>
    <row r="70" spans="2:24">
      <c r="B70" s="5"/>
      <c r="C70" s="5"/>
      <c r="D70" s="5"/>
      <c r="W70" s="5"/>
      <c r="X70" s="5"/>
    </row>
    <row r="71" spans="2:24">
      <c r="B71" s="5"/>
      <c r="C71" s="5"/>
      <c r="D71" s="5"/>
      <c r="W71" s="5"/>
      <c r="X71" s="5"/>
    </row>
    <row r="72" spans="2:24">
      <c r="B72" s="5"/>
      <c r="C72" s="5"/>
      <c r="D72" s="5"/>
      <c r="W72" s="189"/>
      <c r="X72" s="189"/>
    </row>
    <row r="73" spans="2:24">
      <c r="B73" s="5"/>
      <c r="C73" s="5"/>
      <c r="D73" s="5"/>
      <c r="W73" s="191"/>
      <c r="X73" s="191"/>
    </row>
    <row r="74" spans="2:24">
      <c r="B74" s="5"/>
      <c r="C74" s="5"/>
      <c r="D74" s="5"/>
      <c r="W74" s="5"/>
      <c r="X74" s="5"/>
    </row>
  </sheetData>
  <mergeCells count="15">
    <mergeCell ref="W17:X17"/>
    <mergeCell ref="W16:X16"/>
    <mergeCell ref="T64:U64"/>
    <mergeCell ref="AA25:AF25"/>
    <mergeCell ref="AI25:AN25"/>
    <mergeCell ref="F26:K26"/>
    <mergeCell ref="P26:U26"/>
    <mergeCell ref="T50:U50"/>
    <mergeCell ref="T60:U60"/>
    <mergeCell ref="C2:D2"/>
    <mergeCell ref="U16:V16"/>
    <mergeCell ref="U17:V17"/>
    <mergeCell ref="G4:T4"/>
    <mergeCell ref="G8:T8"/>
    <mergeCell ref="G17:T17"/>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12B33-5BCC-4468-B1F3-3C3E9F9FCE77}">
  <sheetPr codeName="Sheet14">
    <tabColor rgb="FFFFFF00"/>
  </sheetPr>
  <dimension ref="A1:AD41"/>
  <sheetViews>
    <sheetView tabSelected="1" topLeftCell="A2" zoomScaleNormal="100" workbookViewId="0">
      <selection activeCell="E20" sqref="E20"/>
    </sheetView>
  </sheetViews>
  <sheetFormatPr defaultColWidth="8.81640625" defaultRowHeight="14.5"/>
  <cols>
    <col min="1" max="1" width="7.453125" style="18" customWidth="1"/>
    <col min="2" max="2" width="14.453125" style="18" customWidth="1"/>
    <col min="3" max="4" width="13" style="18" customWidth="1"/>
    <col min="5" max="5" width="18" style="18" bestFit="1" customWidth="1"/>
    <col min="6" max="6" width="13.54296875" style="18" customWidth="1"/>
    <col min="7" max="7" width="16.26953125" style="18" customWidth="1"/>
    <col min="8" max="8" width="14.1796875" style="18" customWidth="1"/>
    <col min="9" max="9" width="15" style="18" customWidth="1"/>
    <col min="10" max="10" width="14" style="18" customWidth="1"/>
    <col min="11" max="11" width="15" style="18" bestFit="1" customWidth="1"/>
    <col min="12" max="12" width="13" style="18" customWidth="1"/>
    <col min="13" max="14" width="14.1796875" style="18" customWidth="1"/>
    <col min="15" max="15" width="14.54296875" style="18" customWidth="1"/>
    <col min="16" max="16" width="14.26953125" style="18" customWidth="1"/>
    <col min="17" max="17" width="9.1796875" style="18" customWidth="1"/>
    <col min="18" max="18" width="11.1796875" style="18" bestFit="1" customWidth="1"/>
    <col min="19" max="19" width="10.1796875" style="18" bestFit="1" customWidth="1"/>
    <col min="20" max="20" width="11.1796875" style="18" bestFit="1" customWidth="1"/>
    <col min="21" max="21" width="10.1796875" style="18" bestFit="1" customWidth="1"/>
    <col min="22" max="22" width="14.1796875" style="18" bestFit="1" customWidth="1"/>
    <col min="23" max="23" width="14" style="18" customWidth="1"/>
    <col min="24" max="24" width="9.453125" style="18" customWidth="1"/>
    <col min="25" max="28" width="15.7265625" style="18" bestFit="1" customWidth="1"/>
    <col min="29" max="29" width="12.26953125" style="18" customWidth="1"/>
    <col min="30" max="30" width="18.26953125" style="18" customWidth="1"/>
    <col min="31" max="32" width="8.81640625" style="18"/>
    <col min="33" max="33" width="28.54296875" style="18" customWidth="1"/>
    <col min="34" max="16384" width="8.81640625" style="18"/>
  </cols>
  <sheetData>
    <row r="1" spans="1:25">
      <c r="A1" s="368"/>
      <c r="B1" s="368"/>
      <c r="C1" s="368"/>
      <c r="D1" s="368"/>
      <c r="E1" s="368"/>
      <c r="F1" s="368"/>
      <c r="G1" s="368"/>
      <c r="H1" s="368"/>
      <c r="I1" s="368"/>
    </row>
    <row r="2" spans="1:25">
      <c r="A2" s="370"/>
      <c r="B2" s="532"/>
      <c r="C2" s="532"/>
      <c r="D2" s="532"/>
      <c r="F2" s="370"/>
    </row>
    <row r="3" spans="1:25">
      <c r="E3" s="533" t="s">
        <v>640</v>
      </c>
      <c r="F3" s="533"/>
      <c r="G3" s="533"/>
      <c r="H3" s="533"/>
      <c r="I3" s="533"/>
      <c r="J3" s="533"/>
      <c r="K3" s="533"/>
      <c r="M3" s="43"/>
      <c r="N3" s="43"/>
      <c r="O3" s="43"/>
      <c r="P3" s="454"/>
      <c r="Q3" s="454"/>
      <c r="R3" s="454"/>
      <c r="S3" s="454"/>
      <c r="T3" s="454"/>
      <c r="U3" s="454"/>
      <c r="V3" s="454"/>
    </row>
    <row r="4" spans="1:25" ht="15.75" customHeight="1">
      <c r="D4" s="5"/>
      <c r="E4" s="371">
        <f>Summary!D3</f>
        <v>2026</v>
      </c>
      <c r="F4" s="372">
        <f>Summary!L3</f>
        <v>46082</v>
      </c>
      <c r="G4" s="373">
        <f>Summary!L3</f>
        <v>46082</v>
      </c>
      <c r="H4" s="374" t="s">
        <v>570</v>
      </c>
      <c r="I4" s="374" t="s">
        <v>570</v>
      </c>
      <c r="J4" s="374" t="s">
        <v>570</v>
      </c>
      <c r="K4" s="374" t="s">
        <v>570</v>
      </c>
      <c r="L4" s="41"/>
      <c r="O4" s="5"/>
      <c r="P4" s="371"/>
      <c r="Q4" s="372"/>
      <c r="R4" s="373"/>
      <c r="S4" s="374"/>
      <c r="T4" s="374"/>
      <c r="U4" s="374"/>
      <c r="V4" s="374"/>
    </row>
    <row r="5" spans="1:25" ht="30.65" customHeight="1">
      <c r="D5" s="5"/>
      <c r="E5" s="374" t="s">
        <v>120</v>
      </c>
      <c r="F5" s="374" t="s">
        <v>571</v>
      </c>
      <c r="G5" s="374" t="s">
        <v>33</v>
      </c>
      <c r="H5" s="374" t="s">
        <v>572</v>
      </c>
      <c r="I5" s="374" t="s">
        <v>573</v>
      </c>
      <c r="J5" s="374" t="s">
        <v>574</v>
      </c>
      <c r="K5" s="374" t="s">
        <v>575</v>
      </c>
      <c r="L5" s="322"/>
      <c r="M5" s="225"/>
      <c r="N5" s="225"/>
      <c r="O5" s="322"/>
      <c r="P5" s="374"/>
      <c r="Q5" s="374"/>
      <c r="R5" s="374"/>
      <c r="S5" s="374"/>
      <c r="T5" s="374"/>
      <c r="U5" s="374"/>
      <c r="V5" s="374"/>
    </row>
    <row r="6" spans="1:25" ht="15.5">
      <c r="B6" s="375"/>
      <c r="D6" s="375"/>
      <c r="E6" s="5"/>
      <c r="F6" s="5"/>
      <c r="G6" s="5"/>
      <c r="J6" s="41"/>
      <c r="K6" s="41"/>
      <c r="L6" s="41"/>
      <c r="O6" s="375"/>
      <c r="P6" s="5"/>
      <c r="Q6" s="5"/>
      <c r="R6" s="5"/>
      <c r="U6" s="41"/>
      <c r="V6" s="41"/>
    </row>
    <row r="7" spans="1:25" ht="15.5">
      <c r="D7" s="455" t="s">
        <v>641</v>
      </c>
      <c r="E7" s="66">
        <f>HLOOKUP($E$4,$Y$33:$AB$41,2,FALSE)</f>
        <v>148431.96953137699</v>
      </c>
      <c r="F7" s="377">
        <v>0.47087000000000007</v>
      </c>
      <c r="G7" s="116">
        <f t="shared" ref="G7:G12" si="0">F7*E7</f>
        <v>69892.161493239488</v>
      </c>
      <c r="H7" s="378">
        <f>F7+(I$15-SUM($G$7:$G$14))/SUM($E$7:$E$12)</f>
        <v>0.47027401941739727</v>
      </c>
      <c r="I7" s="116">
        <f t="shared" ref="I7:I12" si="1">H7*E7</f>
        <v>69803.698921561299</v>
      </c>
      <c r="J7" s="378">
        <f t="shared" ref="J7:J12" si="2">F7+(K$15-SUM($G$7:$G$14))/SUM($E$7:$E$12)</f>
        <v>0.47658391747002121</v>
      </c>
      <c r="K7" s="116">
        <f t="shared" ref="K7:K12" si="3">J7*E7</f>
        <v>70740.28951705448</v>
      </c>
      <c r="L7" s="456"/>
      <c r="O7" s="376"/>
      <c r="P7" s="101"/>
      <c r="Q7" s="377"/>
      <c r="R7" s="100"/>
      <c r="S7" s="378"/>
      <c r="T7" s="100"/>
      <c r="U7" s="378"/>
      <c r="V7" s="100"/>
      <c r="W7" s="19"/>
    </row>
    <row r="8" spans="1:25" ht="15.5">
      <c r="D8" s="380" t="s">
        <v>642</v>
      </c>
      <c r="E8" s="66">
        <f>HLOOKUP($E$4,$Y$33:$AB$41,3,FALSE)</f>
        <v>102276.79442666098</v>
      </c>
      <c r="F8" s="377">
        <v>0.42164000000000007</v>
      </c>
      <c r="G8" s="116">
        <f t="shared" si="0"/>
        <v>43123.987602057343</v>
      </c>
      <c r="H8" s="378">
        <f t="shared" ref="H8:H12" si="4">F8+(I$15-SUM($G$7:$G$14))/SUM($E$7:$E$12)</f>
        <v>0.42104401941739727</v>
      </c>
      <c r="I8" s="116">
        <f t="shared" si="1"/>
        <v>43063.032618528196</v>
      </c>
      <c r="J8" s="378">
        <f t="shared" si="2"/>
        <v>0.42735391747002122</v>
      </c>
      <c r="K8" s="116">
        <f t="shared" si="3"/>
        <v>43708.388764509604</v>
      </c>
      <c r="L8" s="456"/>
      <c r="O8" s="380"/>
      <c r="P8" s="101"/>
      <c r="Q8" s="377"/>
      <c r="R8" s="100"/>
      <c r="S8" s="378"/>
      <c r="T8" s="100"/>
      <c r="U8" s="378"/>
      <c r="V8" s="100"/>
      <c r="W8" s="19"/>
      <c r="Y8" s="381"/>
    </row>
    <row r="9" spans="1:25" ht="15.5">
      <c r="D9" s="455" t="s">
        <v>643</v>
      </c>
      <c r="E9" s="66">
        <f>HLOOKUP($E$4,$Y$33:$AB$41,4,FALSE)</f>
        <v>331735.01479594107</v>
      </c>
      <c r="F9" s="377">
        <v>0.40083000000000002</v>
      </c>
      <c r="G9" s="116">
        <f t="shared" si="0"/>
        <v>132969.34598065706</v>
      </c>
      <c r="H9" s="378">
        <f t="shared" si="4"/>
        <v>0.40023401941739722</v>
      </c>
      <c r="I9" s="116">
        <f t="shared" si="1"/>
        <v>132771.63835326923</v>
      </c>
      <c r="J9" s="378">
        <f t="shared" si="2"/>
        <v>0.40654391747002117</v>
      </c>
      <c r="K9" s="116">
        <f t="shared" si="3"/>
        <v>134864.85247711733</v>
      </c>
      <c r="L9" s="456"/>
      <c r="O9" s="376"/>
      <c r="P9" s="101"/>
      <c r="Q9" s="377"/>
      <c r="R9" s="100"/>
      <c r="S9" s="378"/>
      <c r="T9" s="100"/>
      <c r="U9" s="378"/>
      <c r="V9" s="100"/>
      <c r="W9" s="19"/>
      <c r="Y9" s="381"/>
    </row>
    <row r="10" spans="1:25" ht="15.5">
      <c r="D10" s="380" t="s">
        <v>644</v>
      </c>
      <c r="E10" s="66">
        <f>HLOOKUP($E$4,$Y$33:$AB$41,5,FALSE)</f>
        <v>224629.25731840497</v>
      </c>
      <c r="F10" s="377">
        <v>0.39545000000000002</v>
      </c>
      <c r="G10" s="116">
        <f t="shared" si="0"/>
        <v>88829.639806563253</v>
      </c>
      <c r="H10" s="378">
        <f t="shared" si="4"/>
        <v>0.39485401941739723</v>
      </c>
      <c r="I10" s="116">
        <f t="shared" si="1"/>
        <v>88695.765130916989</v>
      </c>
      <c r="J10" s="378">
        <f t="shared" si="2"/>
        <v>0.40116391747002117</v>
      </c>
      <c r="K10" s="116">
        <f t="shared" si="3"/>
        <v>90113.152844232754</v>
      </c>
      <c r="L10" s="456"/>
      <c r="O10" s="380"/>
      <c r="P10" s="101"/>
      <c r="Q10" s="377"/>
      <c r="R10" s="100"/>
      <c r="S10" s="378"/>
      <c r="T10" s="100"/>
      <c r="U10" s="378"/>
      <c r="V10" s="100"/>
      <c r="W10" s="19"/>
      <c r="Y10" s="381"/>
    </row>
    <row r="11" spans="1:25" ht="15.5">
      <c r="D11" s="455" t="s">
        <v>645</v>
      </c>
      <c r="E11" s="66">
        <f>HLOOKUP($E$4,$Y$33:$AB$41,6,FALSE)</f>
        <v>650611.21810376388</v>
      </c>
      <c r="F11" s="377">
        <v>0.37933</v>
      </c>
      <c r="G11" s="116">
        <f t="shared" si="0"/>
        <v>246796.35336330076</v>
      </c>
      <c r="H11" s="378">
        <f t="shared" si="4"/>
        <v>0.37873401941739721</v>
      </c>
      <c r="I11" s="116">
        <f t="shared" si="1"/>
        <v>246408.60171048736</v>
      </c>
      <c r="J11" s="378">
        <f t="shared" si="2"/>
        <v>0.38504391747002115</v>
      </c>
      <c r="K11" s="116">
        <f t="shared" si="3"/>
        <v>250513.8921686156</v>
      </c>
      <c r="L11" s="456"/>
      <c r="O11" s="376"/>
      <c r="P11" s="101"/>
      <c r="Q11" s="377"/>
      <c r="R11" s="100"/>
      <c r="S11" s="378"/>
      <c r="T11" s="100"/>
      <c r="U11" s="378"/>
      <c r="V11" s="100"/>
      <c r="W11" s="379"/>
      <c r="Y11" s="381"/>
    </row>
    <row r="12" spans="1:25" ht="15.5">
      <c r="D12" s="455" t="s">
        <v>646</v>
      </c>
      <c r="E12" s="66">
        <f>HLOOKUP($E$4,$Y$33:$AB$41,7,FALSE)</f>
        <v>69528.629811378007</v>
      </c>
      <c r="F12" s="377">
        <v>0.36291000000000001</v>
      </c>
      <c r="G12" s="116">
        <f t="shared" si="0"/>
        <v>25232.635044847193</v>
      </c>
      <c r="H12" s="378">
        <f t="shared" si="4"/>
        <v>0.36231401941739722</v>
      </c>
      <c r="I12" s="116">
        <f t="shared" si="1"/>
        <v>25191.197331544634</v>
      </c>
      <c r="J12" s="378">
        <f t="shared" si="2"/>
        <v>0.36862391747002116</v>
      </c>
      <c r="K12" s="116">
        <f t="shared" si="3"/>
        <v>25629.915897393061</v>
      </c>
      <c r="L12" s="456"/>
      <c r="O12" s="380"/>
      <c r="P12" s="101"/>
      <c r="Q12" s="377"/>
      <c r="R12" s="100"/>
      <c r="S12" s="378"/>
      <c r="T12" s="100"/>
      <c r="U12" s="378"/>
      <c r="V12" s="100"/>
      <c r="W12" s="379"/>
      <c r="Y12" s="381"/>
    </row>
    <row r="13" spans="1:25" ht="15.5">
      <c r="L13" s="379"/>
      <c r="O13" s="380"/>
      <c r="P13" s="384"/>
      <c r="Q13" s="377"/>
      <c r="R13" s="116"/>
      <c r="S13" s="390"/>
      <c r="T13" s="383"/>
      <c r="U13" s="5"/>
      <c r="V13" s="383"/>
      <c r="X13" s="381"/>
      <c r="Y13" s="381"/>
    </row>
    <row r="14" spans="1:25" ht="15.5">
      <c r="D14" s="380" t="s">
        <v>647</v>
      </c>
      <c r="E14" s="66">
        <f>HLOOKUP($E$4,$Y$33:$AB$41,9,FALSE)</f>
        <v>824.49997799000005</v>
      </c>
      <c r="F14" s="377">
        <v>0.32854</v>
      </c>
      <c r="G14" s="116">
        <f>F14*E14*365/12</f>
        <v>8239.3038592187204</v>
      </c>
      <c r="H14" s="377">
        <f>F14</f>
        <v>0.32854</v>
      </c>
      <c r="I14" s="116">
        <f>H14*E14*365/12</f>
        <v>8239.3038592187204</v>
      </c>
      <c r="J14" s="377">
        <f>H14</f>
        <v>0.32854</v>
      </c>
      <c r="K14" s="116">
        <f>J14*E14*365/12</f>
        <v>8239.3038592187204</v>
      </c>
      <c r="L14" s="379"/>
      <c r="O14" s="380"/>
      <c r="P14" s="384"/>
      <c r="Q14" s="377"/>
      <c r="R14" s="384"/>
      <c r="S14" s="390"/>
      <c r="T14" s="384"/>
      <c r="U14" s="384"/>
      <c r="V14" s="384"/>
      <c r="Y14" s="381"/>
    </row>
    <row r="15" spans="1:25" ht="15.5">
      <c r="D15" s="385" t="s">
        <v>648</v>
      </c>
      <c r="E15" s="386"/>
      <c r="F15" s="377"/>
      <c r="G15" s="116">
        <f>SUM(G7:G14)</f>
        <v>615083.42714988382</v>
      </c>
      <c r="H15" s="384"/>
      <c r="I15" s="116">
        <f>'SAR and RAR (B-1)'!V19</f>
        <v>614173.23792552645</v>
      </c>
      <c r="J15" s="116"/>
      <c r="K15" s="116">
        <f>'SAR and RAR (B-1)'!X19</f>
        <v>623809.79552814155</v>
      </c>
      <c r="L15" s="379"/>
      <c r="O15" s="457"/>
      <c r="P15" s="384"/>
      <c r="Q15" s="377"/>
      <c r="R15" s="384"/>
      <c r="S15" s="390"/>
      <c r="T15" s="384"/>
      <c r="U15" s="384"/>
      <c r="V15" s="384"/>
    </row>
    <row r="16" spans="1:25" ht="15.5">
      <c r="P16" s="384"/>
      <c r="Q16" s="377"/>
      <c r="S16" s="390"/>
    </row>
    <row r="17" spans="2:30" ht="15.5">
      <c r="O17" s="389"/>
      <c r="S17" s="390"/>
    </row>
    <row r="18" spans="2:30" ht="15.5">
      <c r="S18" s="390"/>
    </row>
    <row r="19" spans="2:30">
      <c r="B19" s="391"/>
      <c r="E19" s="388"/>
      <c r="P19" s="18" t="s">
        <v>649</v>
      </c>
    </row>
    <row r="20" spans="2:30">
      <c r="B20" s="392" t="s">
        <v>650</v>
      </c>
      <c r="C20" s="392"/>
      <c r="E20" s="393" t="s">
        <v>570</v>
      </c>
      <c r="F20" s="393" t="s">
        <v>570</v>
      </c>
      <c r="H20" s="392"/>
      <c r="I20" s="392"/>
      <c r="J20" s="392"/>
      <c r="K20" s="392"/>
      <c r="L20" s="392"/>
      <c r="M20" s="392"/>
      <c r="N20" s="392"/>
      <c r="P20" s="394" t="s">
        <v>651</v>
      </c>
      <c r="Q20" s="537" t="s">
        <v>594</v>
      </c>
      <c r="R20" s="538"/>
      <c r="S20" s="539"/>
      <c r="T20" s="537" t="s">
        <v>595</v>
      </c>
      <c r="U20" s="538"/>
      <c r="V20" s="539"/>
      <c r="X20" s="80"/>
      <c r="Y20" s="458"/>
      <c r="Z20" s="458"/>
      <c r="AA20" s="458"/>
      <c r="AB20" s="458"/>
      <c r="AC20" s="524"/>
      <c r="AD20" s="524"/>
    </row>
    <row r="21" spans="2:30">
      <c r="B21" s="398" t="s">
        <v>571</v>
      </c>
      <c r="C21" s="399">
        <v>46023</v>
      </c>
      <c r="D21" s="399">
        <f>Summary!L3</f>
        <v>46082</v>
      </c>
      <c r="E21" s="400" t="s">
        <v>446</v>
      </c>
      <c r="F21" s="400" t="s">
        <v>519</v>
      </c>
      <c r="P21" s="459" t="s">
        <v>652</v>
      </c>
      <c r="Q21" s="460" t="s">
        <v>653</v>
      </c>
      <c r="R21" s="461" t="s">
        <v>654</v>
      </c>
      <c r="S21" s="460" t="s">
        <v>655</v>
      </c>
      <c r="T21" s="461" t="s">
        <v>653</v>
      </c>
      <c r="U21" s="460" t="s">
        <v>655</v>
      </c>
      <c r="V21" s="460" t="s">
        <v>656</v>
      </c>
      <c r="W21" s="460" t="s">
        <v>170</v>
      </c>
      <c r="Y21" s="524"/>
      <c r="Z21" s="524"/>
      <c r="AA21" s="524"/>
      <c r="AB21" s="524"/>
      <c r="AC21" s="38"/>
      <c r="AD21" s="38"/>
    </row>
    <row r="22" spans="2:30">
      <c r="B22" s="455" t="s">
        <v>641</v>
      </c>
      <c r="C22" s="52">
        <v>0.47794000000000003</v>
      </c>
      <c r="D22" s="52">
        <f t="shared" ref="D22:D27" si="5">F7</f>
        <v>0.47087000000000007</v>
      </c>
      <c r="E22" s="52">
        <f t="shared" ref="E22:E27" si="6">H7</f>
        <v>0.47027401941739727</v>
      </c>
      <c r="F22" s="52">
        <f t="shared" ref="F22:F27" si="7">J7</f>
        <v>0.47658391747002121</v>
      </c>
      <c r="I22" s="381"/>
      <c r="J22" s="381"/>
      <c r="M22" s="381"/>
      <c r="N22" s="381"/>
      <c r="P22" s="462" t="s">
        <v>63</v>
      </c>
      <c r="Q22" s="463">
        <v>228</v>
      </c>
      <c r="R22" s="463">
        <v>180</v>
      </c>
      <c r="S22" s="463">
        <v>530</v>
      </c>
      <c r="T22" s="463">
        <v>174</v>
      </c>
      <c r="U22" s="463">
        <v>535</v>
      </c>
      <c r="V22" s="463">
        <v>49</v>
      </c>
      <c r="W22" s="464">
        <f>SUM(Q22:V22)</f>
        <v>1696</v>
      </c>
      <c r="Y22" s="465"/>
      <c r="Z22" s="465"/>
      <c r="AA22" s="465"/>
      <c r="AB22" s="465"/>
      <c r="AC22" s="97"/>
      <c r="AD22" s="97"/>
    </row>
    <row r="23" spans="2:30" ht="15">
      <c r="B23" s="380" t="s">
        <v>642</v>
      </c>
      <c r="C23" s="52">
        <v>0.42871000000000004</v>
      </c>
      <c r="D23" s="52">
        <f t="shared" si="5"/>
        <v>0.42164000000000007</v>
      </c>
      <c r="E23" s="52">
        <f t="shared" si="6"/>
        <v>0.42104401941739727</v>
      </c>
      <c r="F23" s="52">
        <f t="shared" si="7"/>
        <v>0.42735391747002122</v>
      </c>
      <c r="I23" s="381"/>
      <c r="J23" s="381"/>
      <c r="M23" s="381"/>
      <c r="N23" s="381"/>
      <c r="P23" s="462" t="s">
        <v>64</v>
      </c>
      <c r="Q23" s="463">
        <v>408</v>
      </c>
      <c r="R23" s="463">
        <v>343</v>
      </c>
      <c r="S23" s="463">
        <v>957</v>
      </c>
      <c r="T23" s="463">
        <v>238</v>
      </c>
      <c r="U23" s="463">
        <v>780</v>
      </c>
      <c r="V23" s="463">
        <v>123</v>
      </c>
      <c r="W23" s="464">
        <f t="shared" ref="W23:W24" si="8">SUM(Q23:V23)</f>
        <v>2849</v>
      </c>
      <c r="Y23" s="465"/>
      <c r="Z23" s="465"/>
      <c r="AA23" s="466"/>
      <c r="AB23" s="465"/>
      <c r="AC23" s="97"/>
      <c r="AD23" s="97"/>
    </row>
    <row r="24" spans="2:30">
      <c r="B24" s="455" t="s">
        <v>643</v>
      </c>
      <c r="C24" s="52">
        <v>0.40789999999999998</v>
      </c>
      <c r="D24" s="52">
        <f t="shared" si="5"/>
        <v>0.40083000000000002</v>
      </c>
      <c r="E24" s="52">
        <f t="shared" si="6"/>
        <v>0.40023401941739722</v>
      </c>
      <c r="F24" s="52">
        <f t="shared" si="7"/>
        <v>0.40654391747002117</v>
      </c>
      <c r="I24" s="381"/>
      <c r="J24" s="381"/>
      <c r="M24" s="381"/>
      <c r="N24" s="381"/>
      <c r="P24" s="467" t="s">
        <v>65</v>
      </c>
      <c r="Q24" s="463">
        <v>1111</v>
      </c>
      <c r="R24" s="463">
        <v>732</v>
      </c>
      <c r="S24" s="463">
        <v>1927</v>
      </c>
      <c r="T24" s="463">
        <v>722</v>
      </c>
      <c r="U24" s="463">
        <v>1607</v>
      </c>
      <c r="V24" s="463">
        <v>265</v>
      </c>
      <c r="W24" s="464">
        <f t="shared" si="8"/>
        <v>6364</v>
      </c>
      <c r="Y24" s="465"/>
      <c r="Z24" s="465"/>
      <c r="AA24" s="465"/>
      <c r="AB24" s="465"/>
      <c r="AC24" s="97"/>
      <c r="AD24" s="97"/>
    </row>
    <row r="25" spans="2:30" ht="15">
      <c r="B25" s="380" t="s">
        <v>644</v>
      </c>
      <c r="C25" s="52">
        <v>0.40251999999999999</v>
      </c>
      <c r="D25" s="52">
        <f t="shared" si="5"/>
        <v>0.39545000000000002</v>
      </c>
      <c r="E25" s="52">
        <f t="shared" si="6"/>
        <v>0.39485401941739723</v>
      </c>
      <c r="F25" s="52">
        <f t="shared" si="7"/>
        <v>0.40116391747002117</v>
      </c>
      <c r="I25" s="381"/>
      <c r="J25" s="381"/>
      <c r="M25" s="381"/>
      <c r="N25" s="381"/>
      <c r="P25" s="468"/>
      <c r="Q25" s="469"/>
      <c r="R25" s="469"/>
      <c r="S25" s="469"/>
      <c r="T25" s="469"/>
      <c r="U25" s="99"/>
      <c r="V25" s="99"/>
      <c r="Y25" s="465"/>
      <c r="Z25" s="466"/>
      <c r="AA25" s="465"/>
      <c r="AB25" s="465"/>
      <c r="AC25" s="97"/>
      <c r="AD25" s="97"/>
    </row>
    <row r="26" spans="2:30" ht="15">
      <c r="B26" s="455" t="s">
        <v>645</v>
      </c>
      <c r="C26" s="52">
        <v>0.38639999999999997</v>
      </c>
      <c r="D26" s="52">
        <f t="shared" si="5"/>
        <v>0.37933</v>
      </c>
      <c r="E26" s="52">
        <f t="shared" si="6"/>
        <v>0.37873401941739721</v>
      </c>
      <c r="F26" s="52">
        <f t="shared" si="7"/>
        <v>0.38504391747002115</v>
      </c>
      <c r="I26" s="381"/>
      <c r="J26" s="381"/>
      <c r="M26" s="381"/>
      <c r="N26" s="381"/>
      <c r="Q26" s="465"/>
      <c r="R26" s="465"/>
      <c r="S26" s="465"/>
      <c r="T26" s="465"/>
      <c r="U26" s="97"/>
      <c r="V26" s="97"/>
      <c r="Y26" s="465"/>
      <c r="Z26" s="465"/>
      <c r="AA26" s="465"/>
      <c r="AB26" s="466"/>
      <c r="AC26" s="97"/>
      <c r="AD26" s="97"/>
    </row>
    <row r="27" spans="2:30">
      <c r="B27" s="455" t="s">
        <v>646</v>
      </c>
      <c r="C27" s="52">
        <v>0.36997999999999998</v>
      </c>
      <c r="D27" s="52">
        <f t="shared" si="5"/>
        <v>0.36291000000000001</v>
      </c>
      <c r="E27" s="52">
        <f t="shared" si="6"/>
        <v>0.36231401941739722</v>
      </c>
      <c r="F27" s="52">
        <f t="shared" si="7"/>
        <v>0.36862391747002116</v>
      </c>
      <c r="I27" s="381"/>
      <c r="J27" s="381"/>
      <c r="M27" s="381"/>
      <c r="N27" s="381"/>
      <c r="Q27" s="465"/>
      <c r="R27" s="465"/>
      <c r="S27" s="465"/>
      <c r="T27" s="465"/>
      <c r="U27" s="97"/>
      <c r="V27" s="97"/>
      <c r="Y27" s="465"/>
      <c r="Z27" s="465"/>
      <c r="AA27" s="465"/>
      <c r="AB27" s="465"/>
      <c r="AC27" s="97"/>
      <c r="AD27" s="97"/>
    </row>
    <row r="28" spans="2:30">
      <c r="B28" s="380" t="s">
        <v>647</v>
      </c>
      <c r="C28" s="52">
        <v>0.32854</v>
      </c>
      <c r="D28" s="52">
        <f>F14</f>
        <v>0.32854</v>
      </c>
      <c r="E28" s="52">
        <f>H14</f>
        <v>0.32854</v>
      </c>
      <c r="F28" s="52">
        <f>J14</f>
        <v>0.32854</v>
      </c>
      <c r="Q28" s="19"/>
    </row>
    <row r="29" spans="2:30" ht="15" thickBot="1">
      <c r="B29" s="391"/>
      <c r="C29" s="214"/>
      <c r="D29" s="215"/>
      <c r="E29" s="216"/>
      <c r="F29" s="216"/>
      <c r="G29" s="470"/>
      <c r="H29" s="470"/>
      <c r="I29" s="470"/>
      <c r="J29" s="470"/>
      <c r="N29" s="19"/>
    </row>
    <row r="30" spans="2:30" ht="15" thickBot="1">
      <c r="B30" s="391"/>
      <c r="C30" s="540" t="s">
        <v>542</v>
      </c>
      <c r="D30" s="540"/>
      <c r="E30" s="540"/>
      <c r="F30" s="540"/>
      <c r="G30" s="540"/>
      <c r="H30" s="540"/>
      <c r="I30" s="540"/>
      <c r="J30" s="540"/>
      <c r="L30" s="391"/>
    </row>
    <row r="31" spans="2:30">
      <c r="B31" s="391"/>
      <c r="C31" s="525">
        <f>C21</f>
        <v>46023</v>
      </c>
      <c r="D31" s="526"/>
      <c r="E31" s="525">
        <f>D21</f>
        <v>46082</v>
      </c>
      <c r="F31" s="526"/>
      <c r="G31" s="527" t="str">
        <f>_xlfn.TEXTJOIN(" ",TRUE,E20:E21)</f>
        <v>Proposed Authorized</v>
      </c>
      <c r="H31" s="527"/>
      <c r="I31" s="527" t="str">
        <f>_xlfn.TEXTJOIN(" ",TRUE,F20:F21)</f>
        <v>Proposed w/Pending</v>
      </c>
      <c r="J31" s="527"/>
      <c r="L31" s="391"/>
      <c r="M31" s="102"/>
      <c r="N31" s="103"/>
      <c r="O31" s="102"/>
      <c r="P31" s="103"/>
      <c r="Q31" s="104"/>
      <c r="R31" s="104"/>
      <c r="S31" s="88"/>
      <c r="T31" s="104"/>
    </row>
    <row r="32" spans="2:30">
      <c r="B32" s="391"/>
      <c r="C32" s="54" t="s">
        <v>594</v>
      </c>
      <c r="D32" s="54" t="s">
        <v>595</v>
      </c>
      <c r="E32" s="54" t="s">
        <v>594</v>
      </c>
      <c r="F32" s="54" t="s">
        <v>595</v>
      </c>
      <c r="G32" s="54" t="s">
        <v>594</v>
      </c>
      <c r="H32" s="54" t="s">
        <v>595</v>
      </c>
      <c r="I32" s="54" t="s">
        <v>594</v>
      </c>
      <c r="J32" s="54" t="s">
        <v>595</v>
      </c>
      <c r="L32" s="391"/>
      <c r="M32" s="54"/>
      <c r="N32" s="54"/>
      <c r="O32" s="54"/>
      <c r="P32" s="54"/>
      <c r="Q32" s="54"/>
      <c r="R32" s="54"/>
      <c r="S32" s="54"/>
      <c r="T32" s="54"/>
    </row>
    <row r="33" spans="2:28">
      <c r="B33" s="18" t="s">
        <v>63</v>
      </c>
      <c r="C33" s="54">
        <f>SUM(SUM($C$22*$Q22,$C$23*$R22,$C$24*$S22),($C$28*365.25/12))</f>
        <v>412.32505624999999</v>
      </c>
      <c r="D33" s="54">
        <f>SUM(SUM($C$25*$T22,$C$26*$U22,$C$27*$V22),($C$28*365.25/12))</f>
        <v>304.89143624999997</v>
      </c>
      <c r="E33" s="54">
        <f>SUM(SUM($D$22*$Q22,$D$23*$R22,$D$24*$S22),($D$28*365.25/12))</f>
        <v>405.69339625000009</v>
      </c>
      <c r="F33" s="54">
        <f>SUM(SUM($D$25*$T22,$D$26*$U22,$D$27*$V22),($D$28*365.25/12))</f>
        <v>299.53237625000008</v>
      </c>
      <c r="G33" s="54">
        <f>SUM(SUM($E$22*$Q22,$E$23*$R22,$E$24*$S22),($E$28*365.25/12))</f>
        <v>405.13436646351863</v>
      </c>
      <c r="H33" s="54">
        <f>SUM(SUM($E$25*$T22,$E$26*$U22,$E$27*$V22),($E$28*365.25/12))</f>
        <v>299.0806229683871</v>
      </c>
      <c r="I33" s="54">
        <f>SUM(SUM($F$22*$Q22,$F$23*$R22,$F$24*$S22),($F$28*365.25/12))</f>
        <v>411.05305083687983</v>
      </c>
      <c r="J33" s="54">
        <f>SUM(SUM($F$25*$T22,$F$26*$U22,$F$27*$V22),($F$28*365.25/12))</f>
        <v>303.86352569227603</v>
      </c>
      <c r="M33" s="54"/>
      <c r="N33" s="54"/>
      <c r="O33" s="54"/>
      <c r="P33" s="54"/>
      <c r="Q33" s="54"/>
      <c r="R33" s="54"/>
      <c r="S33" s="54"/>
      <c r="T33" s="54"/>
      <c r="W33" s="18" t="s">
        <v>561</v>
      </c>
      <c r="X33" s="18" t="s">
        <v>542</v>
      </c>
      <c r="Y33" s="18">
        <f>'Res Bill Impact'!Y38</f>
        <v>2026</v>
      </c>
      <c r="Z33" s="18">
        <f>Y33+1</f>
        <v>2027</v>
      </c>
      <c r="AA33" s="18">
        <f>Z33+1</f>
        <v>2028</v>
      </c>
      <c r="AB33" s="18">
        <f>AA33+1</f>
        <v>2029</v>
      </c>
    </row>
    <row r="34" spans="2:28" ht="15.5">
      <c r="B34" s="18" t="s">
        <v>64</v>
      </c>
      <c r="C34" s="54">
        <f>SUM(SUM($C$22*$Q23,$C$23*$R23,$C$24*$S23),($C$28*365.25/12))</f>
        <v>742.40728624999997</v>
      </c>
      <c r="D34" s="54">
        <f>SUM(SUM($C$25*$T23,$C$26*$U23,$C$27*$V23),($C$28*365.25/12))</f>
        <v>452.69923625000001</v>
      </c>
      <c r="E34" s="54">
        <f>SUM(SUM($D$22*$Q23,$D$23*$R23,$D$24*$S23),($D$28*365.25/12))</f>
        <v>730.33172625000009</v>
      </c>
      <c r="F34" s="54">
        <f>SUM(SUM($D$25*$T23,$D$26*$U23,$D$27*$V23),($D$28*365.25/12))</f>
        <v>444.63236625000002</v>
      </c>
      <c r="G34" s="54">
        <f>SUM(SUM($E$22*$Q23,$E$23*$R23,$E$24*$S23),($E$28*365.25/12))</f>
        <v>729.31379141491448</v>
      </c>
      <c r="H34" s="54">
        <f>SUM(SUM($E$25*$T23,$E$26*$U23,$E$27*$V23),($E$28*365.25/12))</f>
        <v>443.95235240525022</v>
      </c>
      <c r="I34" s="54">
        <f>SUM(SUM($F$22*$Q23,$F$23*$R23,$F$24*$S23),($F$28*365.25/12))</f>
        <v>740.09109728879616</v>
      </c>
      <c r="J34" s="54">
        <f>SUM(SUM($F$25*$T23,$F$26*$U23,$F$27*$V23),($F$28*365.25/12))</f>
        <v>451.15194608329415</v>
      </c>
      <c r="M34" s="54"/>
      <c r="N34" s="54"/>
      <c r="O34" s="54"/>
      <c r="P34" s="54"/>
      <c r="Q34" s="54"/>
      <c r="R34" s="54"/>
      <c r="S34" s="54"/>
      <c r="T34" s="54"/>
      <c r="V34" s="19" t="s">
        <v>594</v>
      </c>
      <c r="W34" s="19" t="s">
        <v>653</v>
      </c>
      <c r="X34" s="19" t="s">
        <v>653</v>
      </c>
      <c r="Y34" s="66">
        <v>148431.96953137699</v>
      </c>
      <c r="Z34" s="66">
        <f>Y34</f>
        <v>148431.96953137699</v>
      </c>
      <c r="AA34" s="66">
        <f>$Z34</f>
        <v>148431.96953137699</v>
      </c>
      <c r="AB34" s="66">
        <f>$Z34</f>
        <v>148431.96953137699</v>
      </c>
    </row>
    <row r="35" spans="2:28" ht="15.5">
      <c r="B35" s="18" t="s">
        <v>65</v>
      </c>
      <c r="C35" s="54">
        <f>SUM(SUM($C$22*$Q24,$C$23*$R24,$C$24*$S24),($C$28*365.25/12))</f>
        <v>1640.8302962499999</v>
      </c>
      <c r="D35" s="54">
        <f>SUM(SUM($C$25*$T24,$C$26*$U24,$C$27*$V24),($C$28*365.25/12))</f>
        <v>1019.60887625</v>
      </c>
      <c r="E35" s="54">
        <f>SUM(SUM($D$22*$Q24,$D$23*$R24,$D$24*$S24),($D$28*365.25/12))</f>
        <v>1614.1763962500002</v>
      </c>
      <c r="F35" s="54">
        <f>SUM(SUM($D$25*$T24,$D$26*$U24,$D$27*$V24),($D$28*365.25/12))</f>
        <v>1001.26929625</v>
      </c>
      <c r="G35" s="54">
        <f>SUM(SUM($E$22*$Q24,$E$23*$R24,$E$24*$S24),($E$28*365.25/12))</f>
        <v>1611.9295494535875</v>
      </c>
      <c r="H35" s="54">
        <f>SUM(SUM($E$25*$T24,$E$26*$U24,$E$27*$V24),($E$28*365.25/12))</f>
        <v>999.72332261872839</v>
      </c>
      <c r="I35" s="54">
        <f>SUM(SUM($F$22*$Q24,$F$23*$R24,$F$24*$S24),($F$28*365.25/12))</f>
        <v>1635.71786511198</v>
      </c>
      <c r="J35" s="54">
        <f>SUM(SUM($F$25*$T24,$F$26*$U24,$F$27*$V24),($F$28*365.25/12))</f>
        <v>1016.0911981672349</v>
      </c>
      <c r="M35" s="54"/>
      <c r="N35" s="54"/>
      <c r="O35" s="54"/>
      <c r="P35" s="54"/>
      <c r="Q35" s="54"/>
      <c r="R35" s="54"/>
      <c r="S35" s="54"/>
      <c r="T35" s="54"/>
      <c r="V35" s="19" t="s">
        <v>594</v>
      </c>
      <c r="W35" s="19" t="s">
        <v>657</v>
      </c>
      <c r="X35" s="19" t="s">
        <v>657</v>
      </c>
      <c r="Y35" s="66">
        <v>102276.79442666098</v>
      </c>
      <c r="Z35" s="66">
        <f t="shared" ref="Z35:Z41" si="9">Y35</f>
        <v>102276.79442666098</v>
      </c>
      <c r="AA35" s="66">
        <f t="shared" ref="AA35:AB39" si="10">$Z35</f>
        <v>102276.79442666098</v>
      </c>
      <c r="AB35" s="66">
        <f t="shared" si="10"/>
        <v>102276.79442666098</v>
      </c>
    </row>
    <row r="36" spans="2:28" ht="15.5">
      <c r="C36" s="54"/>
      <c r="D36" s="54"/>
      <c r="E36" s="54"/>
      <c r="F36" s="54"/>
      <c r="G36" s="54"/>
      <c r="H36" s="54"/>
      <c r="I36" s="54"/>
      <c r="J36" s="54"/>
      <c r="M36" s="54"/>
      <c r="N36" s="54"/>
      <c r="O36" s="54"/>
      <c r="P36" s="54"/>
      <c r="Q36" s="54"/>
      <c r="R36" s="54"/>
      <c r="S36" s="54"/>
      <c r="T36" s="54"/>
      <c r="V36" s="19" t="s">
        <v>594</v>
      </c>
      <c r="W36" s="19" t="s">
        <v>658</v>
      </c>
      <c r="X36" s="19" t="s">
        <v>658</v>
      </c>
      <c r="Y36" s="66">
        <v>331735.01479594107</v>
      </c>
      <c r="Z36" s="66">
        <f t="shared" si="9"/>
        <v>331735.01479594107</v>
      </c>
      <c r="AA36" s="66">
        <f t="shared" si="10"/>
        <v>331735.01479594107</v>
      </c>
      <c r="AB36" s="66">
        <f t="shared" si="10"/>
        <v>331735.01479594107</v>
      </c>
    </row>
    <row r="37" spans="2:28" ht="15.5">
      <c r="C37" s="54"/>
      <c r="D37" s="54"/>
      <c r="E37" s="54"/>
      <c r="F37" s="54"/>
      <c r="G37" s="111"/>
      <c r="H37" s="111"/>
      <c r="I37" s="54"/>
      <c r="J37" s="54"/>
      <c r="M37" s="54"/>
      <c r="N37" s="54"/>
      <c r="O37" s="54"/>
      <c r="P37" s="54"/>
      <c r="Q37" s="54"/>
      <c r="R37" s="54"/>
      <c r="S37" s="54"/>
      <c r="T37" s="54"/>
      <c r="V37" s="19" t="s">
        <v>595</v>
      </c>
      <c r="W37" s="19" t="s">
        <v>653</v>
      </c>
      <c r="X37" s="19" t="s">
        <v>657</v>
      </c>
      <c r="Y37" s="66">
        <v>224629.25731840497</v>
      </c>
      <c r="Z37" s="66">
        <f t="shared" si="9"/>
        <v>224629.25731840497</v>
      </c>
      <c r="AA37" s="66">
        <f t="shared" si="10"/>
        <v>224629.25731840497</v>
      </c>
      <c r="AB37" s="66">
        <f t="shared" si="10"/>
        <v>224629.25731840497</v>
      </c>
    </row>
    <row r="38" spans="2:28" ht="15" customHeight="1">
      <c r="C38" s="54"/>
      <c r="D38" s="54"/>
      <c r="E38" s="54"/>
      <c r="F38" s="54"/>
      <c r="G38" s="111"/>
      <c r="H38" s="111"/>
      <c r="I38" s="54"/>
      <c r="J38" s="54"/>
      <c r="M38" s="54"/>
      <c r="N38" s="54"/>
      <c r="O38" s="54"/>
      <c r="P38" s="54"/>
      <c r="Q38" s="54"/>
      <c r="R38" s="54"/>
      <c r="S38" s="54"/>
      <c r="T38" s="54"/>
      <c r="V38" s="19" t="s">
        <v>595</v>
      </c>
      <c r="W38" s="19" t="s">
        <v>658</v>
      </c>
      <c r="X38" s="19" t="s">
        <v>658</v>
      </c>
      <c r="Y38" s="66">
        <v>650611.21810376388</v>
      </c>
      <c r="Z38" s="66">
        <f t="shared" si="9"/>
        <v>650611.21810376388</v>
      </c>
      <c r="AA38" s="66">
        <f t="shared" si="10"/>
        <v>650611.21810376388</v>
      </c>
      <c r="AB38" s="66">
        <f t="shared" si="10"/>
        <v>650611.21810376388</v>
      </c>
    </row>
    <row r="39" spans="2:28" ht="15" customHeight="1">
      <c r="C39" s="54"/>
      <c r="D39" s="54"/>
      <c r="E39" s="54"/>
      <c r="F39" s="54"/>
      <c r="G39" s="111"/>
      <c r="H39" s="111"/>
      <c r="I39" s="54"/>
      <c r="J39" s="54"/>
      <c r="M39" s="54"/>
      <c r="N39" s="54"/>
      <c r="O39" s="54"/>
      <c r="P39" s="54"/>
      <c r="Q39" s="54"/>
      <c r="R39" s="54"/>
      <c r="S39" s="54"/>
      <c r="T39" s="54"/>
      <c r="V39" s="19" t="s">
        <v>595</v>
      </c>
      <c r="W39" s="19" t="s">
        <v>659</v>
      </c>
      <c r="X39" s="19" t="s">
        <v>660</v>
      </c>
      <c r="Y39" s="66">
        <v>69528.629811378007</v>
      </c>
      <c r="Z39" s="66">
        <f t="shared" si="9"/>
        <v>69528.629811378007</v>
      </c>
      <c r="AA39" s="66">
        <f t="shared" si="10"/>
        <v>69528.629811378007</v>
      </c>
      <c r="AB39" s="66">
        <f t="shared" si="10"/>
        <v>69528.629811378007</v>
      </c>
    </row>
    <row r="40" spans="2:28" ht="15" customHeight="1">
      <c r="C40" s="54"/>
      <c r="D40" s="54"/>
      <c r="E40" s="54"/>
      <c r="F40" s="54"/>
      <c r="G40" s="54"/>
      <c r="H40" s="54"/>
      <c r="I40" s="54"/>
      <c r="J40" s="54"/>
      <c r="M40" s="54"/>
      <c r="N40" s="54"/>
      <c r="O40" s="54"/>
      <c r="P40" s="54"/>
      <c r="Q40" s="54"/>
      <c r="R40" s="54"/>
      <c r="S40" s="54"/>
      <c r="T40" s="54"/>
      <c r="Z40" s="66">
        <f t="shared" si="9"/>
        <v>0</v>
      </c>
    </row>
    <row r="41" spans="2:28" ht="15.5">
      <c r="V41" s="18" t="s">
        <v>661</v>
      </c>
      <c r="W41" s="18" t="s">
        <v>662</v>
      </c>
      <c r="Y41" s="66">
        <v>824.49997799000005</v>
      </c>
      <c r="Z41" s="66">
        <f t="shared" si="9"/>
        <v>824.49997799000005</v>
      </c>
      <c r="AA41" s="66">
        <f>$Z41</f>
        <v>824.49997799000005</v>
      </c>
      <c r="AB41" s="66">
        <f>$Z41</f>
        <v>824.49997799000005</v>
      </c>
    </row>
  </sheetData>
  <mergeCells count="12">
    <mergeCell ref="Y21:Z21"/>
    <mergeCell ref="AA21:AB21"/>
    <mergeCell ref="C30:J30"/>
    <mergeCell ref="C31:D31"/>
    <mergeCell ref="E31:F31"/>
    <mergeCell ref="G31:H31"/>
    <mergeCell ref="I31:J31"/>
    <mergeCell ref="B2:D2"/>
    <mergeCell ref="E3:K3"/>
    <mergeCell ref="Q20:S20"/>
    <mergeCell ref="AC20:AD20"/>
    <mergeCell ref="T20:V20"/>
  </mergeCell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53E89-DD7E-459E-8738-720B77FF019E}">
  <sheetPr codeName="Sheet6">
    <tabColor rgb="FF92D050"/>
    <pageSetUpPr autoPageBreaks="0"/>
  </sheetPr>
  <dimension ref="A1:S109"/>
  <sheetViews>
    <sheetView tabSelected="1" zoomScale="70" zoomScaleNormal="70" workbookViewId="0">
      <selection activeCell="E20" sqref="E20"/>
    </sheetView>
  </sheetViews>
  <sheetFormatPr defaultColWidth="8.81640625" defaultRowHeight="14.5"/>
  <cols>
    <col min="1" max="1" width="5.54296875" style="18" customWidth="1"/>
    <col min="2" max="2" width="11.54296875" style="18" bestFit="1" customWidth="1"/>
    <col min="3" max="3" width="44.81640625" style="18" bestFit="1" customWidth="1"/>
    <col min="4" max="4" width="19" style="18" customWidth="1"/>
    <col min="5" max="5" width="18" style="18" customWidth="1"/>
    <col min="6" max="6" width="13.453125" style="18" customWidth="1"/>
    <col min="7" max="8" width="15.7265625" style="18" customWidth="1"/>
    <col min="9" max="9" width="14.1796875" style="18" customWidth="1"/>
    <col min="10" max="10" width="14.81640625" style="18" customWidth="1"/>
    <col min="11" max="11" width="21.54296875" style="18" customWidth="1"/>
    <col min="12" max="14" width="13.453125" style="18" customWidth="1"/>
    <col min="15" max="16" width="15.7265625" style="18" customWidth="1"/>
    <col min="17" max="17" width="13.453125" style="18" customWidth="1"/>
    <col min="18" max="19" width="15.81640625" style="18" customWidth="1"/>
    <col min="20" max="24" width="15.54296875" style="18" customWidth="1"/>
    <col min="25" max="16384" width="8.81640625" style="18"/>
  </cols>
  <sheetData>
    <row r="1" spans="2:18">
      <c r="B1" s="3"/>
    </row>
    <row r="2" spans="2:18">
      <c r="B2" s="13" t="s">
        <v>112</v>
      </c>
      <c r="J2" s="13" t="s">
        <v>113</v>
      </c>
      <c r="K2" s="14"/>
      <c r="L2" s="14"/>
    </row>
    <row r="3" spans="2:18">
      <c r="B3" s="14"/>
      <c r="C3" s="19" t="s">
        <v>119</v>
      </c>
      <c r="D3" s="20">
        <v>500</v>
      </c>
      <c r="J3" s="14" t="s">
        <v>116</v>
      </c>
      <c r="K3" s="16"/>
      <c r="L3" s="237">
        <v>46082</v>
      </c>
    </row>
    <row r="4" spans="2:18">
      <c r="B4" s="17"/>
      <c r="C4" s="37" t="s">
        <v>117</v>
      </c>
      <c r="D4" s="20" t="s">
        <v>118</v>
      </c>
      <c r="J4" s="14" t="s">
        <v>120</v>
      </c>
      <c r="K4" s="16"/>
      <c r="L4" s="238">
        <v>2026</v>
      </c>
    </row>
    <row r="5" spans="2:18">
      <c r="C5" s="19" t="s">
        <v>114</v>
      </c>
      <c r="D5" s="134" t="s">
        <v>115</v>
      </c>
      <c r="J5" s="17" t="s">
        <v>121</v>
      </c>
      <c r="L5" s="239">
        <v>4</v>
      </c>
      <c r="M5" s="17" t="s">
        <v>122</v>
      </c>
    </row>
    <row r="6" spans="2:18">
      <c r="C6" s="1"/>
      <c r="D6" s="42" t="s">
        <v>663</v>
      </c>
      <c r="F6" s="38"/>
      <c r="J6" s="17" t="s">
        <v>123</v>
      </c>
      <c r="L6" s="240">
        <v>8</v>
      </c>
      <c r="M6" s="17" t="s">
        <v>122</v>
      </c>
    </row>
    <row r="7" spans="2:18">
      <c r="B7" s="43"/>
      <c r="C7" s="36" t="s">
        <v>233</v>
      </c>
      <c r="D7" s="168"/>
      <c r="E7" s="44"/>
      <c r="J7" s="17" t="s">
        <v>127</v>
      </c>
      <c r="L7" s="241" t="s">
        <v>128</v>
      </c>
      <c r="M7" s="21"/>
    </row>
    <row r="8" spans="2:18">
      <c r="B8" s="40"/>
      <c r="C8" s="36" t="s">
        <v>248</v>
      </c>
      <c r="D8" s="168"/>
      <c r="E8" s="38"/>
      <c r="F8" s="39"/>
      <c r="J8" s="18" t="s">
        <v>131</v>
      </c>
      <c r="L8" s="242">
        <v>-36.17754594732898</v>
      </c>
    </row>
    <row r="9" spans="2:18">
      <c r="B9" s="40"/>
      <c r="C9" s="36" t="s">
        <v>214</v>
      </c>
      <c r="D9" s="168"/>
      <c r="E9" s="38"/>
      <c r="F9" s="39"/>
      <c r="N9" s="14"/>
      <c r="P9" s="541" t="s">
        <v>664</v>
      </c>
      <c r="Q9" s="541" t="s">
        <v>665</v>
      </c>
    </row>
    <row r="10" spans="2:18">
      <c r="B10" s="40"/>
      <c r="C10" s="36" t="s">
        <v>336</v>
      </c>
      <c r="D10" s="168"/>
      <c r="E10" s="38"/>
      <c r="F10" s="39"/>
      <c r="N10" s="18" t="s">
        <v>133</v>
      </c>
      <c r="O10" s="18" t="s">
        <v>134</v>
      </c>
      <c r="P10" s="542"/>
      <c r="Q10" s="542"/>
    </row>
    <row r="11" spans="2:18">
      <c r="B11" s="40"/>
      <c r="C11" s="36" t="s">
        <v>243</v>
      </c>
      <c r="D11" s="168"/>
      <c r="E11" s="38"/>
      <c r="F11" s="39"/>
      <c r="J11" s="17" t="s">
        <v>136</v>
      </c>
      <c r="N11" s="81">
        <f>IF($D$4="ALL",SUMPRODUCT('Hypothetical Res Bill Impact'!Q$22:Q$31,'Hypothetical Res Bill Impact'!$U$22:$U$31),VLOOKUP(D$4,'Hypothetical Res Bill Impact'!$P$22:$T$31,2,FALSE))</f>
        <v>413.75</v>
      </c>
      <c r="O11" s="81">
        <f>IF($D$4="ALL",SUMPRODUCT('Hypothetical Res Bill Impact'!Y$22:Y$31,'Hypothetical Res Bill Impact'!$AC$22:$AC$31),VLOOKUP($D$4,'Hypothetical Res Bill Impact'!$X$22:$AB$31,2,FALSE))</f>
        <v>401.25</v>
      </c>
      <c r="P11" s="81">
        <f>VLOOKUP($D$4,'Hypothetical Res Bill Impact'!$H$22:$J$31,2,FALSE)</f>
        <v>298.28750000000002</v>
      </c>
      <c r="Q11" s="81">
        <f>VLOOKUP($D$4,'Hypothetical Res Bill Impact'!$L$22:$N$31,2,FALSE)</f>
        <v>258.71875</v>
      </c>
      <c r="R11" s="17" t="s">
        <v>137</v>
      </c>
    </row>
    <row r="12" spans="2:18">
      <c r="B12" s="40"/>
      <c r="C12" s="36" t="s">
        <v>259</v>
      </c>
      <c r="D12" s="168"/>
      <c r="E12" s="45"/>
      <c r="F12" s="39"/>
      <c r="J12" s="17" t="s">
        <v>138</v>
      </c>
      <c r="N12" s="81">
        <f>IF($D$4="ALL",SUMPRODUCT('Hypothetical Res Bill Impact'!R$22:R$31,'Hypothetical Res Bill Impact'!$U$22:$U$31),VLOOKUP(D$4,'Hypothetical Res Bill Impact'!$P$22:$T$31,3,FALSE))</f>
        <v>400.625</v>
      </c>
      <c r="O12" s="81">
        <f>IF($D$4="ALL",SUMPRODUCT('Hypothetical Res Bill Impact'!Y$22:Y$31,'Hypothetical Res Bill Impact'!$AC$22:$AC$31),VLOOKUP($D$4,'Hypothetical Res Bill Impact'!$X$22:$AB$31,3,FALSE))</f>
        <v>458</v>
      </c>
      <c r="P12" s="81">
        <f>VLOOKUP($D$4,'Hypothetical Res Bill Impact'!$H$22:$J$31,3,FALSE)</f>
        <v>295.24374999999998</v>
      </c>
      <c r="Q12" s="81">
        <f>VLOOKUP($D$4,'Hypothetical Res Bill Impact'!$L$22:$N$31,3,FALSE)</f>
        <v>444.38749999999999</v>
      </c>
      <c r="R12" s="17" t="s">
        <v>137</v>
      </c>
    </row>
    <row r="13" spans="2:18">
      <c r="B13" s="40"/>
      <c r="C13" s="36" t="s">
        <v>338</v>
      </c>
      <c r="D13" s="168"/>
      <c r="E13" s="38"/>
      <c r="F13" s="39"/>
      <c r="J13" s="17" t="s">
        <v>140</v>
      </c>
      <c r="N13" s="81">
        <f>(N11*4)+(N12*8)</f>
        <v>4860</v>
      </c>
      <c r="O13" s="81">
        <f>(O11*4)+(O12*8)</f>
        <v>5269</v>
      </c>
      <c r="P13" s="81">
        <f>(P11*4)+(P12*8)</f>
        <v>3555.1</v>
      </c>
      <c r="Q13" s="81">
        <f>(Q11*4)+(Q12*8)</f>
        <v>4589.9750000000004</v>
      </c>
      <c r="R13" s="17" t="s">
        <v>141</v>
      </c>
    </row>
    <row r="14" spans="2:18">
      <c r="B14" s="40"/>
      <c r="C14" s="36" t="s">
        <v>402</v>
      </c>
      <c r="D14" s="168"/>
      <c r="E14" s="38"/>
      <c r="F14" s="39"/>
      <c r="J14" s="17" t="s">
        <v>143</v>
      </c>
      <c r="N14" s="81">
        <f>IF(D$4="ALL",SUMPRODUCT('Hypothetical Res Bill Impact'!S$22:S$31,'Hypothetical Res Bill Impact'!$V$22:$V$31),VLOOKUP(D$4,'Hypothetical Res Bill Impact'!$P$22:$T$31,4,FALSE))</f>
        <v>390.75</v>
      </c>
      <c r="O14" s="81">
        <f>IF($D$4="ALL",SUMPRODUCT('Hypothetical Res Bill Impact'!Y$22:Y$31,'Hypothetical Res Bill Impact'!$AD$22:$AD$31),VLOOKUP($D$4,'Hypothetical Res Bill Impact'!$X$22:$AB$31,4,FALSE))</f>
        <v>376.5</v>
      </c>
      <c r="P14" s="81">
        <f t="shared" ref="P14:Q16" si="0">P11</f>
        <v>298.28750000000002</v>
      </c>
      <c r="Q14" s="81">
        <f t="shared" si="0"/>
        <v>258.71875</v>
      </c>
      <c r="R14" s="17" t="s">
        <v>137</v>
      </c>
    </row>
    <row r="15" spans="2:18">
      <c r="B15" s="40"/>
      <c r="C15" s="36" t="s">
        <v>242</v>
      </c>
      <c r="D15" s="168"/>
      <c r="E15" s="38"/>
      <c r="F15" s="39"/>
      <c r="J15" s="17" t="s">
        <v>145</v>
      </c>
      <c r="N15" s="81">
        <f>IF($D$4="ALL",SUMPRODUCT('Hypothetical Res Bill Impact'!T$22:T$31,'Hypothetical Res Bill Impact'!$V$22:$V$31),VLOOKUP(D$4,'Hypothetical Res Bill Impact'!$P$22:$T$31,5,FALSE))</f>
        <v>383</v>
      </c>
      <c r="O15" s="81">
        <f>IF($D$4="ALL",SUMPRODUCT('Hypothetical Res Bill Impact'!Y$22:Y$31,'Hypothetical Res Bill Impact'!$AD$22:$AD$31),VLOOKUP($D$4,'Hypothetical Res Bill Impact'!$X$22:$AB$31,5,FALSE))</f>
        <v>438.5</v>
      </c>
      <c r="P15" s="81">
        <f t="shared" si="0"/>
        <v>295.24374999999998</v>
      </c>
      <c r="Q15" s="81">
        <f t="shared" si="0"/>
        <v>444.38749999999999</v>
      </c>
      <c r="R15" s="17" t="s">
        <v>137</v>
      </c>
    </row>
    <row r="16" spans="2:18">
      <c r="B16" s="40"/>
      <c r="C16" s="36" t="s">
        <v>421</v>
      </c>
      <c r="D16" s="168"/>
      <c r="E16" s="38"/>
      <c r="F16" s="39"/>
      <c r="J16" s="17" t="s">
        <v>148</v>
      </c>
      <c r="N16" s="81">
        <f>(N14*4)+(N15*8)</f>
        <v>4627</v>
      </c>
      <c r="O16" s="81">
        <f>(O14*4)+(O15*8)</f>
        <v>5014</v>
      </c>
      <c r="P16" s="81">
        <f t="shared" si="0"/>
        <v>3555.1</v>
      </c>
      <c r="Q16" s="81">
        <f t="shared" si="0"/>
        <v>4589.9750000000004</v>
      </c>
      <c r="R16" s="17" t="s">
        <v>141</v>
      </c>
    </row>
    <row r="17" spans="2:19">
      <c r="B17" s="36"/>
      <c r="C17" s="36" t="s">
        <v>425</v>
      </c>
      <c r="D17" s="168"/>
      <c r="F17" s="39"/>
      <c r="J17" s="17" t="s">
        <v>150</v>
      </c>
      <c r="N17" s="19"/>
      <c r="P17" s="53" t="str">
        <f>LEFT('Res Bill Impact'!P19,4)</f>
        <v>2025</v>
      </c>
    </row>
    <row r="18" spans="2:19">
      <c r="B18" s="36"/>
      <c r="C18" s="36" t="s">
        <v>225</v>
      </c>
      <c r="D18" s="168"/>
      <c r="F18" s="39"/>
      <c r="J18" s="17"/>
      <c r="M18" s="17"/>
    </row>
    <row r="19" spans="2:19">
      <c r="B19" s="36"/>
      <c r="C19" s="36" t="s">
        <v>282</v>
      </c>
      <c r="D19" s="168"/>
      <c r="F19" s="39"/>
      <c r="J19" s="17"/>
      <c r="M19" s="17"/>
    </row>
    <row r="20" spans="2:19">
      <c r="B20" s="36"/>
      <c r="C20" s="18" t="s">
        <v>217</v>
      </c>
      <c r="D20" s="2"/>
      <c r="F20" s="39"/>
      <c r="J20" s="17"/>
      <c r="M20" s="17"/>
    </row>
    <row r="21" spans="2:19">
      <c r="B21" s="36"/>
      <c r="C21" s="36" t="s">
        <v>170</v>
      </c>
      <c r="D21" s="59">
        <f>SUM(D7:D20)</f>
        <v>0</v>
      </c>
      <c r="F21" s="39"/>
      <c r="J21" s="17"/>
      <c r="M21" s="17"/>
    </row>
    <row r="22" spans="2:19">
      <c r="B22" s="13" t="s">
        <v>151</v>
      </c>
      <c r="D22" s="18" t="s">
        <v>666</v>
      </c>
    </row>
    <row r="23" spans="2:19" ht="15" thickBot="1">
      <c r="D23" s="46" t="s">
        <v>152</v>
      </c>
      <c r="E23" s="46" t="s">
        <v>153</v>
      </c>
      <c r="F23" s="46" t="s">
        <v>154</v>
      </c>
      <c r="G23" s="46" t="s">
        <v>667</v>
      </c>
      <c r="H23" s="46" t="s">
        <v>668</v>
      </c>
      <c r="L23" s="46" t="s">
        <v>152</v>
      </c>
      <c r="M23" s="46" t="s">
        <v>153</v>
      </c>
      <c r="N23" s="46" t="s">
        <v>154</v>
      </c>
      <c r="O23" s="46" t="s">
        <v>667</v>
      </c>
      <c r="P23" s="46" t="s">
        <v>668</v>
      </c>
    </row>
    <row r="24" spans="2:19">
      <c r="B24" s="494" t="s">
        <v>159</v>
      </c>
      <c r="C24" s="495"/>
      <c r="D24" s="495"/>
      <c r="E24" s="495"/>
      <c r="F24" s="495"/>
      <c r="G24" s="495"/>
      <c r="H24" s="496"/>
      <c r="J24" s="494" t="s">
        <v>160</v>
      </c>
      <c r="K24" s="495"/>
      <c r="L24" s="495"/>
      <c r="M24" s="495"/>
      <c r="N24" s="495"/>
      <c r="O24" s="495"/>
      <c r="P24" s="496"/>
    </row>
    <row r="25" spans="2:19" ht="29">
      <c r="B25" s="500" t="s">
        <v>161</v>
      </c>
      <c r="C25" s="501"/>
      <c r="D25" s="12">
        <v>46023</v>
      </c>
      <c r="E25" s="12">
        <f>L3</f>
        <v>46082</v>
      </c>
      <c r="F25" s="15" t="s">
        <v>570</v>
      </c>
      <c r="G25" s="15" t="str">
        <f>"% Change over "&amp;TEXT(D25,"mm/d/yyyy")</f>
        <v>% Change over 01/1/2026</v>
      </c>
      <c r="H25" s="4" t="str">
        <f>"% Change over "&amp;TEXT(E25,"mm/d/yyyy")</f>
        <v>% Change over 03/1/2026</v>
      </c>
      <c r="J25" s="502" t="s">
        <v>161</v>
      </c>
      <c r="K25" s="503"/>
      <c r="L25" s="12">
        <f>$D$25</f>
        <v>46023</v>
      </c>
      <c r="M25" s="12">
        <f>$E$25</f>
        <v>46082</v>
      </c>
      <c r="N25" s="15" t="s">
        <v>570</v>
      </c>
      <c r="O25" s="15" t="str">
        <f>$G$25</f>
        <v>% Change over 01/1/2026</v>
      </c>
      <c r="P25" s="4" t="str">
        <f>$H$25</f>
        <v>% Change over 03/1/2026</v>
      </c>
    </row>
    <row r="26" spans="2:19">
      <c r="B26" s="504" t="s">
        <v>163</v>
      </c>
      <c r="C26" s="505"/>
      <c r="D26" s="131">
        <f>IF($D$5="Y", 'Hypothetical SAR and RAR'!AB45, 'Hypothetical SAR and RAR'!AC45)</f>
        <v>33.674121802021645</v>
      </c>
      <c r="E26" s="22">
        <f>IF($D$5="Y", 'Hypothetical SAR and RAR'!AB50, 'Hypothetical SAR and RAR'!AC50)</f>
        <v>32.340654762006949</v>
      </c>
      <c r="F26" s="22">
        <f>'Hypothetical SAR and RAR'!G29</f>
        <v>32.340654762006949</v>
      </c>
      <c r="G26" s="23">
        <f t="shared" ref="G26:H28" si="1">$F26/D26-1</f>
        <v>-3.9599163056262432E-2</v>
      </c>
      <c r="H26" s="47">
        <f t="shared" si="1"/>
        <v>0</v>
      </c>
      <c r="J26" s="504" t="s">
        <v>164</v>
      </c>
      <c r="K26" s="505"/>
      <c r="L26" s="22">
        <f>IF($D$5="Y", 'Hypothetical SAR and RAR'!AE45, 'Hypothetical SAR and RAR'!AF45)</f>
        <v>30.486135087914555</v>
      </c>
      <c r="M26" s="22">
        <f>IF($D$5="Y", 'Hypothetical SAR and RAR'!AE50, 'Hypothetical SAR and RAR'!AF50)</f>
        <v>29.788022651798478</v>
      </c>
      <c r="N26" s="22">
        <f>'Hypothetical SAR and RAR'!Q29</f>
        <v>29.788022651798478</v>
      </c>
      <c r="O26" s="23">
        <f t="shared" ref="O26:P28" si="2">$N26/L26-1</f>
        <v>-2.2899342081339258E-2</v>
      </c>
      <c r="P26" s="47">
        <f t="shared" si="2"/>
        <v>0</v>
      </c>
      <c r="S26" s="131"/>
    </row>
    <row r="27" spans="2:19">
      <c r="B27" s="105"/>
      <c r="C27" s="106" t="s">
        <v>542</v>
      </c>
      <c r="D27" s="131">
        <f>IF($D$5="Y", 'Hypothetical SAR and RAR (B-1)'!X31,'Hypothetical SAR and RAR (B-1)'!Y31)</f>
        <v>41.443190323578825</v>
      </c>
      <c r="E27" s="107">
        <f>IF($D$5="Y", 'Hypothetical SAR and RAR (B-1)'!X36,'Hypothetical SAR and RAR (B-1)'!Y36)</f>
        <v>40.73713053702604</v>
      </c>
      <c r="F27" s="107">
        <f>'Hypothetical SAR and RAR (B-1)'!G29</f>
        <v>40.73713053702604</v>
      </c>
      <c r="G27" s="23">
        <f t="shared" si="1"/>
        <v>-1.7036810656709478E-2</v>
      </c>
      <c r="H27" s="47">
        <f t="shared" si="1"/>
        <v>0</v>
      </c>
      <c r="J27" s="105"/>
      <c r="K27" s="106" t="s">
        <v>669</v>
      </c>
      <c r="L27" s="107">
        <f>IF($D$5="Y", 'Hypothetical SAR and RAR (B-1)'!AA31,'Hypothetical SAR and RAR (B-1)'!AB31)</f>
        <v>35.574773392062006</v>
      </c>
      <c r="M27" s="107">
        <f>IF($D$5="Y",'Hypothetical SAR and RAR (B-1)'!AA36,'Hypothetical SAR and RAR (B-1)'!AB36)</f>
        <v>34.868791397863305</v>
      </c>
      <c r="N27" s="107">
        <f>'Hypothetical SAR and RAR (B-1)'!Q29</f>
        <v>34.868791397863305</v>
      </c>
      <c r="O27" s="23">
        <f t="shared" si="2"/>
        <v>-1.9845017322196901E-2</v>
      </c>
      <c r="P27" s="47">
        <f t="shared" si="2"/>
        <v>0</v>
      </c>
    </row>
    <row r="28" spans="2:19" ht="15" thickBot="1">
      <c r="B28" s="492" t="s">
        <v>166</v>
      </c>
      <c r="C28" s="493"/>
      <c r="D28" s="145">
        <f>IF($D$5="Y", 'Hypothetical SAR and RAR'!AB46, 'Hypothetical SAR and RAR'!AC46)</f>
        <v>33.416008222733581</v>
      </c>
      <c r="E28" s="25">
        <f>IF($D$5="Y", 'Hypothetical SAR and RAR'!AB51, 'Hypothetical SAR and RAR'!AC51)</f>
        <v>32.596708001946226</v>
      </c>
      <c r="F28" s="25">
        <f>'Hypothetical SAR and RAR'!G30</f>
        <v>32.596708001946226</v>
      </c>
      <c r="G28" s="26">
        <f t="shared" si="1"/>
        <v>-2.4518195450705216E-2</v>
      </c>
      <c r="H28" s="48">
        <f t="shared" si="1"/>
        <v>0</v>
      </c>
      <c r="J28" s="492" t="s">
        <v>167</v>
      </c>
      <c r="K28" s="493"/>
      <c r="L28" s="25">
        <f>IF($D$5="Y", 'Hypothetical SAR and RAR'!AE46, 'Hypothetical SAR and RAR'!AF46)</f>
        <v>27.143640625458705</v>
      </c>
      <c r="M28" s="25">
        <f>IF($D$5="Y", 'Hypothetical SAR and RAR'!AE51, 'Hypothetical SAR and RAR'!AF51)</f>
        <v>26.65073540105055</v>
      </c>
      <c r="N28" s="25">
        <f>'Hypothetical SAR and RAR'!Q30</f>
        <v>26.65073540105055</v>
      </c>
      <c r="O28" s="26">
        <f t="shared" si="2"/>
        <v>-1.8159141996075712E-2</v>
      </c>
      <c r="P28" s="48">
        <f t="shared" si="2"/>
        <v>0</v>
      </c>
    </row>
    <row r="30" spans="2:19" ht="15" thickBot="1"/>
    <row r="31" spans="2:19">
      <c r="B31" s="487" t="s">
        <v>168</v>
      </c>
      <c r="C31" s="488"/>
      <c r="D31" s="488"/>
      <c r="E31" s="488"/>
      <c r="F31" s="488"/>
      <c r="G31" s="488"/>
      <c r="H31" s="489"/>
      <c r="J31" s="487" t="s">
        <v>169</v>
      </c>
      <c r="K31" s="488"/>
      <c r="L31" s="488"/>
      <c r="M31" s="488"/>
      <c r="N31" s="488"/>
      <c r="O31" s="488"/>
      <c r="P31" s="489"/>
    </row>
    <row r="32" spans="2:19" ht="29">
      <c r="B32" s="28"/>
      <c r="C32" s="29"/>
      <c r="D32" s="12">
        <f>$D$25</f>
        <v>46023</v>
      </c>
      <c r="E32" s="12">
        <f>$E$25</f>
        <v>46082</v>
      </c>
      <c r="F32" s="15" t="s">
        <v>570</v>
      </c>
      <c r="G32" s="15" t="str">
        <f>$G$25</f>
        <v>% Change over 01/1/2026</v>
      </c>
      <c r="H32" s="4" t="str">
        <f>$H$25</f>
        <v>% Change over 03/1/2026</v>
      </c>
      <c r="J32" s="28"/>
      <c r="K32" s="29"/>
      <c r="L32" s="12">
        <f>$D$25</f>
        <v>46023</v>
      </c>
      <c r="M32" s="12">
        <f>$E$25</f>
        <v>46082</v>
      </c>
      <c r="N32" s="15" t="s">
        <v>570</v>
      </c>
      <c r="O32" s="15" t="str">
        <f>$G$25</f>
        <v>% Change over 01/1/2026</v>
      </c>
      <c r="P32" s="4" t="str">
        <f>$H$25</f>
        <v>% Change over 03/1/2026</v>
      </c>
    </row>
    <row r="33" spans="2:17">
      <c r="B33" s="490" t="s">
        <v>59</v>
      </c>
      <c r="C33" s="491"/>
      <c r="D33" s="30">
        <f>((D40*4)+(D47*8)+($L$8*2))/12</f>
        <v>157.62058684211183</v>
      </c>
      <c r="E33" s="30">
        <f>((E40*4)+(E47*8)+($L$8*2))/12</f>
        <v>158.84555228996908</v>
      </c>
      <c r="F33" s="30">
        <f>((F40*4)+(F47*8)+($L$8*2))/12</f>
        <v>158.84555228996908</v>
      </c>
      <c r="G33" s="31">
        <f t="shared" ref="G33:H35" si="3">$F33/D33-1</f>
        <v>7.771608216915693E-3</v>
      </c>
      <c r="H33" s="49">
        <f t="shared" si="3"/>
        <v>0</v>
      </c>
      <c r="J33" s="490" t="s">
        <v>59</v>
      </c>
      <c r="K33" s="491"/>
      <c r="L33" s="30">
        <f>((L40*4)+(L47*8)+($L$8*2))/12</f>
        <v>165.52811246711187</v>
      </c>
      <c r="M33" s="30">
        <f>((M40*4)+(M47*8)+($L$8*2))/12</f>
        <v>165.69785337644797</v>
      </c>
      <c r="N33" s="30">
        <f>((N40*4)+(N47*8)+($L$8*2))/12</f>
        <v>165.69785337644797</v>
      </c>
      <c r="O33" s="31">
        <f t="shared" ref="O33:P35" si="4">$N33/L33-1</f>
        <v>1.0254506428315491E-3</v>
      </c>
      <c r="P33" s="49">
        <f t="shared" si="4"/>
        <v>0</v>
      </c>
    </row>
    <row r="34" spans="2:17">
      <c r="B34" s="490" t="s">
        <v>60</v>
      </c>
      <c r="C34" s="491"/>
      <c r="D34" s="30">
        <f t="shared" ref="D34:F35" si="5">((D41*4)+(D48*8)+($L$8*2))/12</f>
        <v>88.300450925445162</v>
      </c>
      <c r="E34" s="30">
        <f t="shared" si="5"/>
        <v>83.461969044315921</v>
      </c>
      <c r="F34" s="30">
        <f t="shared" si="5"/>
        <v>82.304140529387197</v>
      </c>
      <c r="G34" s="31">
        <f t="shared" si="3"/>
        <v>-6.7908038217390776E-2</v>
      </c>
      <c r="H34" s="50">
        <f t="shared" si="3"/>
        <v>-1.3872528148885954E-2</v>
      </c>
      <c r="J34" s="490" t="s">
        <v>60</v>
      </c>
      <c r="K34" s="491"/>
      <c r="L34" s="30">
        <f t="shared" ref="L34:N35" si="6">((L41*4)+(L48*8)+($L$8*2))/12</f>
        <v>92.613175779611836</v>
      </c>
      <c r="M34" s="30">
        <f t="shared" si="6"/>
        <v>86.146169055757255</v>
      </c>
      <c r="N34" s="30">
        <f t="shared" si="6"/>
        <v>86.146169055757255</v>
      </c>
      <c r="O34" s="31">
        <f t="shared" si="4"/>
        <v>-6.982814993024189E-2</v>
      </c>
      <c r="P34" s="50">
        <f t="shared" si="4"/>
        <v>0</v>
      </c>
    </row>
    <row r="35" spans="2:17" ht="15" thickBot="1">
      <c r="B35" s="492" t="s">
        <v>170</v>
      </c>
      <c r="C35" s="493"/>
      <c r="D35" s="33">
        <f t="shared" si="5"/>
        <v>138.87287098564079</v>
      </c>
      <c r="E35" s="33">
        <f t="shared" si="5"/>
        <v>138.45796965984982</v>
      </c>
      <c r="F35" s="33">
        <f t="shared" si="5"/>
        <v>138.14483351663023</v>
      </c>
      <c r="G35" s="34">
        <f t="shared" si="3"/>
        <v>-5.242474385697915E-3</v>
      </c>
      <c r="H35" s="51">
        <f t="shared" si="3"/>
        <v>-2.2615971040805816E-3</v>
      </c>
      <c r="J35" s="492" t="s">
        <v>170</v>
      </c>
      <c r="K35" s="493"/>
      <c r="L35" s="33">
        <f t="shared" si="6"/>
        <v>145.80817832917023</v>
      </c>
      <c r="M35" s="33">
        <f t="shared" si="6"/>
        <v>144.1830026937993</v>
      </c>
      <c r="N35" s="33">
        <f t="shared" si="6"/>
        <v>144.1830026937993</v>
      </c>
      <c r="O35" s="34">
        <f t="shared" si="4"/>
        <v>-1.1145984086722516E-2</v>
      </c>
      <c r="P35" s="51">
        <f t="shared" si="4"/>
        <v>0</v>
      </c>
    </row>
    <row r="36" spans="2:17" ht="15" thickBot="1">
      <c r="B36" s="36"/>
      <c r="C36" s="36"/>
      <c r="D36" s="77"/>
      <c r="E36" s="77"/>
      <c r="F36" s="77"/>
      <c r="G36" s="78"/>
      <c r="H36" s="78"/>
      <c r="J36" s="36"/>
      <c r="K36" s="36"/>
      <c r="L36" s="77"/>
      <c r="M36" s="77"/>
      <c r="N36" s="77"/>
      <c r="O36" s="78"/>
      <c r="P36" s="78"/>
    </row>
    <row r="37" spans="2:17" ht="15" hidden="1" thickBot="1">
      <c r="D37" s="18">
        <v>2</v>
      </c>
      <c r="E37" s="18">
        <v>4</v>
      </c>
      <c r="F37" s="18">
        <v>6</v>
      </c>
      <c r="L37" s="18">
        <v>2</v>
      </c>
      <c r="M37" s="18">
        <v>4</v>
      </c>
      <c r="N37" s="18">
        <v>6</v>
      </c>
    </row>
    <row r="38" spans="2:17">
      <c r="B38" s="487" t="s">
        <v>171</v>
      </c>
      <c r="C38" s="488"/>
      <c r="D38" s="488"/>
      <c r="E38" s="488"/>
      <c r="F38" s="488"/>
      <c r="G38" s="488"/>
      <c r="H38" s="489"/>
      <c r="J38" s="487" t="s">
        <v>172</v>
      </c>
      <c r="K38" s="488"/>
      <c r="L38" s="488"/>
      <c r="M38" s="488"/>
      <c r="N38" s="488"/>
      <c r="O38" s="488"/>
      <c r="P38" s="489"/>
    </row>
    <row r="39" spans="2:17" ht="29">
      <c r="B39" s="28"/>
      <c r="C39" s="29"/>
      <c r="D39" s="12">
        <f>$D$25</f>
        <v>46023</v>
      </c>
      <c r="E39" s="12">
        <f>$E$25</f>
        <v>46082</v>
      </c>
      <c r="F39" s="15" t="s">
        <v>570</v>
      </c>
      <c r="G39" s="15" t="str">
        <f>$G$25</f>
        <v>% Change over 01/1/2026</v>
      </c>
      <c r="H39" s="4" t="str">
        <f>$H$25</f>
        <v>% Change over 03/1/2026</v>
      </c>
      <c r="J39" s="28"/>
      <c r="K39" s="29"/>
      <c r="L39" s="12">
        <f>$D$25</f>
        <v>46023</v>
      </c>
      <c r="M39" s="12">
        <f>$E$25</f>
        <v>46082</v>
      </c>
      <c r="N39" s="15" t="s">
        <v>570</v>
      </c>
      <c r="O39" s="15" t="str">
        <f>$G$25</f>
        <v>% Change over 01/1/2026</v>
      </c>
      <c r="P39" s="4" t="str">
        <f>$H$25</f>
        <v>% Change over 03/1/2026</v>
      </c>
    </row>
    <row r="40" spans="2:17">
      <c r="B40" s="490" t="s">
        <v>59</v>
      </c>
      <c r="C40" s="491"/>
      <c r="D40" s="30">
        <f>VLOOKUP($D$4,'Hypothetical Res Bill Impact'!$B$37:$H$47,D37,FALSE)</f>
        <v>167.60400525</v>
      </c>
      <c r="E40" s="30">
        <f>VLOOKUP($D$4,'Hypothetical Res Bill Impact'!$B$37:$H$47,E37,FALSE)</f>
        <v>168.27135249361035</v>
      </c>
      <c r="F40" s="30">
        <f>VLOOKUP($D$4,'Hypothetical Res Bill Impact'!$B$37:$H$47,F37,FALSE)</f>
        <v>168.27135249361035</v>
      </c>
      <c r="G40" s="31">
        <f t="shared" ref="G40:H42" si="7">$F40/D40-1</f>
        <v>3.9816903099358925E-3</v>
      </c>
      <c r="H40" s="50">
        <f t="shared" si="7"/>
        <v>0</v>
      </c>
      <c r="J40" s="490" t="s">
        <v>59</v>
      </c>
      <c r="K40" s="491"/>
      <c r="L40" s="30">
        <f>VLOOKUP($D$4,'Hypothetical Res Bill Impact'!$J$37:$P$47,L37,FALSE)</f>
        <v>165.46352687500001</v>
      </c>
      <c r="M40" s="30">
        <f>VLOOKUP($D$4,'Hypothetical Res Bill Impact'!$J$37:$P$47,M37,FALSE)</f>
        <v>166.40466729141079</v>
      </c>
      <c r="N40" s="30">
        <f>VLOOKUP($D$4,'Hypothetical Res Bill Impact'!$J$37:$P$47,N37,FALSE)</f>
        <v>166.40466729141079</v>
      </c>
      <c r="O40" s="31">
        <f t="shared" ref="O40:P42" si="8">$N40/L40-1</f>
        <v>5.6879025497973412E-3</v>
      </c>
      <c r="P40" s="49">
        <f t="shared" si="8"/>
        <v>0</v>
      </c>
      <c r="Q40" s="87"/>
    </row>
    <row r="41" spans="2:17">
      <c r="B41" s="490" t="s">
        <v>60</v>
      </c>
      <c r="C41" s="491"/>
      <c r="D41" s="30">
        <f>VLOOKUP($D$4,'Hypothetical Res Bill Impact'!$B$53:$H$63,D37,FALSE)</f>
        <v>95.714673625000003</v>
      </c>
      <c r="E41" s="30">
        <f>VLOOKUP($D$4,'Hypothetical Res Bill Impact'!$B$53:$H$63,E37,FALSE)</f>
        <v>89.539651320440711</v>
      </c>
      <c r="F41" s="30">
        <f>VLOOKUP($D$4,'Hypothetical Res Bill Impact'!$B$53:$H$63,F37,FALSE)</f>
        <v>89.539651320440711</v>
      </c>
      <c r="G41" s="31">
        <f t="shared" si="7"/>
        <v>-6.4514896939965372E-2</v>
      </c>
      <c r="H41" s="50">
        <f t="shared" si="7"/>
        <v>0</v>
      </c>
      <c r="J41" s="490" t="s">
        <v>60</v>
      </c>
      <c r="K41" s="491"/>
      <c r="L41" s="30">
        <f>VLOOKUP($D$4,'Hypothetical Res Bill Impact'!$J$53:$P$63,L37,FALSE)</f>
        <v>94.007820312500002</v>
      </c>
      <c r="M41" s="30">
        <f>VLOOKUP($D$4,'Hypothetical Res Bill Impact'!$J$53:$P$63,M37,FALSE)</f>
        <v>88.011180309942446</v>
      </c>
      <c r="N41" s="30">
        <f>VLOOKUP($D$4,'Hypothetical Res Bill Impact'!$J$53:$P$63,N37,FALSE)</f>
        <v>88.011180309942446</v>
      </c>
      <c r="O41" s="31">
        <f t="shared" si="8"/>
        <v>-6.3788735688409481E-2</v>
      </c>
      <c r="P41" s="50">
        <f t="shared" si="8"/>
        <v>0</v>
      </c>
    </row>
    <row r="42" spans="2:17" ht="15" thickBot="1">
      <c r="B42" s="492" t="s">
        <v>170</v>
      </c>
      <c r="C42" s="493"/>
      <c r="D42" s="33">
        <f>D40*(1-'Hypothetical SAR and RAR'!$Y$16)+D41*'Hypothetical SAR and RAR'!$Y$16</f>
        <v>148.16144726025036</v>
      </c>
      <c r="E42" s="33">
        <f>E40*(1-'Hypothetical SAR and RAR'!$Y$16)+E41*'Hypothetical SAR and RAR'!$Y$16</f>
        <v>146.97826725982492</v>
      </c>
      <c r="F42" s="33">
        <f>F40*(1-'Hypothetical SAR and RAR'!$Y$16)+F41*'Hypothetical SAR and RAR'!$Y$16</f>
        <v>146.97826725982492</v>
      </c>
      <c r="G42" s="34">
        <f t="shared" si="7"/>
        <v>-7.98574813019437E-3</v>
      </c>
      <c r="H42" s="51">
        <f t="shared" si="7"/>
        <v>0</v>
      </c>
      <c r="J42" s="492" t="s">
        <v>170</v>
      </c>
      <c r="K42" s="493"/>
      <c r="L42" s="33">
        <f>L40*(1-'Hypothetical SAR and RAR'!$Y$16)+L41*'Hypothetical SAR and RAR'!$Y$16</f>
        <v>146.13824331572417</v>
      </c>
      <c r="M42" s="33">
        <f>M40*(1-'Hypothetical SAR and RAR'!$Y$16)+M41*'Hypothetical SAR and RAR'!$Y$16</f>
        <v>145.2030525009647</v>
      </c>
      <c r="N42" s="33">
        <f>N40*(1-'Hypothetical SAR and RAR'!$Y$16)+N41*'Hypothetical SAR and RAR'!$Y$16</f>
        <v>145.2030525009647</v>
      </c>
      <c r="O42" s="34">
        <f t="shared" si="8"/>
        <v>-6.3993571671655536E-3</v>
      </c>
      <c r="P42" s="51">
        <f t="shared" si="8"/>
        <v>0</v>
      </c>
    </row>
    <row r="43" spans="2:17" ht="15" thickBot="1">
      <c r="B43" s="36"/>
      <c r="C43" s="36"/>
      <c r="D43" s="77"/>
      <c r="E43" s="77"/>
      <c r="F43" s="77"/>
      <c r="G43" s="78"/>
      <c r="H43" s="78"/>
      <c r="J43" s="36"/>
      <c r="K43" s="36"/>
      <c r="L43" s="77"/>
      <c r="M43" s="77"/>
      <c r="N43" s="77"/>
      <c r="O43" s="78"/>
      <c r="P43" s="78"/>
    </row>
    <row r="44" spans="2:17" ht="15" hidden="1" thickBot="1">
      <c r="D44" s="18">
        <v>3</v>
      </c>
      <c r="E44" s="18">
        <v>5</v>
      </c>
      <c r="F44" s="18">
        <v>7</v>
      </c>
      <c r="L44" s="18">
        <v>3</v>
      </c>
      <c r="M44" s="18">
        <v>5</v>
      </c>
      <c r="N44" s="18">
        <v>7</v>
      </c>
    </row>
    <row r="45" spans="2:17">
      <c r="B45" s="487" t="s">
        <v>173</v>
      </c>
      <c r="C45" s="488"/>
      <c r="D45" s="488"/>
      <c r="E45" s="488"/>
      <c r="F45" s="488"/>
      <c r="G45" s="488"/>
      <c r="H45" s="489"/>
      <c r="J45" s="487" t="s">
        <v>174</v>
      </c>
      <c r="K45" s="488"/>
      <c r="L45" s="488"/>
      <c r="M45" s="488"/>
      <c r="N45" s="488"/>
      <c r="O45" s="488"/>
      <c r="P45" s="489"/>
    </row>
    <row r="46" spans="2:17" ht="29">
      <c r="B46" s="28"/>
      <c r="C46" s="29"/>
      <c r="D46" s="12">
        <f>$D$25</f>
        <v>46023</v>
      </c>
      <c r="E46" s="12">
        <f>$E$25</f>
        <v>46082</v>
      </c>
      <c r="F46" s="15" t="s">
        <v>570</v>
      </c>
      <c r="G46" s="15" t="str">
        <f>$G$25</f>
        <v>% Change over 01/1/2026</v>
      </c>
      <c r="H46" s="4" t="str">
        <f>$H$25</f>
        <v>% Change over 03/1/2026</v>
      </c>
      <c r="J46" s="28"/>
      <c r="K46" s="29"/>
      <c r="L46" s="12">
        <f>$D$25</f>
        <v>46023</v>
      </c>
      <c r="M46" s="12">
        <f>$E$25</f>
        <v>46082</v>
      </c>
      <c r="N46" s="15" t="s">
        <v>570</v>
      </c>
      <c r="O46" s="15" t="str">
        <f>$G$25</f>
        <v>% Change over 01/1/2026</v>
      </c>
      <c r="P46" s="4" t="str">
        <f>$H$25</f>
        <v>% Change over 03/1/2026</v>
      </c>
    </row>
    <row r="47" spans="2:17">
      <c r="B47" s="490" t="s">
        <v>59</v>
      </c>
      <c r="C47" s="491"/>
      <c r="D47" s="30">
        <f>VLOOKUP($D$4,'Hypothetical Res Bill Impact'!$B$37:$H$47,D44,FALSE)</f>
        <v>161.673264125</v>
      </c>
      <c r="E47" s="30">
        <f>VLOOKUP($D$4,'Hypothetical Res Bill Impact'!$B$37:$H$47,E44,FALSE)</f>
        <v>163.17703867498068</v>
      </c>
      <c r="F47" s="30">
        <f>VLOOKUP($D$4,'Hypothetical Res Bill Impact'!$B$37:$H$47,F44,FALSE)</f>
        <v>163.17703867498068</v>
      </c>
      <c r="G47" s="31">
        <f t="shared" ref="G47:H49" si="9">$F47/D47-1</f>
        <v>9.3013186695978245E-3</v>
      </c>
      <c r="H47" s="50">
        <f t="shared" si="9"/>
        <v>0</v>
      </c>
      <c r="J47" s="490" t="s">
        <v>59</v>
      </c>
      <c r="K47" s="491"/>
      <c r="L47" s="30">
        <f>VLOOKUP($D$4,'Hypothetical Res Bill Impact'!$J$37:$P$47,L44,FALSE)</f>
        <v>174.60479175</v>
      </c>
      <c r="M47" s="30">
        <f>VLOOKUP($D$4,'Hypothetical Res Bill Impact'!$J$37:$P$47,M44,FALSE)</f>
        <v>174.38883290579881</v>
      </c>
      <c r="N47" s="30">
        <f>VLOOKUP($D$4,'Hypothetical Res Bill Impact'!$J$37:$P$47,N44,FALSE)</f>
        <v>174.38883290579881</v>
      </c>
      <c r="O47" s="31">
        <f t="shared" ref="O47:P49" si="10">$N47/L47-1</f>
        <v>-1.2368437431569124E-3</v>
      </c>
      <c r="P47" s="49">
        <f t="shared" si="10"/>
        <v>0</v>
      </c>
    </row>
    <row r="48" spans="2:17">
      <c r="B48" s="490" t="s">
        <v>60</v>
      </c>
      <c r="C48" s="491"/>
      <c r="D48" s="30">
        <f>VLOOKUP($D$4,'Hypothetical Res Bill Impact'!$B$53:$H$63,D44,FALSE)</f>
        <v>93.637726062499993</v>
      </c>
      <c r="E48" s="30">
        <f>VLOOKUP($D$4,'Hypothetical Res Bill Impact'!$B$53:$H$63,E44,FALSE)</f>
        <v>89.467514393085764</v>
      </c>
      <c r="F48" s="30">
        <f>VLOOKUP($D$4,'Hypothetical Res Bill Impact'!$B$53:$H$63,F44,FALSE)</f>
        <v>87.730771620692693</v>
      </c>
      <c r="G48" s="31">
        <f t="shared" si="9"/>
        <v>-6.308306160558208E-2</v>
      </c>
      <c r="H48" s="50">
        <f t="shared" si="9"/>
        <v>-1.9411993103580549E-2</v>
      </c>
      <c r="J48" s="490" t="s">
        <v>60</v>
      </c>
      <c r="K48" s="491"/>
      <c r="L48" s="30">
        <f>VLOOKUP($D$4,'Hypothetical Res Bill Impact'!$J$53:$P$63,L44,FALSE)</f>
        <v>100.96024</v>
      </c>
      <c r="M48" s="30">
        <f>VLOOKUP($D$4,'Hypothetical Res Bill Impact'!$J$53:$P$63,M44,FALSE)</f>
        <v>94.258049915496912</v>
      </c>
      <c r="N48" s="30">
        <f>VLOOKUP($D$4,'Hypothetical Res Bill Impact'!$J$53:$P$63,N44,FALSE)</f>
        <v>94.258049915496912</v>
      </c>
      <c r="O48" s="31">
        <f t="shared" si="10"/>
        <v>-6.6384450794719663E-2</v>
      </c>
      <c r="P48" s="50">
        <f t="shared" si="10"/>
        <v>0</v>
      </c>
    </row>
    <row r="49" spans="2:16" ht="15" thickBot="1">
      <c r="B49" s="492" t="s">
        <v>170</v>
      </c>
      <c r="C49" s="493"/>
      <c r="D49" s="33">
        <f>D47*(1-'Hypothetical SAR and RAR'!$Y$16)+D48*'Hypothetical SAR and RAR'!$Y$16</f>
        <v>143.27296933516823</v>
      </c>
      <c r="E49" s="33">
        <f>E47*(1-'Hypothetical SAR and RAR'!$Y$16)+E48*'Hypothetical SAR and RAR'!$Y$16</f>
        <v>143.24220734669453</v>
      </c>
      <c r="F49" s="33">
        <f>F47*(1-'Hypothetical SAR and RAR'!$Y$16)+F48*'Hypothetical SAR and RAR'!$Y$16</f>
        <v>142.77250313186514</v>
      </c>
      <c r="G49" s="34">
        <f t="shared" si="9"/>
        <v>-3.4930957711382105E-3</v>
      </c>
      <c r="H49" s="51">
        <f t="shared" si="9"/>
        <v>-3.2790908736316515E-3</v>
      </c>
      <c r="J49" s="492" t="s">
        <v>170</v>
      </c>
      <c r="K49" s="493"/>
      <c r="L49" s="33">
        <f>L47*(1-'Hypothetical SAR and RAR'!$Y$16)+L48*'Hypothetical SAR and RAR'!$Y$16</f>
        <v>154.6875323227255</v>
      </c>
      <c r="M49" s="33">
        <f>M47*(1-'Hypothetical SAR and RAR'!$Y$16)+M48*'Hypothetical SAR and RAR'!$Y$16</f>
        <v>152.71736427704886</v>
      </c>
      <c r="N49" s="33">
        <f>N47*(1-'Hypothetical SAR and RAR'!$Y$16)+N48*'Hypothetical SAR and RAR'!$Y$16</f>
        <v>152.71736427704886</v>
      </c>
      <c r="O49" s="34">
        <f t="shared" si="10"/>
        <v>-1.273643722990081E-2</v>
      </c>
      <c r="P49" s="51">
        <f t="shared" si="10"/>
        <v>0</v>
      </c>
    </row>
    <row r="51" spans="2:16" ht="15" thickBot="1"/>
    <row r="52" spans="2:16">
      <c r="B52" s="487" t="s">
        <v>175</v>
      </c>
      <c r="C52" s="488"/>
      <c r="D52" s="488"/>
      <c r="E52" s="488"/>
      <c r="F52" s="488"/>
      <c r="G52" s="488"/>
      <c r="H52" s="489"/>
      <c r="J52" s="487" t="s">
        <v>176</v>
      </c>
      <c r="K52" s="488"/>
      <c r="L52" s="488"/>
      <c r="M52" s="488"/>
      <c r="N52" s="488"/>
      <c r="O52" s="488"/>
      <c r="P52" s="489"/>
    </row>
    <row r="53" spans="2:16" ht="29">
      <c r="B53" s="28"/>
      <c r="C53" s="29"/>
      <c r="D53" s="12">
        <f>$D$25</f>
        <v>46023</v>
      </c>
      <c r="E53" s="12">
        <f>$E$25</f>
        <v>46082</v>
      </c>
      <c r="F53" s="15" t="s">
        <v>570</v>
      </c>
      <c r="G53" s="15" t="str">
        <f>$G$25</f>
        <v>% Change over 01/1/2026</v>
      </c>
      <c r="H53" s="4" t="str">
        <f>$H$25</f>
        <v>% Change over 03/1/2026</v>
      </c>
      <c r="J53" s="28"/>
      <c r="K53" s="29"/>
      <c r="L53" s="12">
        <f>$D$25</f>
        <v>46023</v>
      </c>
      <c r="M53" s="12">
        <f>$E$25</f>
        <v>46082</v>
      </c>
      <c r="N53" s="15" t="s">
        <v>570</v>
      </c>
      <c r="O53" s="15" t="str">
        <f>$G$25</f>
        <v>% Change over 01/1/2026</v>
      </c>
      <c r="P53" s="4" t="str">
        <f>$H$25</f>
        <v>% Change over 03/1/2026</v>
      </c>
    </row>
    <row r="54" spans="2:16">
      <c r="B54" s="490" t="s">
        <v>177</v>
      </c>
      <c r="C54" s="491"/>
      <c r="D54" s="30">
        <f>((D61*4)+(D68*8)+($L$8*2))/12</f>
        <v>106.0715997587785</v>
      </c>
      <c r="E54" s="30">
        <f>((E61*4)+(E68*8)+($L$8*2))/12</f>
        <v>114.58596135203067</v>
      </c>
      <c r="F54" s="30">
        <f>((F61*4)+(F68*8)+($L$8*2))/12</f>
        <v>114.58596135203067</v>
      </c>
      <c r="G54" s="31">
        <f t="shared" ref="G54:H56" si="11">$F54/D54-1</f>
        <v>8.0269946079959187E-2</v>
      </c>
      <c r="H54" s="49">
        <f t="shared" si="11"/>
        <v>0</v>
      </c>
      <c r="J54" s="490" t="s">
        <v>177</v>
      </c>
      <c r="K54" s="491"/>
      <c r="L54" s="30">
        <f>((L61*4)+(L68*8)+($L$8*2))/12</f>
        <v>138.70379569627849</v>
      </c>
      <c r="M54" s="30">
        <f>((M61*4)+(M68*8)+($L$8*2))/12</f>
        <v>142.66668720537461</v>
      </c>
      <c r="N54" s="30">
        <f>((N61*4)+(N68*8)+($L$8*2))/12</f>
        <v>142.66668720537461</v>
      </c>
      <c r="O54" s="31">
        <f t="shared" ref="O54:P56" si="12">$N54/L54-1</f>
        <v>2.8570894467615959E-2</v>
      </c>
      <c r="P54" s="49">
        <f t="shared" si="12"/>
        <v>0</v>
      </c>
    </row>
    <row r="55" spans="2:16">
      <c r="B55" s="490" t="s">
        <v>179</v>
      </c>
      <c r="C55" s="491"/>
      <c r="D55" s="30">
        <f t="shared" ref="D55:F56" si="13">((D62*4)+(D69*8)+($L$8*2))/12</f>
        <v>62.180927675445162</v>
      </c>
      <c r="E55" s="30">
        <f t="shared" si="13"/>
        <v>59.599104040056169</v>
      </c>
      <c r="F55" s="30">
        <f t="shared" si="13"/>
        <v>59.599104040056169</v>
      </c>
      <c r="G55" s="31">
        <f t="shared" si="11"/>
        <v>-4.1521150164643417E-2</v>
      </c>
      <c r="H55" s="50">
        <f t="shared" si="11"/>
        <v>0</v>
      </c>
      <c r="J55" s="490" t="s">
        <v>179</v>
      </c>
      <c r="K55" s="491"/>
      <c r="L55" s="30">
        <f t="shared" ref="L55:N56" si="14">((L62*4)+(L69*8)+($L$8*2))/12</f>
        <v>82.036729342111826</v>
      </c>
      <c r="M55" s="30">
        <f t="shared" si="14"/>
        <v>76.956772114229466</v>
      </c>
      <c r="N55" s="30">
        <f t="shared" si="14"/>
        <v>76.956772114229466</v>
      </c>
      <c r="O55" s="31">
        <f t="shared" si="12"/>
        <v>-6.1922961442036351E-2</v>
      </c>
      <c r="P55" s="50">
        <f t="shared" si="12"/>
        <v>0</v>
      </c>
    </row>
    <row r="56" spans="2:16" ht="15" thickBot="1">
      <c r="B56" s="492" t="s">
        <v>170</v>
      </c>
      <c r="C56" s="493"/>
      <c r="D56" s="33">
        <f t="shared" si="13"/>
        <v>94.201313613392529</v>
      </c>
      <c r="E56" s="33">
        <f t="shared" si="13"/>
        <v>99.714698289816127</v>
      </c>
      <c r="F56" s="33">
        <f t="shared" si="13"/>
        <v>99.714698289816127</v>
      </c>
      <c r="G56" s="34">
        <f t="shared" si="11"/>
        <v>5.8527683584656209E-2</v>
      </c>
      <c r="H56" s="51">
        <f t="shared" si="11"/>
        <v>0</v>
      </c>
      <c r="J56" s="492" t="s">
        <v>170</v>
      </c>
      <c r="K56" s="493"/>
      <c r="L56" s="33">
        <f t="shared" si="14"/>
        <v>123.37811803596854</v>
      </c>
      <c r="M56" s="33">
        <f t="shared" si="14"/>
        <v>124.89536000309427</v>
      </c>
      <c r="N56" s="33">
        <f t="shared" si="14"/>
        <v>124.89536000309427</v>
      </c>
      <c r="O56" s="34">
        <f t="shared" si="12"/>
        <v>1.2297496438415489E-2</v>
      </c>
      <c r="P56" s="51">
        <f t="shared" si="12"/>
        <v>0</v>
      </c>
    </row>
    <row r="57" spans="2:16" ht="15" thickBot="1">
      <c r="B57" s="36"/>
      <c r="C57" s="36"/>
      <c r="D57" s="77"/>
      <c r="E57" s="77"/>
      <c r="F57" s="77"/>
      <c r="G57" s="78"/>
      <c r="H57" s="78"/>
      <c r="J57" s="36"/>
      <c r="K57" s="36"/>
      <c r="L57" s="77"/>
      <c r="M57" s="77"/>
      <c r="N57" s="77"/>
      <c r="O57" s="78"/>
      <c r="P57" s="78"/>
    </row>
    <row r="58" spans="2:16" ht="15" hidden="1" thickBot="1">
      <c r="D58" s="18">
        <v>2</v>
      </c>
      <c r="E58" s="18">
        <v>4</v>
      </c>
      <c r="F58" s="18">
        <v>6</v>
      </c>
      <c r="L58" s="18">
        <v>2</v>
      </c>
      <c r="M58" s="18">
        <v>4</v>
      </c>
      <c r="N58" s="18">
        <v>6</v>
      </c>
    </row>
    <row r="59" spans="2:16">
      <c r="B59" s="487" t="s">
        <v>181</v>
      </c>
      <c r="C59" s="488"/>
      <c r="D59" s="488"/>
      <c r="E59" s="488"/>
      <c r="F59" s="488"/>
      <c r="G59" s="488"/>
      <c r="H59" s="489"/>
      <c r="J59" s="487" t="s">
        <v>182</v>
      </c>
      <c r="K59" s="488"/>
      <c r="L59" s="488"/>
      <c r="M59" s="488"/>
      <c r="N59" s="488"/>
      <c r="O59" s="488"/>
      <c r="P59" s="489"/>
    </row>
    <row r="60" spans="2:16" ht="29">
      <c r="B60" s="28"/>
      <c r="C60" s="29"/>
      <c r="D60" s="12">
        <f>$D$25</f>
        <v>46023</v>
      </c>
      <c r="E60" s="12">
        <f>$E$25</f>
        <v>46082</v>
      </c>
      <c r="F60" s="15" t="s">
        <v>570</v>
      </c>
      <c r="G60" s="15" t="str">
        <f>$G$25</f>
        <v>% Change over 01/1/2026</v>
      </c>
      <c r="H60" s="4" t="str">
        <f>$H$25</f>
        <v>% Change over 03/1/2026</v>
      </c>
      <c r="J60" s="28"/>
      <c r="K60" s="29"/>
      <c r="L60" s="12">
        <f>$D$25</f>
        <v>46023</v>
      </c>
      <c r="M60" s="12">
        <f>$E$25</f>
        <v>46082</v>
      </c>
      <c r="N60" s="15" t="s">
        <v>570</v>
      </c>
      <c r="O60" s="15" t="str">
        <f>$G$25</f>
        <v>% Change over 01/1/2026</v>
      </c>
      <c r="P60" s="4" t="str">
        <f>$H$25</f>
        <v>% Change over 03/1/2026</v>
      </c>
    </row>
    <row r="61" spans="2:16">
      <c r="B61" s="490" t="s">
        <v>177</v>
      </c>
      <c r="C61" s="491"/>
      <c r="D61" s="30">
        <f>VLOOKUP($D$4,'Hypothetical Res Bill Impact'!$B$69:$H$79,D58,FALSE)</f>
        <v>112.86900712500001</v>
      </c>
      <c r="E61" s="30">
        <f>VLOOKUP($D$4,'Hypothetical Res Bill Impact'!$B$69:$H$79,E58,FALSE)</f>
        <v>121.27627530450732</v>
      </c>
      <c r="F61" s="30">
        <f>VLOOKUP($D$4,'Hypothetical Res Bill Impact'!$B$69:$H$79,F58,FALSE)</f>
        <v>121.27627530450732</v>
      </c>
      <c r="G61" s="31">
        <f t="shared" ref="G61:H63" si="15">$F61/D61-1</f>
        <v>7.4486950790631612E-2</v>
      </c>
      <c r="H61" s="50">
        <f t="shared" si="15"/>
        <v>0</v>
      </c>
      <c r="J61" s="490" t="s">
        <v>177</v>
      </c>
      <c r="K61" s="491"/>
      <c r="L61" s="30">
        <f>VLOOKUP($D$4,'Hypothetical Res Bill Impact'!$J$69:$P$79,L58,FALSE)</f>
        <v>97.896587812500002</v>
      </c>
      <c r="M61" s="30">
        <f>VLOOKUP($D$4,'Hypothetical Res Bill Impact'!$J$69:$P$79,M58,FALSE)</f>
        <v>108.39217756003185</v>
      </c>
      <c r="N61" s="30">
        <f>VLOOKUP($D$4,'Hypothetical Res Bill Impact'!$J$69:$P$79,N58,FALSE)</f>
        <v>108.39217756003185</v>
      </c>
      <c r="O61" s="31">
        <f t="shared" ref="O61:P63" si="16">$N61/L61-1</f>
        <v>0.10721098643023086</v>
      </c>
      <c r="P61" s="49">
        <f t="shared" si="16"/>
        <v>0</v>
      </c>
    </row>
    <row r="62" spans="2:16">
      <c r="B62" s="490" t="s">
        <v>179</v>
      </c>
      <c r="C62" s="491"/>
      <c r="D62" s="30">
        <f>VLOOKUP($D$4,'Hypothetical Res Bill Impact'!$B$85:$H$95,D58,FALSE)</f>
        <v>68.677714000000009</v>
      </c>
      <c r="E62" s="30">
        <f>VLOOKUP($D$4,'Hypothetical Res Bill Impact'!$B$85:$H$95,E58,FALSE)</f>
        <v>66.037110750669981</v>
      </c>
      <c r="F62" s="30">
        <f>VLOOKUP($D$4,'Hypothetical Res Bill Impact'!$B$85:$H$95,F58,FALSE)</f>
        <v>66.037110750669981</v>
      </c>
      <c r="G62" s="31">
        <f t="shared" si="15"/>
        <v>-3.8449201284277312E-2</v>
      </c>
      <c r="H62" s="50">
        <f t="shared" si="15"/>
        <v>0</v>
      </c>
      <c r="J62" s="490" t="s">
        <v>179</v>
      </c>
      <c r="K62" s="491"/>
      <c r="L62" s="30">
        <f>VLOOKUP($D$4,'Hypothetical Res Bill Impact'!$J$85:$P$95,L58,FALSE)</f>
        <v>59.567405000000001</v>
      </c>
      <c r="M62" s="30">
        <f>VLOOKUP($D$4,'Hypothetical Res Bill Impact'!$J$85:$P$95,M58,FALSE)</f>
        <v>58.073004222519877</v>
      </c>
      <c r="N62" s="30">
        <f>VLOOKUP($D$4,'Hypothetical Res Bill Impact'!$J$85:$P$95,N58,FALSE)</f>
        <v>58.073004222519877</v>
      </c>
      <c r="O62" s="31">
        <f t="shared" si="16"/>
        <v>-2.5087558833226331E-2</v>
      </c>
      <c r="P62" s="50">
        <f t="shared" si="16"/>
        <v>0</v>
      </c>
    </row>
    <row r="63" spans="2:16" ht="15" thickBot="1">
      <c r="B63" s="492" t="s">
        <v>170</v>
      </c>
      <c r="C63" s="493"/>
      <c r="D63" s="33">
        <f>D61*(1-'Hypothetical SAR and RAR'!$Y$16)+D62*'Hypothetical SAR and RAR'!$Y$16</f>
        <v>100.91741764985113</v>
      </c>
      <c r="E63" s="33">
        <f>E61*(1-'Hypothetical SAR and RAR'!$Y$16)+E62*'Hypothetical SAR and RAR'!$Y$16</f>
        <v>106.33677543899712</v>
      </c>
      <c r="F63" s="33">
        <f>F61*(1-'Hypothetical SAR and RAR'!$Y$16)+F62*'Hypothetical SAR and RAR'!$Y$16</f>
        <v>106.33677543899712</v>
      </c>
      <c r="G63" s="34">
        <f t="shared" si="15"/>
        <v>5.3700916208035521E-2</v>
      </c>
      <c r="H63" s="51">
        <f t="shared" si="15"/>
        <v>0</v>
      </c>
      <c r="J63" s="492" t="s">
        <v>170</v>
      </c>
      <c r="K63" s="493"/>
      <c r="L63" s="33">
        <f>L61*(1-'Hypothetical SAR and RAR'!$Y$16)+L62*'Hypothetical SAR and RAR'!$Y$16</f>
        <v>87.530413267728022</v>
      </c>
      <c r="M63" s="33">
        <f>M61*(1-'Hypothetical SAR and RAR'!$Y$16)+M62*'Hypothetical SAR and RAR'!$Y$16</f>
        <v>94.783295358787143</v>
      </c>
      <c r="N63" s="33">
        <f>N61*(1-'Hypothetical SAR and RAR'!$Y$16)+N62*'Hypothetical SAR and RAR'!$Y$16</f>
        <v>94.783295358787143</v>
      </c>
      <c r="O63" s="34">
        <f t="shared" si="16"/>
        <v>8.2861280100150259E-2</v>
      </c>
      <c r="P63" s="51">
        <f t="shared" si="16"/>
        <v>0</v>
      </c>
    </row>
    <row r="64" spans="2:16" ht="15" thickBot="1">
      <c r="B64" s="36"/>
      <c r="C64" s="36"/>
      <c r="D64" s="77"/>
      <c r="E64" s="77"/>
      <c r="F64" s="77"/>
      <c r="G64" s="78"/>
      <c r="H64" s="78"/>
      <c r="J64" s="36"/>
      <c r="K64" s="36"/>
      <c r="L64" s="77"/>
      <c r="M64" s="77"/>
      <c r="N64" s="77"/>
      <c r="O64" s="78"/>
      <c r="P64" s="78"/>
    </row>
    <row r="65" spans="2:16" ht="15" hidden="1" thickBot="1">
      <c r="D65" s="18">
        <v>3</v>
      </c>
      <c r="E65" s="18">
        <v>5</v>
      </c>
      <c r="F65" s="18">
        <v>7</v>
      </c>
      <c r="L65" s="18">
        <v>3</v>
      </c>
      <c r="M65" s="18">
        <v>5</v>
      </c>
      <c r="N65" s="18">
        <v>7</v>
      </c>
    </row>
    <row r="66" spans="2:16">
      <c r="B66" s="487" t="s">
        <v>183</v>
      </c>
      <c r="C66" s="488"/>
      <c r="D66" s="488"/>
      <c r="E66" s="488"/>
      <c r="F66" s="488"/>
      <c r="G66" s="488"/>
      <c r="H66" s="489"/>
      <c r="J66" s="487" t="s">
        <v>184</v>
      </c>
      <c r="K66" s="488"/>
      <c r="L66" s="488"/>
      <c r="M66" s="488"/>
      <c r="N66" s="488"/>
      <c r="O66" s="488"/>
      <c r="P66" s="489"/>
    </row>
    <row r="67" spans="2:16" ht="29">
      <c r="B67" s="28"/>
      <c r="C67" s="29"/>
      <c r="D67" s="12">
        <f>$D$25</f>
        <v>46023</v>
      </c>
      <c r="E67" s="12">
        <f>$E$25</f>
        <v>46082</v>
      </c>
      <c r="F67" s="15" t="s">
        <v>570</v>
      </c>
      <c r="G67" s="15" t="str">
        <f>$G$25</f>
        <v>% Change over 01/1/2026</v>
      </c>
      <c r="H67" s="4" t="str">
        <f>$H$25</f>
        <v>% Change over 03/1/2026</v>
      </c>
      <c r="J67" s="28"/>
      <c r="K67" s="29"/>
      <c r="L67" s="12">
        <f>$D$25</f>
        <v>46023</v>
      </c>
      <c r="M67" s="12">
        <f>$E$25</f>
        <v>46082</v>
      </c>
      <c r="N67" s="15" t="s">
        <v>570</v>
      </c>
      <c r="O67" s="15" t="str">
        <f>$G$25</f>
        <v>% Change over 01/1/2026</v>
      </c>
      <c r="P67" s="4" t="str">
        <f>$H$25</f>
        <v>% Change over 03/1/2026</v>
      </c>
    </row>
    <row r="68" spans="2:16">
      <c r="B68" s="490" t="s">
        <v>177</v>
      </c>
      <c r="C68" s="491"/>
      <c r="D68" s="30">
        <f>VLOOKUP($D$4,'Hypothetical Res Bill Impact'!$B$69:$H$79,D65,FALSE)</f>
        <v>111.71728256249999</v>
      </c>
      <c r="E68" s="30">
        <f>VLOOKUP($D$4,'Hypothetical Res Bill Impact'!$B$69:$H$79,E65,FALSE)</f>
        <v>120.28519086262459</v>
      </c>
      <c r="F68" s="30">
        <f>VLOOKUP($D$4,'Hypothetical Res Bill Impact'!$B$69:$H$79,F65,FALSE)</f>
        <v>120.28519086262459</v>
      </c>
      <c r="G68" s="31">
        <f t="shared" ref="G68:H70" si="17">$F68/D68-1</f>
        <v>7.6692773970144623E-2</v>
      </c>
      <c r="H68" s="50">
        <f t="shared" si="17"/>
        <v>0</v>
      </c>
      <c r="J68" s="490" t="s">
        <v>177</v>
      </c>
      <c r="K68" s="491"/>
      <c r="L68" s="30">
        <f>VLOOKUP($D$4,'Hypothetical Res Bill Impact'!$J$69:$P$79,L65,FALSE)</f>
        <v>168.151786125</v>
      </c>
      <c r="M68" s="30">
        <f>VLOOKUP($D$4,'Hypothetical Res Bill Impact'!$J$69:$P$79,M65,FALSE)</f>
        <v>168.84832851487826</v>
      </c>
      <c r="N68" s="30">
        <f>VLOOKUP($D$4,'Hypothetical Res Bill Impact'!$J$69:$P$79,N65,FALSE)</f>
        <v>168.84832851487826</v>
      </c>
      <c r="O68" s="31">
        <f t="shared" ref="O68:P70" si="18">$N68/L68-1</f>
        <v>4.1423430932840954E-3</v>
      </c>
      <c r="P68" s="49">
        <f t="shared" si="18"/>
        <v>0</v>
      </c>
    </row>
    <row r="69" spans="2:16">
      <c r="B69" s="490" t="s">
        <v>179</v>
      </c>
      <c r="C69" s="491"/>
      <c r="D69" s="30">
        <f>VLOOKUP($D$4,'Hypothetical Res Bill Impact'!$B$85:$H$95,D65,FALSE)</f>
        <v>67.97692099999999</v>
      </c>
      <c r="E69" s="30">
        <f>VLOOKUP($D$4,'Hypothetical Res Bill Impact'!$B$85:$H$95,E65,FALSE)</f>
        <v>65.424487171581504</v>
      </c>
      <c r="F69" s="30">
        <f>VLOOKUP($D$4,'Hypothetical Res Bill Impact'!$B$85:$H$95,F65,FALSE)</f>
        <v>65.424487171581504</v>
      </c>
      <c r="G69" s="31">
        <f t="shared" si="17"/>
        <v>-3.7548535456886745E-2</v>
      </c>
      <c r="H69" s="50">
        <f t="shared" si="17"/>
        <v>0</v>
      </c>
      <c r="J69" s="490" t="s">
        <v>179</v>
      </c>
      <c r="K69" s="491"/>
      <c r="L69" s="30">
        <f>VLOOKUP($D$4,'Hypothetical Res Bill Impact'!$J$85:$P$95,L65,FALSE)</f>
        <v>102.31577799999999</v>
      </c>
      <c r="M69" s="30">
        <f>VLOOKUP($D$4,'Hypothetical Res Bill Impact'!$J$85:$P$95,M65,FALSE)</f>
        <v>95.443042546916502</v>
      </c>
      <c r="N69" s="30">
        <f>VLOOKUP($D$4,'Hypothetical Res Bill Impact'!$J$85:$P$95,N65,FALSE)</f>
        <v>95.443042546916502</v>
      </c>
      <c r="O69" s="31">
        <f t="shared" si="18"/>
        <v>-6.7171804656399048E-2</v>
      </c>
      <c r="P69" s="50">
        <f t="shared" si="18"/>
        <v>0</v>
      </c>
    </row>
    <row r="70" spans="2:16" ht="15" thickBot="1">
      <c r="B70" s="492" t="s">
        <v>170</v>
      </c>
      <c r="C70" s="493"/>
      <c r="D70" s="33">
        <f>D68*(1-'Hypothetical SAR and RAR'!$Y$16)+D69*'Hypothetical SAR and RAR'!$Y$16</f>
        <v>99.887648081995479</v>
      </c>
      <c r="E70" s="33">
        <f>E68*(1-'Hypothetical SAR and RAR'!$Y$16)+E69*'Hypothetical SAR and RAR'!$Y$16</f>
        <v>105.4480462020579</v>
      </c>
      <c r="F70" s="33">
        <f>F68*(1-'Hypothetical SAR and RAR'!$Y$16)+F69*'Hypothetical SAR and RAR'!$Y$16</f>
        <v>105.4480462020579</v>
      </c>
      <c r="G70" s="34">
        <f t="shared" si="17"/>
        <v>5.5666523607583729E-2</v>
      </c>
      <c r="H70" s="51">
        <f t="shared" si="17"/>
        <v>0</v>
      </c>
      <c r="J70" s="492" t="s">
        <v>170</v>
      </c>
      <c r="K70" s="493"/>
      <c r="L70" s="33">
        <f>L68*(1-'Hypothetical SAR and RAR'!$Y$16)+L69*'Hypothetical SAR and RAR'!$Y$16</f>
        <v>150.34635690692105</v>
      </c>
      <c r="M70" s="33">
        <f>M68*(1-'Hypothetical SAR and RAR'!$Y$16)+M69*'Hypothetical SAR and RAR'!$Y$16</f>
        <v>148.99577881208009</v>
      </c>
      <c r="N70" s="33">
        <f>N68*(1-'Hypothetical SAR and RAR'!$Y$16)+N69*'Hypothetical SAR and RAR'!$Y$16</f>
        <v>148.99577881208009</v>
      </c>
      <c r="O70" s="34">
        <f t="shared" si="18"/>
        <v>-8.983111547405831E-3</v>
      </c>
      <c r="P70" s="51">
        <f t="shared" si="18"/>
        <v>0</v>
      </c>
    </row>
    <row r="72" spans="2:16" ht="15" thickBot="1"/>
    <row r="73" spans="2:16">
      <c r="B73" s="487" t="s">
        <v>185</v>
      </c>
      <c r="C73" s="488"/>
      <c r="D73" s="488"/>
      <c r="E73" s="488"/>
      <c r="F73" s="488"/>
      <c r="G73" s="488"/>
      <c r="H73" s="489"/>
      <c r="J73" s="487" t="s">
        <v>186</v>
      </c>
      <c r="K73" s="488"/>
      <c r="L73" s="488"/>
      <c r="M73" s="488"/>
      <c r="N73" s="488"/>
      <c r="O73" s="488"/>
      <c r="P73" s="489"/>
    </row>
    <row r="74" spans="2:16" ht="29">
      <c r="B74" s="28"/>
      <c r="C74" s="29"/>
      <c r="D74" s="12">
        <f>$D$25</f>
        <v>46023</v>
      </c>
      <c r="E74" s="12">
        <f>$E$25</f>
        <v>46082</v>
      </c>
      <c r="F74" s="15" t="s">
        <v>570</v>
      </c>
      <c r="G74" s="15" t="str">
        <f>$G$25</f>
        <v>% Change over 01/1/2026</v>
      </c>
      <c r="H74" s="4" t="str">
        <f>$H$25</f>
        <v>% Change over 03/1/2026</v>
      </c>
      <c r="J74" s="28"/>
      <c r="K74" s="29"/>
      <c r="L74" s="12">
        <f>$D$25</f>
        <v>46023</v>
      </c>
      <c r="M74" s="12">
        <f>$E$25</f>
        <v>46082</v>
      </c>
      <c r="N74" s="15" t="s">
        <v>570</v>
      </c>
      <c r="O74" s="15" t="str">
        <f>$G$25</f>
        <v>% Change over 01/1/2026</v>
      </c>
      <c r="P74" s="4" t="str">
        <f>$H$25</f>
        <v>% Change over 03/1/2026</v>
      </c>
    </row>
    <row r="75" spans="2:16">
      <c r="B75" s="490" t="str">
        <f>$D$3&amp;"kWh Monthly Usage - Non-CARE"</f>
        <v>500kWh Monthly Usage - Non-CARE</v>
      </c>
      <c r="C75" s="491"/>
      <c r="D75" s="30">
        <f>((D82*4)+(D89*8)+($L$8*2))/12</f>
        <v>202.65533684211184</v>
      </c>
      <c r="E75" s="30">
        <f>((E82*4)+(E89*8)+($L$8*2))/12</f>
        <v>197.51206594561299</v>
      </c>
      <c r="F75" s="30">
        <f>((F82*4)+(F89*8)+($L$8*2))/12</f>
        <v>197.51206594561299</v>
      </c>
      <c r="G75" s="31">
        <f t="shared" ref="G75:H77" si="19">$F75/D75-1</f>
        <v>-2.5379400200577718E-2</v>
      </c>
      <c r="H75" s="49">
        <f t="shared" si="19"/>
        <v>0</v>
      </c>
      <c r="I75" s="87"/>
      <c r="J75" s="490" t="str">
        <f>$D$3&amp;"kWh Monthly Usage - Non-CARE"</f>
        <v>500kWh Monthly Usage - Non-CARE</v>
      </c>
      <c r="K75" s="491"/>
      <c r="L75" s="30">
        <f>((L82*4)+(L89*8)+($L$8*2))/12</f>
        <v>194.40565830044514</v>
      </c>
      <c r="M75" s="30">
        <f>((M82*4)+(M89*8)+($L$8*2))/12</f>
        <v>190.49190730826876</v>
      </c>
      <c r="N75" s="30">
        <f>((N82*4)+(N89*8)+($L$8*2))/12</f>
        <v>190.49190730826876</v>
      </c>
      <c r="O75" s="31">
        <f t="shared" ref="O75:P77" si="20">$N75/L75-1</f>
        <v>-2.0131877983344704E-2</v>
      </c>
      <c r="P75" s="49">
        <f t="shared" si="20"/>
        <v>0</v>
      </c>
    </row>
    <row r="76" spans="2:16">
      <c r="B76" s="490" t="str">
        <f>$D$3&amp;"kWh Monthly Usage - CARE"</f>
        <v>500kWh Monthly Usage - CARE</v>
      </c>
      <c r="C76" s="491"/>
      <c r="D76" s="30">
        <f t="shared" ref="D76:F77" si="21">((D83*4)+(D90*8)+($L$8*2))/12</f>
        <v>121.75702842544517</v>
      </c>
      <c r="E76" s="30">
        <f t="shared" si="21"/>
        <v>111.38709145750688</v>
      </c>
      <c r="F76" s="30">
        <f t="shared" si="21"/>
        <v>111.38709145750688</v>
      </c>
      <c r="G76" s="31">
        <f t="shared" si="19"/>
        <v>-8.5169103599535112E-2</v>
      </c>
      <c r="H76" s="50">
        <f t="shared" si="19"/>
        <v>0</v>
      </c>
      <c r="J76" s="490" t="str">
        <f>$D$3&amp;"kWh Monthly Usage - CARE"</f>
        <v>500kWh Monthly Usage - CARE</v>
      </c>
      <c r="K76" s="491"/>
      <c r="L76" s="30">
        <f t="shared" ref="L76:N77" si="22">((L83*4)+(L90*8)+($L$8*2))/12</f>
        <v>116.39551352961183</v>
      </c>
      <c r="M76" s="30">
        <f t="shared" si="22"/>
        <v>106.8239883432331</v>
      </c>
      <c r="N76" s="30">
        <f t="shared" si="22"/>
        <v>106.8239883432331</v>
      </c>
      <c r="O76" s="31">
        <f t="shared" si="20"/>
        <v>-8.2232767364728954E-2</v>
      </c>
      <c r="P76" s="50">
        <f t="shared" si="20"/>
        <v>0</v>
      </c>
    </row>
    <row r="77" spans="2:16" ht="15" thickBot="1">
      <c r="B77" s="492" t="s">
        <v>170</v>
      </c>
      <c r="C77" s="493"/>
      <c r="D77" s="33">
        <f t="shared" si="21"/>
        <v>180.77629001958277</v>
      </c>
      <c r="E77" s="33">
        <f t="shared" si="21"/>
        <v>174.21946086777697</v>
      </c>
      <c r="F77" s="33">
        <f t="shared" si="21"/>
        <v>174.21946086777697</v>
      </c>
      <c r="G77" s="34">
        <f t="shared" si="19"/>
        <v>-3.6270404437968695E-2</v>
      </c>
      <c r="H77" s="51">
        <f t="shared" si="19"/>
        <v>0</v>
      </c>
      <c r="J77" s="492" t="s">
        <v>170</v>
      </c>
      <c r="K77" s="493"/>
      <c r="L77" s="33">
        <f t="shared" si="22"/>
        <v>173.30771888145853</v>
      </c>
      <c r="M77" s="33">
        <f t="shared" si="22"/>
        <v>167.86381591294301</v>
      </c>
      <c r="N77" s="33">
        <f t="shared" si="22"/>
        <v>167.86381591294301</v>
      </c>
      <c r="O77" s="34">
        <f t="shared" si="20"/>
        <v>-3.1411774407111737E-2</v>
      </c>
      <c r="P77" s="51">
        <f t="shared" si="20"/>
        <v>0</v>
      </c>
    </row>
    <row r="78" spans="2:16" ht="15" thickBot="1">
      <c r="B78" s="36"/>
      <c r="C78" s="36"/>
      <c r="D78" s="77"/>
      <c r="E78" s="77"/>
      <c r="F78" s="77"/>
      <c r="G78" s="78"/>
      <c r="H78" s="78"/>
      <c r="J78" s="36"/>
      <c r="K78" s="36"/>
      <c r="L78" s="77"/>
      <c r="M78" s="77"/>
      <c r="N78" s="77"/>
      <c r="O78" s="78"/>
      <c r="P78" s="78"/>
    </row>
    <row r="79" spans="2:16" ht="15" hidden="1" thickBot="1">
      <c r="D79" s="18">
        <v>2</v>
      </c>
      <c r="E79" s="18">
        <v>4</v>
      </c>
      <c r="F79" s="18">
        <v>6</v>
      </c>
      <c r="L79" s="18">
        <v>2</v>
      </c>
      <c r="M79" s="18">
        <v>4</v>
      </c>
      <c r="N79" s="18">
        <v>6</v>
      </c>
    </row>
    <row r="80" spans="2:16">
      <c r="B80" s="487" t="s">
        <v>187</v>
      </c>
      <c r="C80" s="488"/>
      <c r="D80" s="488"/>
      <c r="E80" s="488"/>
      <c r="F80" s="488"/>
      <c r="G80" s="488"/>
      <c r="H80" s="489"/>
      <c r="J80" s="487" t="s">
        <v>188</v>
      </c>
      <c r="K80" s="488"/>
      <c r="L80" s="488"/>
      <c r="M80" s="488"/>
      <c r="N80" s="488"/>
      <c r="O80" s="488"/>
      <c r="P80" s="489"/>
    </row>
    <row r="81" spans="1:16" ht="29">
      <c r="B81" s="28"/>
      <c r="C81" s="29"/>
      <c r="D81" s="12">
        <f>$D$25</f>
        <v>46023</v>
      </c>
      <c r="E81" s="12">
        <f>$E$25</f>
        <v>46082</v>
      </c>
      <c r="F81" s="15" t="s">
        <v>570</v>
      </c>
      <c r="G81" s="15" t="str">
        <f>$G$25</f>
        <v>% Change over 01/1/2026</v>
      </c>
      <c r="H81" s="4" t="str">
        <f>$H$25</f>
        <v>% Change over 03/1/2026</v>
      </c>
      <c r="J81" s="28"/>
      <c r="K81" s="29"/>
      <c r="L81" s="12">
        <f>$D$25</f>
        <v>46023</v>
      </c>
      <c r="M81" s="12">
        <f>$E$25</f>
        <v>46082</v>
      </c>
      <c r="N81" s="15" t="s">
        <v>570</v>
      </c>
      <c r="O81" s="15" t="str">
        <f>$G$25</f>
        <v>% Change over 01/1/2026</v>
      </c>
      <c r="P81" s="4" t="str">
        <f>$H$25</f>
        <v>% Change over 03/1/2026</v>
      </c>
    </row>
    <row r="82" spans="1:16">
      <c r="B82" s="490" t="str">
        <f>$D$3&amp;"kWh Monthly Usage - Non-CARE"</f>
        <v>500kWh Monthly Usage - Non-CARE</v>
      </c>
      <c r="C82" s="491"/>
      <c r="D82" s="30">
        <f>VLOOKUP($D$4,'Hypothetical Res Bill Impact'!$B$101:$H$111,D79,FALSE)</f>
        <v>208.49081775000002</v>
      </c>
      <c r="E82" s="30">
        <f>VLOOKUP($D$4,'Hypothetical Res Bill Impact'!$B$101:$H$111,E79,FALSE)</f>
        <v>203.37647673360286</v>
      </c>
      <c r="F82" s="30">
        <f>VLOOKUP($D$4,'Hypothetical Res Bill Impact'!$B$101:$H$111,F79,FALSE)</f>
        <v>203.37647673360286</v>
      </c>
      <c r="G82" s="31">
        <f t="shared" ref="G82:H84" si="23">$F82/D82-1</f>
        <v>-2.4530293811450887E-2</v>
      </c>
      <c r="H82" s="50">
        <f t="shared" si="23"/>
        <v>0</v>
      </c>
      <c r="J82" s="490" t="str">
        <f>$D$3&amp;"kWh Monthly Usage - Non-CARE"</f>
        <v>500kWh Monthly Usage - Non-CARE</v>
      </c>
      <c r="K82" s="491"/>
      <c r="L82" s="30">
        <f>VLOOKUP($D$4,'Hypothetical Res Bill Impact'!$J$101:$P$111,L79,FALSE)</f>
        <v>212.275964375</v>
      </c>
      <c r="M82" s="30">
        <f>VLOOKUP($D$4,'Hypothetical Res Bill Impact'!$J$101:$P$111,M79,FALSE)</f>
        <v>206.59749069661959</v>
      </c>
      <c r="N82" s="30">
        <f>VLOOKUP($D$4,'Hypothetical Res Bill Impact'!$J$101:$P$111,N79,FALSE)</f>
        <v>206.59749069661959</v>
      </c>
      <c r="O82" s="31">
        <f t="shared" ref="O82:P84" si="24">$N82/L82-1</f>
        <v>-2.6750431661443308E-2</v>
      </c>
      <c r="P82" s="49">
        <f t="shared" si="24"/>
        <v>0</v>
      </c>
    </row>
    <row r="83" spans="1:16">
      <c r="B83" s="490" t="str">
        <f>$D$3&amp;"kWh Monthly Usage - CARE"</f>
        <v>500kWh Monthly Usage - CARE</v>
      </c>
      <c r="C83" s="491"/>
      <c r="D83" s="30">
        <f>VLOOKUP($D$4,'Hypothetical Res Bill Impact'!$B$116:$H$126,D79,FALSE)</f>
        <v>127.660466125</v>
      </c>
      <c r="E83" s="30">
        <f>VLOOKUP($D$4,'Hypothetical Res Bill Impact'!$B$116:$H$126,E79,FALSE)</f>
        <v>117.30931531662785</v>
      </c>
      <c r="F83" s="30">
        <f>VLOOKUP($D$4,'Hypothetical Res Bill Impact'!$B$116:$H$126,F79,FALSE)</f>
        <v>117.30931531662785</v>
      </c>
      <c r="G83" s="31">
        <f t="shared" si="23"/>
        <v>-8.1083448326412344E-2</v>
      </c>
      <c r="H83" s="50">
        <f t="shared" si="23"/>
        <v>0</v>
      </c>
      <c r="J83" s="490" t="str">
        <f>$D$3&amp;"kWh Monthly Usage - CARE"</f>
        <v>500kWh Monthly Usage - CARE</v>
      </c>
      <c r="K83" s="491"/>
      <c r="L83" s="30">
        <f>VLOOKUP($D$4,'Hypothetical Res Bill Impact'!$J$116:$P$126,L79,FALSE)</f>
        <v>130.12045531250001</v>
      </c>
      <c r="M83" s="30">
        <f>VLOOKUP($D$4,'Hypothetical Res Bill Impact'!$J$116:$P$126,M79,FALSE)</f>
        <v>119.40297439258876</v>
      </c>
      <c r="N83" s="30">
        <f>VLOOKUP($D$4,'Hypothetical Res Bill Impact'!$J$116:$P$126,N79,FALSE)</f>
        <v>119.40297439258876</v>
      </c>
      <c r="O83" s="31">
        <f t="shared" si="24"/>
        <v>-8.2365842435548897E-2</v>
      </c>
      <c r="P83" s="50">
        <f t="shared" si="24"/>
        <v>0</v>
      </c>
    </row>
    <row r="84" spans="1:16" ht="15" thickBot="1">
      <c r="B84" s="492" t="s">
        <v>170</v>
      </c>
      <c r="C84" s="493"/>
      <c r="D84" s="33">
        <f>D82*(1-'Hypothetical SAR and RAR'!$Y$16)+D83*'Hypothetical SAR and RAR'!$Y$16</f>
        <v>186.63014992520135</v>
      </c>
      <c r="E84" s="33">
        <f>E82*(1-'Hypothetical SAR and RAR'!$Y$16)+E83*'Hypothetical SAR and RAR'!$Y$16</f>
        <v>180.0995072718259</v>
      </c>
      <c r="F84" s="33">
        <f>F82*(1-'Hypothetical SAR and RAR'!$Y$16)+F83*'Hypothetical SAR and RAR'!$Y$16</f>
        <v>180.0995072718259</v>
      </c>
      <c r="G84" s="34">
        <f t="shared" si="23"/>
        <v>-3.4992431051428907E-2</v>
      </c>
      <c r="H84" s="51">
        <f t="shared" si="23"/>
        <v>0</v>
      </c>
      <c r="J84" s="492" t="s">
        <v>170</v>
      </c>
      <c r="K84" s="493"/>
      <c r="L84" s="33">
        <f>L82*(1-'Hypothetical SAR and RAR'!$Y$16)+L83*'Hypothetical SAR and RAR'!$Y$16</f>
        <v>190.05690609445838</v>
      </c>
      <c r="M84" s="33">
        <f>M82*(1-'Hypothetical SAR and RAR'!$Y$16)+M83*'Hypothetical SAR and RAR'!$Y$16</f>
        <v>183.01562672169086</v>
      </c>
      <c r="N84" s="33">
        <f>N82*(1-'Hypothetical SAR and RAR'!$Y$16)+N83*'Hypothetical SAR and RAR'!$Y$16</f>
        <v>183.01562672169086</v>
      </c>
      <c r="O84" s="34">
        <f t="shared" si="24"/>
        <v>-3.7048268949869123E-2</v>
      </c>
      <c r="P84" s="51">
        <f t="shared" si="24"/>
        <v>0</v>
      </c>
    </row>
    <row r="85" spans="1:16" ht="15" thickBot="1">
      <c r="B85" s="36"/>
      <c r="C85" s="36"/>
      <c r="D85" s="77"/>
      <c r="E85" s="77"/>
      <c r="F85" s="77"/>
      <c r="G85" s="78"/>
      <c r="H85" s="78"/>
      <c r="J85" s="36"/>
      <c r="K85" s="36"/>
      <c r="L85" s="77"/>
      <c r="M85" s="77"/>
      <c r="N85" s="77"/>
      <c r="O85" s="78"/>
      <c r="P85" s="78"/>
    </row>
    <row r="86" spans="1:16" ht="15" hidden="1" thickBot="1">
      <c r="D86" s="18">
        <v>3</v>
      </c>
      <c r="E86" s="18">
        <v>5</v>
      </c>
      <c r="F86" s="18">
        <v>7</v>
      </c>
      <c r="L86" s="18">
        <v>3</v>
      </c>
      <c r="M86" s="18">
        <v>5</v>
      </c>
      <c r="N86" s="18">
        <v>7</v>
      </c>
    </row>
    <row r="87" spans="1:16">
      <c r="B87" s="487" t="s">
        <v>189</v>
      </c>
      <c r="C87" s="488"/>
      <c r="D87" s="488"/>
      <c r="E87" s="488"/>
      <c r="F87" s="488"/>
      <c r="G87" s="488"/>
      <c r="H87" s="489"/>
      <c r="J87" s="487" t="s">
        <v>190</v>
      </c>
      <c r="K87" s="488"/>
      <c r="L87" s="488"/>
      <c r="M87" s="488"/>
      <c r="N87" s="488"/>
      <c r="O87" s="488"/>
      <c r="P87" s="489"/>
    </row>
    <row r="88" spans="1:16" ht="29">
      <c r="B88" s="28"/>
      <c r="C88" s="29"/>
      <c r="D88" s="12">
        <f>$D$25</f>
        <v>46023</v>
      </c>
      <c r="E88" s="12">
        <f>$E$25</f>
        <v>46082</v>
      </c>
      <c r="F88" s="15" t="s">
        <v>570</v>
      </c>
      <c r="G88" s="15" t="str">
        <f>$G$25</f>
        <v>% Change over 01/1/2026</v>
      </c>
      <c r="H88" s="4" t="str">
        <f>$H$25</f>
        <v>% Change over 03/1/2026</v>
      </c>
      <c r="J88" s="28"/>
      <c r="K88" s="29"/>
      <c r="L88" s="12">
        <f>$D$25</f>
        <v>46023</v>
      </c>
      <c r="M88" s="12">
        <f>$E$25</f>
        <v>46082</v>
      </c>
      <c r="N88" s="15" t="s">
        <v>570</v>
      </c>
      <c r="O88" s="15" t="str">
        <f>$G$25</f>
        <v>% Change over 01/1/2026</v>
      </c>
      <c r="P88" s="4" t="str">
        <f>$H$25</f>
        <v>% Change over 03/1/2026</v>
      </c>
    </row>
    <row r="89" spans="1:16">
      <c r="B89" s="490" t="str">
        <f>$D$3&amp;"kWh Monthly Usage - Non-CARE"</f>
        <v>500kWh Monthly Usage - Non-CARE</v>
      </c>
      <c r="C89" s="491"/>
      <c r="D89" s="30">
        <f>VLOOKUP($D$4,'Hypothetical Res Bill Impact'!$B$101:$H$111,D86,FALSE)</f>
        <v>208.78198287500001</v>
      </c>
      <c r="E89" s="30">
        <f>VLOOKUP($D$4,'Hypothetical Res Bill Impact'!$B$101:$H$111,E86,FALSE)</f>
        <v>203.62424703845031</v>
      </c>
      <c r="F89" s="30">
        <f>VLOOKUP($D$4,'Hypothetical Res Bill Impact'!$B$101:$H$111,F86,FALSE)</f>
        <v>203.62424703845031</v>
      </c>
      <c r="G89" s="31">
        <f t="shared" ref="G89:H91" si="25">$F89/D89-1</f>
        <v>-2.4703931658881184E-2</v>
      </c>
      <c r="H89" s="50">
        <f t="shared" si="25"/>
        <v>0</v>
      </c>
      <c r="J89" s="490" t="str">
        <f>$D$3&amp;"kWh Monthly Usage - Non-CARE"</f>
        <v>500kWh Monthly Usage - Non-CARE</v>
      </c>
      <c r="K89" s="491"/>
      <c r="L89" s="30">
        <f>VLOOKUP($D$4,'Hypothetical Res Bill Impact'!$J$101:$P$111,L86,FALSE)</f>
        <v>194.51489175</v>
      </c>
      <c r="M89" s="30">
        <f>VLOOKUP($D$4,'Hypothetical Res Bill Impact'!$J$101:$P$111,M86,FALSE)</f>
        <v>191.48350210092562</v>
      </c>
      <c r="N89" s="30">
        <f>VLOOKUP($D$4,'Hypothetical Res Bill Impact'!$J$101:$P$111,N86,FALSE)</f>
        <v>191.48350210092562</v>
      </c>
      <c r="O89" s="31">
        <f t="shared" ref="O89:P91" si="26">$N89/L89-1</f>
        <v>-1.5584357690055284E-2</v>
      </c>
      <c r="P89" s="49">
        <f t="shared" si="26"/>
        <v>0</v>
      </c>
    </row>
    <row r="90" spans="1:16">
      <c r="B90" s="490" t="str">
        <f>$D$3&amp;"kWh Monthly Usage - CARE"</f>
        <v>500kWh Monthly Usage - CARE</v>
      </c>
      <c r="C90" s="491"/>
      <c r="D90" s="30">
        <f>VLOOKUP($D$4,'Hypothetical Res Bill Impact'!$B$116:$H$126,D86,FALSE)</f>
        <v>127.84969606249999</v>
      </c>
      <c r="E90" s="30">
        <f>VLOOKUP($D$4,'Hypothetical Res Bill Impact'!$B$116:$H$126,E86,FALSE)</f>
        <v>117.47036601477868</v>
      </c>
      <c r="F90" s="30">
        <f>VLOOKUP($D$4,'Hypothetical Res Bill Impact'!$B$116:$H$126,F86,FALSE)</f>
        <v>117.47036601477868</v>
      </c>
      <c r="G90" s="31">
        <f t="shared" si="25"/>
        <v>-8.1183846089452727E-2</v>
      </c>
      <c r="H90" s="50">
        <f t="shared" si="25"/>
        <v>0</v>
      </c>
      <c r="J90" s="490" t="str">
        <f>$D$3&amp;"kWh Monthly Usage - CARE"</f>
        <v>500kWh Monthly Usage - CARE</v>
      </c>
      <c r="K90" s="491"/>
      <c r="L90" s="30">
        <f>VLOOKUP($D$4,'Hypothetical Res Bill Impact'!$J$116:$P$126,L86,FALSE)</f>
        <v>118.57742912499999</v>
      </c>
      <c r="M90" s="30">
        <f>VLOOKUP($D$4,'Hypothetical Res Bill Impact'!$J$116:$P$126,M86,FALSE)</f>
        <v>109.57888180538751</v>
      </c>
      <c r="N90" s="30">
        <f>VLOOKUP($D$4,'Hypothetical Res Bill Impact'!$J$116:$P$126,N86,FALSE)</f>
        <v>109.57888180538751</v>
      </c>
      <c r="O90" s="31">
        <f t="shared" si="26"/>
        <v>-7.588752249069719E-2</v>
      </c>
      <c r="P90" s="50">
        <f t="shared" si="26"/>
        <v>0</v>
      </c>
    </row>
    <row r="91" spans="1:16" ht="15" thickBot="1">
      <c r="B91" s="492" t="s">
        <v>170</v>
      </c>
      <c r="C91" s="493"/>
      <c r="D91" s="33">
        <f>D89*(1-'Hypothetical SAR and RAR'!$Y$16)+D90*'Hypothetical SAR and RAR'!$Y$16</f>
        <v>186.89374655360575</v>
      </c>
      <c r="E91" s="33">
        <f>E89*(1-'Hypothetical SAR and RAR'!$Y$16)+E90*'Hypothetical SAR and RAR'!$Y$16</f>
        <v>180.32382415258476</v>
      </c>
      <c r="F91" s="33">
        <f>F89*(1-'Hypothetical SAR and RAR'!$Y$16)+F90*'Hypothetical SAR and RAR'!$Y$16</f>
        <v>180.32382415258476</v>
      </c>
      <c r="G91" s="34">
        <f t="shared" si="25"/>
        <v>-3.5153248956548588E-2</v>
      </c>
      <c r="H91" s="51">
        <f t="shared" si="25"/>
        <v>0</v>
      </c>
      <c r="J91" s="492" t="s">
        <v>170</v>
      </c>
      <c r="K91" s="493"/>
      <c r="L91" s="33">
        <f>L89*(1-'Hypothetical SAR and RAR'!$Y$16)+L90*'Hypothetical SAR and RAR'!$Y$16</f>
        <v>173.97751176179082</v>
      </c>
      <c r="M91" s="33">
        <f>M89*(1-'Hypothetical SAR and RAR'!$Y$16)+M90*'Hypothetical SAR and RAR'!$Y$16</f>
        <v>169.33229699540138</v>
      </c>
      <c r="N91" s="33">
        <f>N89*(1-'Hypothetical SAR and RAR'!$Y$16)+N90*'Hypothetical SAR and RAR'!$Y$16</f>
        <v>169.33229699540138</v>
      </c>
      <c r="O91" s="34">
        <f t="shared" si="26"/>
        <v>-2.6700087381118842E-2</v>
      </c>
      <c r="P91" s="51">
        <f t="shared" si="26"/>
        <v>0</v>
      </c>
    </row>
    <row r="92" spans="1:16" ht="15" thickBot="1"/>
    <row r="93" spans="1:16">
      <c r="B93" s="484" t="s">
        <v>191</v>
      </c>
      <c r="C93" s="485"/>
      <c r="D93" s="485"/>
      <c r="E93" s="485"/>
      <c r="F93" s="485"/>
      <c r="G93" s="485"/>
      <c r="H93" s="486"/>
      <c r="I93"/>
      <c r="J93"/>
    </row>
    <row r="94" spans="1:16" ht="29">
      <c r="B94" s="28"/>
      <c r="C94" s="29"/>
      <c r="D94" s="12">
        <f>$D$25</f>
        <v>46023</v>
      </c>
      <c r="E94" s="12">
        <f>$E$25</f>
        <v>46082</v>
      </c>
      <c r="F94" s="15" t="s">
        <v>570</v>
      </c>
      <c r="G94" s="15" t="str">
        <f>$G$25</f>
        <v>% Change over 01/1/2026</v>
      </c>
      <c r="H94" s="4" t="str">
        <f>$H$25</f>
        <v>% Change over 03/1/2026</v>
      </c>
      <c r="I94"/>
      <c r="J94"/>
    </row>
    <row r="95" spans="1:16">
      <c r="A95" s="95"/>
      <c r="B95" s="118"/>
      <c r="C95" s="121" t="s">
        <v>63</v>
      </c>
      <c r="D95" s="108">
        <f>('Hypo. Bill Impact (B-1)'!C33*4+'Hypo. Bill Impact (B-1)'!D33*8)/12</f>
        <v>340.70264291666666</v>
      </c>
      <c r="E95" s="108">
        <f>('Hypo. Bill Impact (B-1)'!E33*4+'Hypo. Bill Impact (B-1)'!F33*8)/12</f>
        <v>334.91938291666673</v>
      </c>
      <c r="F95" s="108">
        <f>('Hypo. Bill Impact (B-1)'!G33*4+'Hypo. Bill Impact (B-1)'!H33*8)/12</f>
        <v>334.91938291666673</v>
      </c>
      <c r="G95" s="31">
        <f t="shared" ref="G95:H97" si="27">$F95/D95-1</f>
        <v>-1.6974508769556196E-2</v>
      </c>
      <c r="H95" s="50">
        <f t="shared" si="27"/>
        <v>0</v>
      </c>
      <c r="I95"/>
      <c r="J95"/>
    </row>
    <row r="96" spans="1:16">
      <c r="A96" s="95"/>
      <c r="B96" s="19"/>
      <c r="C96" s="122" t="s">
        <v>64</v>
      </c>
      <c r="D96" s="30">
        <f>('Hypo. Bill Impact (B-1)'!C34*4+'Hypo. Bill Impact (B-1)'!D34*8)/12</f>
        <v>549.26858625</v>
      </c>
      <c r="E96" s="30">
        <f>('Hypo. Bill Impact (B-1)'!E34*4+'Hypo. Bill Impact (B-1)'!F34*8)/12</f>
        <v>539.86548625000012</v>
      </c>
      <c r="F96" s="30">
        <f>('Hypo. Bill Impact (B-1)'!G34*4+'Hypo. Bill Impact (B-1)'!H34*8)/12</f>
        <v>539.86548625000012</v>
      </c>
      <c r="G96" s="31">
        <f t="shared" si="27"/>
        <v>-1.7119311454160013E-2</v>
      </c>
      <c r="H96" s="50">
        <f t="shared" si="27"/>
        <v>0</v>
      </c>
      <c r="I96"/>
      <c r="J96"/>
    </row>
    <row r="97" spans="1:10" ht="15" thickBot="1">
      <c r="A97" s="95"/>
      <c r="B97" s="119"/>
      <c r="C97" s="123" t="s">
        <v>670</v>
      </c>
      <c r="D97" s="33">
        <f>('Hypo. Bill Impact (B-1)'!C35*4+'Hypo. Bill Impact (B-1)'!D35*8)/12</f>
        <v>1226.6826829166666</v>
      </c>
      <c r="E97" s="33">
        <f>('Hypo. Bill Impact (B-1)'!E35*4+'Hypo. Bill Impact (B-1)'!F35*8)/12</f>
        <v>1205.5716629166666</v>
      </c>
      <c r="F97" s="33">
        <f>('Hypo. Bill Impact (B-1)'!G35*4+'Hypo. Bill Impact (B-1)'!H35*8)/12</f>
        <v>1205.5716629166666</v>
      </c>
      <c r="G97" s="34">
        <f t="shared" si="27"/>
        <v>-1.7209845947938729E-2</v>
      </c>
      <c r="H97" s="51">
        <f t="shared" si="27"/>
        <v>0</v>
      </c>
      <c r="I97"/>
      <c r="J97"/>
    </row>
    <row r="98" spans="1:10" ht="15" thickBot="1">
      <c r="I98"/>
      <c r="J98"/>
    </row>
    <row r="99" spans="1:10">
      <c r="B99" s="484" t="s">
        <v>193</v>
      </c>
      <c r="C99" s="485"/>
      <c r="D99" s="485"/>
      <c r="E99" s="485"/>
      <c r="F99" s="485"/>
      <c r="G99" s="485"/>
      <c r="H99" s="486"/>
      <c r="I99"/>
      <c r="J99"/>
    </row>
    <row r="100" spans="1:10" ht="29">
      <c r="B100" s="28"/>
      <c r="C100" s="29"/>
      <c r="D100" s="12">
        <f>$D$25</f>
        <v>46023</v>
      </c>
      <c r="E100" s="12">
        <f>$E$25</f>
        <v>46082</v>
      </c>
      <c r="F100" s="15" t="s">
        <v>570</v>
      </c>
      <c r="G100" s="15" t="str">
        <f>$G$25</f>
        <v>% Change over 01/1/2026</v>
      </c>
      <c r="H100" s="4" t="str">
        <f>$H$25</f>
        <v>% Change over 03/1/2026</v>
      </c>
      <c r="I100"/>
      <c r="J100"/>
    </row>
    <row r="101" spans="1:10">
      <c r="A101" s="95"/>
      <c r="B101" s="19"/>
      <c r="C101" s="121" t="s">
        <v>63</v>
      </c>
      <c r="D101" s="30">
        <f>'Hypo. Bill Impact (B-1)'!C33</f>
        <v>412.32505624999999</v>
      </c>
      <c r="E101" s="30">
        <f>'Hypo. Bill Impact (B-1)'!E33</f>
        <v>405.69339625000009</v>
      </c>
      <c r="F101" s="30">
        <f>'Hypo. Bill Impact (B-1)'!G33</f>
        <v>405.69339625000009</v>
      </c>
      <c r="G101" s="31">
        <f t="shared" ref="G101:H103" si="28">$F101/D101-1</f>
        <v>-1.6083572655790745E-2</v>
      </c>
      <c r="H101" s="50">
        <f t="shared" si="28"/>
        <v>0</v>
      </c>
      <c r="I101"/>
      <c r="J101"/>
    </row>
    <row r="102" spans="1:10">
      <c r="A102" s="95"/>
      <c r="B102" s="19"/>
      <c r="C102" s="122" t="s">
        <v>64</v>
      </c>
      <c r="D102" s="30">
        <f>'Hypo. Bill Impact (B-1)'!C34</f>
        <v>742.40728624999997</v>
      </c>
      <c r="E102" s="30">
        <f>'Hypo. Bill Impact (B-1)'!E34</f>
        <v>730.33172625000009</v>
      </c>
      <c r="F102" s="30">
        <f>'Hypo. Bill Impact (B-1)'!G34</f>
        <v>730.33172625000009</v>
      </c>
      <c r="G102" s="31">
        <f t="shared" si="28"/>
        <v>-1.6265411484570946E-2</v>
      </c>
      <c r="H102" s="50">
        <f t="shared" si="28"/>
        <v>0</v>
      </c>
      <c r="I102"/>
      <c r="J102"/>
    </row>
    <row r="103" spans="1:10" ht="15" thickBot="1">
      <c r="A103" s="95"/>
      <c r="B103" s="119"/>
      <c r="C103" s="123" t="s">
        <v>670</v>
      </c>
      <c r="D103" s="33">
        <f>'Hypo. Bill Impact (B-1)'!C35</f>
        <v>1640.8302962499999</v>
      </c>
      <c r="E103" s="33">
        <f>'Hypo. Bill Impact (B-1)'!E35</f>
        <v>1614.1763962500002</v>
      </c>
      <c r="F103" s="33">
        <f>'Hypo. Bill Impact (B-1)'!G35</f>
        <v>1614.1763962500002</v>
      </c>
      <c r="G103" s="34">
        <f t="shared" si="28"/>
        <v>-1.6244153987719168E-2</v>
      </c>
      <c r="H103" s="51">
        <f t="shared" si="28"/>
        <v>0</v>
      </c>
      <c r="I103"/>
      <c r="J103"/>
    </row>
    <row r="104" spans="1:10" ht="15" thickBot="1">
      <c r="I104"/>
      <c r="J104"/>
    </row>
    <row r="105" spans="1:10">
      <c r="B105" s="484" t="s">
        <v>194</v>
      </c>
      <c r="C105" s="485"/>
      <c r="D105" s="485"/>
      <c r="E105" s="485"/>
      <c r="F105" s="485"/>
      <c r="G105" s="485"/>
      <c r="H105" s="486"/>
      <c r="I105"/>
      <c r="J105"/>
    </row>
    <row r="106" spans="1:10" ht="29">
      <c r="B106" s="28"/>
      <c r="C106" s="29"/>
      <c r="D106" s="12">
        <f>$D$25</f>
        <v>46023</v>
      </c>
      <c r="E106" s="12">
        <f>$E$25</f>
        <v>46082</v>
      </c>
      <c r="F106" s="15" t="s">
        <v>570</v>
      </c>
      <c r="G106" s="15" t="str">
        <f>$G$25</f>
        <v>% Change over 01/1/2026</v>
      </c>
      <c r="H106" s="4" t="str">
        <f>$H$25</f>
        <v>% Change over 03/1/2026</v>
      </c>
      <c r="I106"/>
      <c r="J106"/>
    </row>
    <row r="107" spans="1:10">
      <c r="A107" s="95"/>
      <c r="B107" s="19"/>
      <c r="C107" s="121" t="s">
        <v>63</v>
      </c>
      <c r="D107" s="108">
        <f>'Hypo. Bill Impact (B-1)'!D33</f>
        <v>304.89143624999997</v>
      </c>
      <c r="E107" s="108">
        <f>'Hypo. Bill Impact (B-1)'!F33</f>
        <v>299.53237625000008</v>
      </c>
      <c r="F107" s="108">
        <f>'Hypo. Bill Impact (B-1)'!H33</f>
        <v>299.53237625000008</v>
      </c>
      <c r="G107" s="31">
        <f t="shared" ref="G107:H109" si="29">$F107/D107-1</f>
        <v>-1.757694498052631E-2</v>
      </c>
      <c r="H107" s="50">
        <f t="shared" si="29"/>
        <v>0</v>
      </c>
      <c r="I107"/>
      <c r="J107"/>
    </row>
    <row r="108" spans="1:10">
      <c r="A108" s="95"/>
      <c r="B108" s="19"/>
      <c r="C108" s="122" t="s">
        <v>64</v>
      </c>
      <c r="D108" s="30">
        <f>'Hypo. Bill Impact (B-1)'!D34</f>
        <v>452.69923625000001</v>
      </c>
      <c r="E108" s="30">
        <f>'Hypo. Bill Impact (B-1)'!F34</f>
        <v>444.63236625000002</v>
      </c>
      <c r="F108" s="30">
        <f>'Hypo. Bill Impact (B-1)'!H34</f>
        <v>444.63236625000002</v>
      </c>
      <c r="G108" s="31">
        <f t="shared" si="29"/>
        <v>-1.7819491074964167E-2</v>
      </c>
      <c r="H108" s="50">
        <f t="shared" si="29"/>
        <v>0</v>
      </c>
      <c r="I108"/>
      <c r="J108"/>
    </row>
    <row r="109" spans="1:10" ht="15" thickBot="1">
      <c r="A109" s="95"/>
      <c r="B109" s="120"/>
      <c r="C109" s="123" t="s">
        <v>670</v>
      </c>
      <c r="D109" s="33">
        <f>'Hypo. Bill Impact (B-1)'!D35</f>
        <v>1019.60887625</v>
      </c>
      <c r="E109" s="33">
        <f>'Hypo. Bill Impact (B-1)'!F35</f>
        <v>1001.26929625</v>
      </c>
      <c r="F109" s="33">
        <f>'Hypo. Bill Impact (B-1)'!H35</f>
        <v>1001.26929625</v>
      </c>
      <c r="G109" s="34">
        <f t="shared" si="29"/>
        <v>-1.7986877544113544E-2</v>
      </c>
      <c r="H109" s="51">
        <f t="shared" si="29"/>
        <v>0</v>
      </c>
      <c r="I109"/>
      <c r="J109"/>
    </row>
  </sheetData>
  <mergeCells count="85">
    <mergeCell ref="B93:H93"/>
    <mergeCell ref="B99:H99"/>
    <mergeCell ref="B105:H105"/>
    <mergeCell ref="P9:P10"/>
    <mergeCell ref="Q9:Q10"/>
    <mergeCell ref="B48:C48"/>
    <mergeCell ref="B49:C49"/>
    <mergeCell ref="B38:H38"/>
    <mergeCell ref="B40:C40"/>
    <mergeCell ref="B41:C41"/>
    <mergeCell ref="B42:C42"/>
    <mergeCell ref="B45:H45"/>
    <mergeCell ref="B47:C47"/>
    <mergeCell ref="B35:C35"/>
    <mergeCell ref="B24:H24"/>
    <mergeCell ref="J24:P24"/>
    <mergeCell ref="B25:C25"/>
    <mergeCell ref="J25:K25"/>
    <mergeCell ref="B26:C26"/>
    <mergeCell ref="J49:K49"/>
    <mergeCell ref="B62:C62"/>
    <mergeCell ref="J35:K35"/>
    <mergeCell ref="J38:P38"/>
    <mergeCell ref="J40:K40"/>
    <mergeCell ref="B52:H52"/>
    <mergeCell ref="J52:P52"/>
    <mergeCell ref="B54:C54"/>
    <mergeCell ref="J54:K54"/>
    <mergeCell ref="B55:C55"/>
    <mergeCell ref="J55:K55"/>
    <mergeCell ref="B56:C56"/>
    <mergeCell ref="J56:K56"/>
    <mergeCell ref="J62:K62"/>
    <mergeCell ref="J26:K26"/>
    <mergeCell ref="B28:C28"/>
    <mergeCell ref="J28:K28"/>
    <mergeCell ref="B31:H31"/>
    <mergeCell ref="B33:C33"/>
    <mergeCell ref="J31:P31"/>
    <mergeCell ref="J33:K33"/>
    <mergeCell ref="J41:K41"/>
    <mergeCell ref="J42:K42"/>
    <mergeCell ref="J45:P45"/>
    <mergeCell ref="J47:K47"/>
    <mergeCell ref="J48:K48"/>
    <mergeCell ref="B34:C34"/>
    <mergeCell ref="J34:K34"/>
    <mergeCell ref="B59:H59"/>
    <mergeCell ref="B84:C84"/>
    <mergeCell ref="J84:K84"/>
    <mergeCell ref="B69:C69"/>
    <mergeCell ref="J69:K69"/>
    <mergeCell ref="B73:H73"/>
    <mergeCell ref="J73:P73"/>
    <mergeCell ref="J82:K82"/>
    <mergeCell ref="B83:C83"/>
    <mergeCell ref="J83:K83"/>
    <mergeCell ref="J70:K70"/>
    <mergeCell ref="B66:H66"/>
    <mergeCell ref="J66:P66"/>
    <mergeCell ref="B68:C68"/>
    <mergeCell ref="J68:K68"/>
    <mergeCell ref="B63:C63"/>
    <mergeCell ref="B90:C90"/>
    <mergeCell ref="J90:K90"/>
    <mergeCell ref="B91:C91"/>
    <mergeCell ref="J91:K91"/>
    <mergeCell ref="B87:H87"/>
    <mergeCell ref="J87:P87"/>
    <mergeCell ref="J59:P59"/>
    <mergeCell ref="B61:C61"/>
    <mergeCell ref="J61:K61"/>
    <mergeCell ref="B89:C89"/>
    <mergeCell ref="J89:K89"/>
    <mergeCell ref="B70:C70"/>
    <mergeCell ref="B77:C77"/>
    <mergeCell ref="B75:C75"/>
    <mergeCell ref="J75:K75"/>
    <mergeCell ref="B76:C76"/>
    <mergeCell ref="J76:K76"/>
    <mergeCell ref="J77:K77"/>
    <mergeCell ref="B80:H80"/>
    <mergeCell ref="J80:P80"/>
    <mergeCell ref="B82:C82"/>
    <mergeCell ref="J63:K63"/>
  </mergeCells>
  <dataValidations disablePrompts="1" count="1">
    <dataValidation type="list" allowBlank="1" showInputMessage="1" showErrorMessage="1" sqref="D5" xr:uid="{85554D0C-E8E7-49D6-B531-468D179257D3}">
      <formula1>"Y, N"</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67E9E33-7033-4350-B138-757404B7D695}">
          <x14:formula1>
            <xm:f>'Hypothetical Res Bill Impact'!$B$37:$B$47</xm:f>
          </x14:formula1>
          <xm:sqref>D4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7218-C889-4585-8412-A28641D7EF4B}">
  <sheetPr codeName="Sheet7">
    <tabColor rgb="FF92D050"/>
    <pageSetUpPr autoPageBreaks="0"/>
  </sheetPr>
  <dimension ref="B1:AF83"/>
  <sheetViews>
    <sheetView topLeftCell="G1" zoomScale="70" zoomScaleNormal="70" workbookViewId="0">
      <selection activeCell="AB38" sqref="A1:AB38"/>
    </sheetView>
  </sheetViews>
  <sheetFormatPr defaultColWidth="8.81640625" defaultRowHeight="15.5"/>
  <cols>
    <col min="1" max="1" width="3.54296875" style="124" customWidth="1"/>
    <col min="2" max="3" width="19.453125" style="124" customWidth="1"/>
    <col min="4" max="4" width="10.54296875" style="124" customWidth="1"/>
    <col min="5" max="5" width="22" style="124" customWidth="1"/>
    <col min="6" max="6" width="13.54296875" style="124" customWidth="1"/>
    <col min="7" max="7" width="18.81640625" style="124" bestFit="1" customWidth="1"/>
    <col min="8" max="8" width="16" style="124" customWidth="1"/>
    <col min="9" max="9" width="15.1796875" style="124" customWidth="1"/>
    <col min="10" max="10" width="15.453125" style="124" bestFit="1" customWidth="1"/>
    <col min="11" max="13" width="15.453125" style="124" customWidth="1"/>
    <col min="14" max="14" width="13" style="124" customWidth="1"/>
    <col min="15" max="15" width="15.54296875" style="124" customWidth="1"/>
    <col min="16" max="16" width="17.453125" style="124" customWidth="1"/>
    <col min="17" max="18" width="14" style="124" customWidth="1"/>
    <col min="19" max="19" width="21.54296875" style="124" customWidth="1"/>
    <col min="20" max="20" width="15" style="124" customWidth="1"/>
    <col min="21" max="21" width="18" style="124" customWidth="1"/>
    <col min="22" max="22" width="15.81640625" style="124" bestFit="1" customWidth="1"/>
    <col min="23" max="24" width="20.1796875" style="124" customWidth="1"/>
    <col min="25" max="25" width="12.7265625" style="124" bestFit="1" customWidth="1"/>
    <col min="26" max="26" width="20.1796875" style="124" bestFit="1" customWidth="1"/>
    <col min="27" max="27" width="13.7265625" style="124" bestFit="1" customWidth="1"/>
    <col min="28" max="28" width="10.81640625" style="124" bestFit="1" customWidth="1"/>
    <col min="29" max="29" width="14.453125" style="124" bestFit="1" customWidth="1"/>
    <col min="30" max="30" width="15" style="124" customWidth="1"/>
    <col min="31" max="31" width="10.81640625" style="124" bestFit="1" customWidth="1"/>
    <col min="32" max="32" width="14.453125" style="124" bestFit="1" customWidth="1"/>
    <col min="33" max="16384" width="8.81640625" style="124"/>
  </cols>
  <sheetData>
    <row r="1" spans="2:25">
      <c r="B1" s="543"/>
      <c r="C1" s="543"/>
      <c r="D1" s="543"/>
      <c r="E1" s="543"/>
      <c r="F1" s="543"/>
      <c r="G1" s="543"/>
      <c r="H1" s="543"/>
      <c r="I1" s="543"/>
      <c r="J1" s="543"/>
      <c r="K1" s="543"/>
      <c r="L1" s="543"/>
      <c r="M1" s="543"/>
      <c r="N1" s="543"/>
      <c r="O1" s="543"/>
      <c r="P1" s="543"/>
      <c r="Q1" s="543"/>
      <c r="R1" s="543"/>
      <c r="S1" s="543"/>
      <c r="T1" s="543"/>
      <c r="U1" s="543"/>
      <c r="V1" s="543"/>
      <c r="W1" s="543"/>
    </row>
    <row r="2" spans="2:25">
      <c r="B2" s="314"/>
      <c r="C2" s="315"/>
      <c r="D2" s="314"/>
      <c r="E2" s="314"/>
      <c r="F2" s="314"/>
      <c r="G2" s="314"/>
      <c r="H2" s="314"/>
      <c r="I2" s="314"/>
      <c r="J2" s="314"/>
      <c r="K2" s="314"/>
      <c r="L2" s="314"/>
      <c r="M2" s="314"/>
      <c r="N2" s="314"/>
      <c r="O2" s="314"/>
      <c r="P2" s="314"/>
      <c r="Q2" s="314"/>
      <c r="R2" s="314"/>
      <c r="S2" s="314"/>
      <c r="T2" s="314"/>
      <c r="U2" s="314"/>
      <c r="V2" s="314"/>
      <c r="W2" s="314"/>
    </row>
    <row r="3" spans="2:25">
      <c r="B3" s="317"/>
      <c r="C3" s="318" t="s">
        <v>671</v>
      </c>
      <c r="P3" s="319"/>
      <c r="Q3" s="319"/>
      <c r="R3" s="319"/>
      <c r="S3" s="319"/>
      <c r="T3" s="319"/>
      <c r="U3" s="319"/>
      <c r="V3" s="319"/>
      <c r="W3" s="319"/>
    </row>
    <row r="4" spans="2:25">
      <c r="B4" s="320" t="s">
        <v>233</v>
      </c>
      <c r="C4" s="187">
        <f>'Hypothetical Summary'!D7</f>
        <v>0</v>
      </c>
      <c r="F4" s="520" t="s">
        <v>514</v>
      </c>
      <c r="G4" s="520"/>
      <c r="H4" s="520"/>
      <c r="I4" s="520"/>
      <c r="J4" s="520"/>
      <c r="K4" s="520"/>
      <c r="L4" s="520"/>
      <c r="M4" s="520"/>
      <c r="N4" s="520"/>
      <c r="O4" s="520"/>
      <c r="Q4" s="471"/>
      <c r="R4" s="321"/>
      <c r="S4" s="321"/>
      <c r="T4" s="321"/>
      <c r="U4" s="321"/>
      <c r="V4" s="321"/>
      <c r="W4" s="321"/>
      <c r="X4" s="321"/>
      <c r="Y4" s="321"/>
    </row>
    <row r="5" spans="2:25" ht="31">
      <c r="B5" s="320" t="s">
        <v>248</v>
      </c>
      <c r="C5" s="187">
        <f>'Hypothetical Summary'!D8</f>
        <v>0</v>
      </c>
      <c r="E5" s="5"/>
      <c r="F5" s="322" t="s">
        <v>233</v>
      </c>
      <c r="G5" s="322" t="s">
        <v>214</v>
      </c>
      <c r="H5" s="322" t="s">
        <v>259</v>
      </c>
      <c r="I5" s="322" t="s">
        <v>515</v>
      </c>
      <c r="J5" s="322" t="s">
        <v>248</v>
      </c>
      <c r="K5" s="322" t="s">
        <v>421</v>
      </c>
      <c r="L5" s="322" t="s">
        <v>243</v>
      </c>
      <c r="M5" s="322" t="s">
        <v>242</v>
      </c>
      <c r="N5" s="322" t="s">
        <v>425</v>
      </c>
      <c r="O5" s="322" t="s">
        <v>516</v>
      </c>
      <c r="P5" s="323" t="s">
        <v>402</v>
      </c>
      <c r="Q5" s="322" t="s">
        <v>282</v>
      </c>
      <c r="R5" s="323" t="s">
        <v>225</v>
      </c>
      <c r="S5" s="472" t="s">
        <v>217</v>
      </c>
    </row>
    <row r="6" spans="2:25">
      <c r="B6" s="320" t="s">
        <v>214</v>
      </c>
      <c r="C6" s="187">
        <f>'Hypothetical Summary'!D9</f>
        <v>0</v>
      </c>
      <c r="E6" s="5" t="s">
        <v>163</v>
      </c>
      <c r="F6" s="62">
        <f>'SAR and RAR'!G35</f>
        <v>0.43002924310865648</v>
      </c>
      <c r="G6" s="62">
        <f>'SAR and RAR'!H35</f>
        <v>0.40612392962777127</v>
      </c>
      <c r="H6" s="62">
        <f>'SAR and RAR'!I35</f>
        <v>0.34239546338225313</v>
      </c>
      <c r="I6" s="62">
        <f>'SAR and RAR'!J35</f>
        <v>0.3392713624279195</v>
      </c>
      <c r="J6" s="62">
        <f>'SAR and RAR'!K35</f>
        <v>0.48768036339609455</v>
      </c>
      <c r="K6" s="62">
        <f>'SAR and RAR'!L35</f>
        <v>0.47700509598271418</v>
      </c>
      <c r="L6" s="62">
        <f>'SAR and RAR'!M35</f>
        <v>0.36222602887535721</v>
      </c>
      <c r="M6" s="62">
        <f>'SAR and RAR'!N35</f>
        <v>0.35051136171955549</v>
      </c>
      <c r="N6" s="62">
        <f>'SAR and RAR'!O35</f>
        <v>0.3453077165713041</v>
      </c>
      <c r="O6" s="62">
        <f>'SAR and RAR'!P35</f>
        <v>0.83472389049415474</v>
      </c>
      <c r="P6" s="62">
        <f>'SAR and RAR'!Q35</f>
        <v>0.27230327335928306</v>
      </c>
      <c r="Q6" s="62">
        <f>'SAR and RAR'!R35</f>
        <v>0.3383268031352431</v>
      </c>
      <c r="R6" s="62">
        <f>'SAR and RAR'!S35</f>
        <v>0.35064423154799867</v>
      </c>
      <c r="S6" s="62">
        <f>'SAR and RAR'!T35</f>
        <v>0.39524787945951845</v>
      </c>
    </row>
    <row r="7" spans="2:25">
      <c r="B7" s="320" t="s">
        <v>336</v>
      </c>
      <c r="C7" s="187">
        <f>'Hypothetical Summary'!D10</f>
        <v>0</v>
      </c>
      <c r="E7" s="5"/>
      <c r="F7" s="70"/>
      <c r="G7" s="70"/>
      <c r="H7" s="70"/>
      <c r="I7" s="70"/>
      <c r="J7" s="70"/>
      <c r="K7" s="70"/>
      <c r="L7" s="70"/>
      <c r="M7" s="70"/>
      <c r="N7" s="70"/>
      <c r="O7" s="70"/>
      <c r="P7" s="70"/>
    </row>
    <row r="8" spans="2:25">
      <c r="B8" s="320" t="s">
        <v>243</v>
      </c>
      <c r="C8" s="187">
        <f>'Hypothetical Summary'!D11</f>
        <v>0</v>
      </c>
      <c r="E8" s="321"/>
      <c r="F8" s="520" t="s">
        <v>517</v>
      </c>
      <c r="G8" s="520"/>
      <c r="H8" s="520"/>
      <c r="I8" s="520"/>
      <c r="J8" s="520"/>
      <c r="K8" s="520"/>
      <c r="L8" s="520"/>
      <c r="M8" s="520"/>
      <c r="N8" s="520"/>
      <c r="O8" s="520"/>
      <c r="P8" s="520"/>
      <c r="Q8" s="520"/>
    </row>
    <row r="9" spans="2:25" ht="15.65" customHeight="1">
      <c r="B9" s="320" t="s">
        <v>259</v>
      </c>
      <c r="C9" s="187">
        <f>'Hypothetical Summary'!D12</f>
        <v>0</v>
      </c>
      <c r="E9" s="327"/>
      <c r="F9" s="322" t="s">
        <v>233</v>
      </c>
      <c r="G9" s="322" t="s">
        <v>214</v>
      </c>
      <c r="H9" s="322" t="s">
        <v>259</v>
      </c>
      <c r="I9" s="322" t="s">
        <v>338</v>
      </c>
      <c r="J9" s="322" t="s">
        <v>248</v>
      </c>
      <c r="K9" s="322" t="s">
        <v>421</v>
      </c>
      <c r="L9" s="322" t="s">
        <v>243</v>
      </c>
      <c r="M9" s="322" t="s">
        <v>242</v>
      </c>
      <c r="N9" s="322" t="s">
        <v>425</v>
      </c>
      <c r="O9" s="322" t="s">
        <v>336</v>
      </c>
      <c r="P9" s="41" t="s">
        <v>402</v>
      </c>
      <c r="Q9" s="322" t="s">
        <v>282</v>
      </c>
      <c r="R9" s="323" t="s">
        <v>225</v>
      </c>
      <c r="S9" s="472" t="s">
        <v>217</v>
      </c>
      <c r="T9" s="322" t="s">
        <v>170</v>
      </c>
    </row>
    <row r="10" spans="2:25">
      <c r="B10" s="320" t="s">
        <v>338</v>
      </c>
      <c r="C10" s="187">
        <f>'Hypothetical Summary'!D13</f>
        <v>0</v>
      </c>
      <c r="E10" s="5" t="s">
        <v>163</v>
      </c>
      <c r="F10" s="328">
        <f>F6*F11</f>
        <v>0</v>
      </c>
      <c r="G10" s="328">
        <f>G6*G11</f>
        <v>0</v>
      </c>
      <c r="H10" s="328">
        <f t="shared" ref="H10:P10" si="0">H6*H11</f>
        <v>0</v>
      </c>
      <c r="I10" s="328">
        <f t="shared" si="0"/>
        <v>0</v>
      </c>
      <c r="J10" s="328">
        <f t="shared" si="0"/>
        <v>0</v>
      </c>
      <c r="K10" s="328">
        <f t="shared" si="0"/>
        <v>0</v>
      </c>
      <c r="L10" s="328">
        <f t="shared" si="0"/>
        <v>0</v>
      </c>
      <c r="M10" s="328">
        <f t="shared" si="0"/>
        <v>0</v>
      </c>
      <c r="N10" s="328">
        <f t="shared" si="0"/>
        <v>0</v>
      </c>
      <c r="O10" s="328">
        <f t="shared" si="0"/>
        <v>0</v>
      </c>
      <c r="P10" s="328">
        <f t="shared" si="0"/>
        <v>0</v>
      </c>
      <c r="Q10" s="328">
        <f>Q6*Q11</f>
        <v>0</v>
      </c>
      <c r="R10" s="328">
        <f>R6*R11</f>
        <v>0</v>
      </c>
      <c r="S10" s="328">
        <f>S6*S11</f>
        <v>0</v>
      </c>
      <c r="T10" s="328">
        <f>SUM(F10:S10)</f>
        <v>0</v>
      </c>
    </row>
    <row r="11" spans="2:25">
      <c r="B11" s="320" t="s">
        <v>402</v>
      </c>
      <c r="C11" s="187">
        <f>'Hypothetical Summary'!D14</f>
        <v>0</v>
      </c>
      <c r="E11" s="5" t="s">
        <v>518</v>
      </c>
      <c r="F11" s="55">
        <f>VLOOKUP(F9,$B$4:$C$17,2,FALSE)</f>
        <v>0</v>
      </c>
      <c r="G11" s="55">
        <f t="shared" ref="G11:S11" si="1">VLOOKUP(G9,$B$4:$C$17,2,FALSE)</f>
        <v>0</v>
      </c>
      <c r="H11" s="55">
        <f t="shared" si="1"/>
        <v>0</v>
      </c>
      <c r="I11" s="55">
        <f t="shared" si="1"/>
        <v>0</v>
      </c>
      <c r="J11" s="55">
        <f t="shared" si="1"/>
        <v>0</v>
      </c>
      <c r="K11" s="55">
        <f t="shared" si="1"/>
        <v>0</v>
      </c>
      <c r="L11" s="55">
        <f t="shared" si="1"/>
        <v>0</v>
      </c>
      <c r="M11" s="55">
        <f t="shared" si="1"/>
        <v>0</v>
      </c>
      <c r="N11" s="55">
        <f t="shared" si="1"/>
        <v>0</v>
      </c>
      <c r="O11" s="55">
        <f t="shared" si="1"/>
        <v>0</v>
      </c>
      <c r="P11" s="55">
        <f t="shared" si="1"/>
        <v>0</v>
      </c>
      <c r="Q11" s="55">
        <f t="shared" si="1"/>
        <v>0</v>
      </c>
      <c r="R11" s="55">
        <f t="shared" si="1"/>
        <v>0</v>
      </c>
      <c r="S11" s="55">
        <f t="shared" si="1"/>
        <v>0</v>
      </c>
      <c r="T11" s="55">
        <f>SUM(F11:S11)</f>
        <v>0</v>
      </c>
    </row>
    <row r="12" spans="2:25">
      <c r="B12" s="320" t="s">
        <v>242</v>
      </c>
      <c r="C12" s="187">
        <f>'Hypothetical Summary'!D15</f>
        <v>0</v>
      </c>
      <c r="E12" s="327"/>
    </row>
    <row r="13" spans="2:25" ht="15.65" customHeight="1">
      <c r="B13" s="320" t="s">
        <v>421</v>
      </c>
      <c r="C13" s="187">
        <f>'Hypothetical Summary'!D16</f>
        <v>0</v>
      </c>
      <c r="E13" s="5"/>
      <c r="F13" s="328"/>
      <c r="G13" s="328"/>
      <c r="H13" s="328"/>
      <c r="I13" s="328"/>
      <c r="J13" s="328"/>
      <c r="K13" s="328"/>
      <c r="L13" s="328"/>
      <c r="M13" s="328"/>
      <c r="N13" s="328"/>
      <c r="O13" s="328"/>
      <c r="P13" s="328"/>
      <c r="Q13" s="328"/>
      <c r="R13" s="328"/>
      <c r="S13" s="328"/>
      <c r="T13" s="330"/>
    </row>
    <row r="14" spans="2:25" ht="15.65" customHeight="1">
      <c r="B14" s="320" t="s">
        <v>425</v>
      </c>
      <c r="C14" s="187">
        <f>'Hypothetical Summary'!D17</f>
        <v>0</v>
      </c>
      <c r="E14" s="5"/>
      <c r="F14" s="55"/>
      <c r="G14" s="55"/>
      <c r="H14" s="55"/>
      <c r="I14" s="55"/>
      <c r="J14" s="55"/>
      <c r="K14" s="55"/>
      <c r="L14" s="55"/>
      <c r="M14" s="55"/>
      <c r="N14" s="55"/>
      <c r="O14" s="55"/>
      <c r="P14" s="55"/>
      <c r="Q14" s="55"/>
      <c r="R14" s="55"/>
      <c r="S14" s="55"/>
    </row>
    <row r="15" spans="2:25">
      <c r="B15" s="320" t="s">
        <v>225</v>
      </c>
      <c r="C15" s="187">
        <f>'Hypothetical Summary'!D18</f>
        <v>0</v>
      </c>
      <c r="E15" s="199"/>
      <c r="F15" s="331"/>
      <c r="G15" s="331"/>
      <c r="H15" s="331"/>
      <c r="I15" s="321"/>
      <c r="V15" s="5"/>
      <c r="W15" s="332"/>
      <c r="X15" s="332"/>
    </row>
    <row r="16" spans="2:25">
      <c r="B16" s="320" t="s">
        <v>282</v>
      </c>
      <c r="C16" s="187">
        <f>'Hypothetical Summary'!D19</f>
        <v>0</v>
      </c>
      <c r="T16" s="515"/>
      <c r="U16" s="516"/>
      <c r="V16" s="473"/>
      <c r="X16" s="72" t="s">
        <v>520</v>
      </c>
      <c r="Y16" s="73">
        <v>0.27045122760591062</v>
      </c>
    </row>
    <row r="17" spans="2:32">
      <c r="B17" s="124" t="s">
        <v>217</v>
      </c>
      <c r="C17" s="200">
        <f>'Hypothetical Summary'!D20</f>
        <v>0</v>
      </c>
      <c r="T17" s="333"/>
      <c r="U17" s="334"/>
      <c r="V17" s="473"/>
      <c r="X17" s="72"/>
      <c r="Y17" s="73"/>
    </row>
    <row r="18" spans="2:32">
      <c r="B18" s="320" t="s">
        <v>170</v>
      </c>
      <c r="C18" s="201">
        <f>SUM(C4:C17)</f>
        <v>0</v>
      </c>
      <c r="E18" s="321"/>
      <c r="F18" s="521" t="s">
        <v>521</v>
      </c>
      <c r="G18" s="521"/>
      <c r="H18" s="521"/>
      <c r="I18" s="521"/>
      <c r="J18" s="521"/>
      <c r="K18" s="521"/>
      <c r="L18" s="521"/>
      <c r="M18" s="521"/>
      <c r="N18" s="521"/>
      <c r="O18" s="521"/>
      <c r="P18" s="521"/>
      <c r="Q18" s="474"/>
      <c r="T18" s="518" t="s">
        <v>522</v>
      </c>
      <c r="U18" s="519"/>
      <c r="V18" s="473"/>
      <c r="X18" s="72" t="s">
        <v>523</v>
      </c>
      <c r="Y18" s="73">
        <v>0.35</v>
      </c>
    </row>
    <row r="19" spans="2:32" ht="31">
      <c r="B19" s="6"/>
      <c r="C19" s="187"/>
      <c r="D19" s="321"/>
      <c r="F19" s="323" t="s">
        <v>233</v>
      </c>
      <c r="G19" s="322" t="s">
        <v>214</v>
      </c>
      <c r="H19" s="322" t="s">
        <v>259</v>
      </c>
      <c r="I19" s="322" t="s">
        <v>515</v>
      </c>
      <c r="J19" s="322" t="s">
        <v>248</v>
      </c>
      <c r="K19" s="322" t="s">
        <v>421</v>
      </c>
      <c r="L19" s="322" t="s">
        <v>243</v>
      </c>
      <c r="M19" s="322" t="s">
        <v>242</v>
      </c>
      <c r="N19" s="322" t="s">
        <v>425</v>
      </c>
      <c r="O19" s="322" t="s">
        <v>516</v>
      </c>
      <c r="P19" s="322" t="s">
        <v>402</v>
      </c>
      <c r="Q19" s="322" t="s">
        <v>282</v>
      </c>
      <c r="R19" s="323" t="s">
        <v>225</v>
      </c>
      <c r="S19" s="472" t="s">
        <v>217</v>
      </c>
      <c r="T19" s="475" t="s">
        <v>170</v>
      </c>
      <c r="U19" s="41" t="s">
        <v>524</v>
      </c>
      <c r="V19" s="473"/>
      <c r="X19" s="72" t="s">
        <v>525</v>
      </c>
      <c r="Y19" s="55">
        <f>SUM(G10:N10,R10:S10,F10/G20)*Y16*Y18</f>
        <v>0</v>
      </c>
    </row>
    <row r="20" spans="2:32">
      <c r="B20" s="6"/>
      <c r="C20" s="187"/>
      <c r="E20" s="5" t="s">
        <v>163</v>
      </c>
      <c r="F20" s="62">
        <v>1</v>
      </c>
      <c r="G20" s="62">
        <f>$E29/$O29</f>
        <v>0.3886737227775372</v>
      </c>
      <c r="H20" s="62">
        <f t="shared" ref="H20:P20" si="2">$E29/$O29</f>
        <v>0.3886737227775372</v>
      </c>
      <c r="I20" s="62">
        <f t="shared" si="2"/>
        <v>0.3886737227775372</v>
      </c>
      <c r="J20" s="62">
        <f t="shared" si="2"/>
        <v>0.3886737227775372</v>
      </c>
      <c r="K20" s="62">
        <f t="shared" si="2"/>
        <v>0.3886737227775372</v>
      </c>
      <c r="L20" s="62">
        <f t="shared" si="2"/>
        <v>0.3886737227775372</v>
      </c>
      <c r="M20" s="62">
        <f t="shared" si="2"/>
        <v>0.3886737227775372</v>
      </c>
      <c r="N20" s="62">
        <f t="shared" si="2"/>
        <v>0.3886737227775372</v>
      </c>
      <c r="O20" s="62">
        <f t="shared" si="2"/>
        <v>0.3886737227775372</v>
      </c>
      <c r="P20" s="62">
        <f t="shared" si="2"/>
        <v>0.3886737227775372</v>
      </c>
      <c r="Q20" s="62">
        <f t="shared" ref="Q20:S21" si="3">$E29/$O29</f>
        <v>0.3886737227775372</v>
      </c>
      <c r="R20" s="62">
        <f t="shared" si="3"/>
        <v>0.3886737227775372</v>
      </c>
      <c r="S20" s="62">
        <f t="shared" si="3"/>
        <v>0.3886737227775372</v>
      </c>
      <c r="T20" s="74">
        <f>SUMPRODUCT(F10:S10,F20:S20)</f>
        <v>0</v>
      </c>
      <c r="U20" s="56">
        <f>T20-((Y19+Y22)*G20)</f>
        <v>0</v>
      </c>
      <c r="V20" s="74"/>
      <c r="X20" s="72" t="s">
        <v>672</v>
      </c>
      <c r="Y20" s="328">
        <v>19358300.385786124</v>
      </c>
    </row>
    <row r="21" spans="2:32">
      <c r="B21" s="6"/>
      <c r="C21" s="6"/>
      <c r="E21" s="5" t="s">
        <v>518</v>
      </c>
      <c r="F21" s="62">
        <v>1</v>
      </c>
      <c r="G21" s="62">
        <f>$E30/$O30</f>
        <v>0.32886186544742674</v>
      </c>
      <c r="H21" s="62">
        <f t="shared" ref="H21:P21" si="4">$E30/$O30</f>
        <v>0.32886186544742674</v>
      </c>
      <c r="I21" s="62">
        <f t="shared" si="4"/>
        <v>0.32886186544742674</v>
      </c>
      <c r="J21" s="62">
        <f t="shared" si="4"/>
        <v>0.32886186544742674</v>
      </c>
      <c r="K21" s="62">
        <f t="shared" si="4"/>
        <v>0.32886186544742674</v>
      </c>
      <c r="L21" s="62">
        <f t="shared" si="4"/>
        <v>0.32886186544742674</v>
      </c>
      <c r="M21" s="62">
        <f t="shared" si="4"/>
        <v>0.32886186544742674</v>
      </c>
      <c r="N21" s="62">
        <f t="shared" si="4"/>
        <v>0.32886186544742674</v>
      </c>
      <c r="O21" s="62">
        <f t="shared" si="4"/>
        <v>0.32886186544742674</v>
      </c>
      <c r="P21" s="62">
        <f t="shared" si="4"/>
        <v>0.32886186544742674</v>
      </c>
      <c r="Q21" s="62">
        <f t="shared" si="3"/>
        <v>0.32886186544742674</v>
      </c>
      <c r="R21" s="62">
        <f t="shared" si="3"/>
        <v>0.32886186544742674</v>
      </c>
      <c r="S21" s="62">
        <f t="shared" si="3"/>
        <v>0.32886186544742674</v>
      </c>
      <c r="T21" s="74">
        <f>SUMPRODUCT(F11:S11,F21:S21)</f>
        <v>0</v>
      </c>
      <c r="U21" s="56">
        <f>T21</f>
        <v>0</v>
      </c>
      <c r="V21" s="74"/>
      <c r="X21" s="72" t="s">
        <v>527</v>
      </c>
      <c r="Y21" s="328">
        <v>67795755.926224142</v>
      </c>
      <c r="AA21" s="5"/>
    </row>
    <row r="22" spans="2:32">
      <c r="B22" s="6"/>
      <c r="C22" s="6"/>
      <c r="F22" s="316"/>
      <c r="G22" s="316"/>
      <c r="H22" s="316"/>
      <c r="I22" s="316"/>
      <c r="J22" s="316"/>
      <c r="K22" s="316"/>
      <c r="L22" s="316"/>
      <c r="M22" s="316"/>
      <c r="N22" s="316"/>
      <c r="O22" s="316"/>
      <c r="P22" s="316"/>
      <c r="U22" s="5"/>
      <c r="V22" s="5"/>
      <c r="X22" s="72" t="s">
        <v>528</v>
      </c>
      <c r="Y22" s="55">
        <f>Y19*Y20/Y21</f>
        <v>0</v>
      </c>
      <c r="AA22" s="5"/>
    </row>
    <row r="23" spans="2:32">
      <c r="B23" s="6"/>
      <c r="C23" s="6"/>
      <c r="E23" s="321" t="str">
        <f>"Notes: Allocation and bundled/unbundled split based on "&amp;'Hypothetical Summary'!L4&amp;" sales forecast"</f>
        <v>Notes: Allocation and bundled/unbundled split based on 2026 sales forecast</v>
      </c>
      <c r="R23" s="322"/>
      <c r="S23" s="322"/>
      <c r="T23" s="5"/>
      <c r="Y23" s="338"/>
    </row>
    <row r="24" spans="2:32">
      <c r="B24" s="6"/>
      <c r="C24" s="6"/>
      <c r="D24" s="5"/>
      <c r="E24" s="5"/>
      <c r="F24" s="6"/>
      <c r="G24" s="6"/>
      <c r="H24" s="6"/>
      <c r="I24" s="6"/>
      <c r="J24" s="6"/>
      <c r="K24" s="6"/>
      <c r="L24" s="6"/>
      <c r="M24" s="6"/>
      <c r="N24" s="6"/>
      <c r="O24" s="6"/>
      <c r="P24" s="6"/>
      <c r="Q24" s="5"/>
      <c r="R24" s="9"/>
      <c r="S24" s="124" t="s">
        <v>529</v>
      </c>
      <c r="T24" s="330">
        <f>O10*O20</f>
        <v>0</v>
      </c>
      <c r="U24" s="330"/>
      <c r="X24" s="5"/>
      <c r="Y24" s="5"/>
    </row>
    <row r="25" spans="2:32">
      <c r="B25" s="6"/>
      <c r="C25" s="6"/>
      <c r="D25" s="41"/>
      <c r="E25" s="41"/>
      <c r="F25" s="341"/>
      <c r="G25" s="41"/>
      <c r="H25" s="41"/>
      <c r="I25" s="41"/>
      <c r="J25" s="41"/>
      <c r="K25" s="41"/>
      <c r="L25" s="41"/>
      <c r="M25" s="41"/>
      <c r="N25" s="41"/>
      <c r="O25" s="41"/>
      <c r="P25" s="41"/>
      <c r="Q25" s="41"/>
      <c r="R25" s="9"/>
      <c r="S25" s="339" t="s">
        <v>530</v>
      </c>
      <c r="T25" s="330">
        <f>O11*O21</f>
        <v>0</v>
      </c>
      <c r="U25" s="340"/>
      <c r="V25" s="189"/>
      <c r="X25" s="5"/>
      <c r="Y25" s="5"/>
    </row>
    <row r="26" spans="2:32">
      <c r="B26" s="6"/>
      <c r="C26" s="6"/>
      <c r="D26" s="41"/>
      <c r="E26" s="41"/>
      <c r="F26" s="41"/>
      <c r="G26" s="41"/>
      <c r="H26" s="41"/>
      <c r="I26" s="41"/>
      <c r="J26" s="41"/>
      <c r="K26" s="41"/>
      <c r="L26" s="41"/>
      <c r="M26" s="41"/>
      <c r="N26" s="41"/>
      <c r="O26" s="41"/>
      <c r="P26" s="41"/>
      <c r="Q26" s="41"/>
      <c r="R26" s="190"/>
      <c r="S26" s="190"/>
      <c r="T26" s="9"/>
      <c r="U26" s="189"/>
      <c r="V26" s="5"/>
      <c r="X26" s="5"/>
      <c r="Y26" s="5"/>
      <c r="AB26" s="125"/>
      <c r="AC26" s="125"/>
      <c r="AE26" s="125"/>
      <c r="AF26" s="125"/>
    </row>
    <row r="27" spans="2:32">
      <c r="B27" s="6"/>
      <c r="C27" s="6"/>
      <c r="D27" s="5"/>
      <c r="E27" s="512" t="s">
        <v>531</v>
      </c>
      <c r="F27" s="513"/>
      <c r="G27" s="513"/>
      <c r="H27" s="514"/>
      <c r="I27" s="41"/>
      <c r="J27" s="41"/>
      <c r="N27" s="5"/>
      <c r="O27" s="512" t="s">
        <v>532</v>
      </c>
      <c r="P27" s="513"/>
      <c r="Q27" s="513"/>
      <c r="R27" s="514"/>
      <c r="S27" s="41"/>
      <c r="T27" s="9"/>
      <c r="U27" s="189"/>
      <c r="V27" s="191"/>
      <c r="Z27" s="5"/>
      <c r="AA27" s="476"/>
      <c r="AB27" s="126"/>
      <c r="AC27" s="126"/>
      <c r="AD27" s="127"/>
      <c r="AE27" s="126"/>
      <c r="AF27" s="126"/>
    </row>
    <row r="28" spans="2:32" ht="31">
      <c r="B28" s="6"/>
      <c r="C28" s="6"/>
      <c r="D28" s="5"/>
      <c r="E28" s="322" t="str">
        <f>'Hypothetical Summary'!L4&amp;" Sales"</f>
        <v>2026 Sales</v>
      </c>
      <c r="F28" s="322" t="str">
        <f>TEXT(Summary!L3,"mm/dd/yyyy")&amp;" Avg Rates"</f>
        <v>03/01/2026 Avg Rates</v>
      </c>
      <c r="G28" s="322" t="s">
        <v>673</v>
      </c>
      <c r="H28" s="322" t="s">
        <v>674</v>
      </c>
      <c r="J28" s="322"/>
      <c r="N28" s="5"/>
      <c r="O28" s="322" t="str">
        <f>'Hypothetical Summary'!L4&amp;" Sales"</f>
        <v>2026 Sales</v>
      </c>
      <c r="P28" s="322" t="str">
        <f>F28</f>
        <v>03/01/2026 Avg Rates</v>
      </c>
      <c r="Q28" s="322" t="s">
        <v>673</v>
      </c>
      <c r="R28" s="322" t="s">
        <v>674</v>
      </c>
      <c r="S28" s="322"/>
      <c r="T28" s="9"/>
      <c r="U28" s="189"/>
      <c r="W28" s="330"/>
      <c r="X28" s="330"/>
      <c r="Z28" s="5"/>
      <c r="AA28" s="476"/>
      <c r="AB28" s="128"/>
      <c r="AC28" s="128"/>
      <c r="AD28" s="127"/>
      <c r="AE28" s="128"/>
      <c r="AF28" s="128"/>
    </row>
    <row r="29" spans="2:32">
      <c r="B29" s="6"/>
      <c r="C29" s="6"/>
      <c r="D29" s="348" t="s">
        <v>163</v>
      </c>
      <c r="E29" s="98">
        <v>10313310.03806413</v>
      </c>
      <c r="F29" s="136">
        <f>IF('Hypothetical Summary'!D5="Y",AB50,AC50)</f>
        <v>32.340654762006949</v>
      </c>
      <c r="G29" s="477">
        <f>IF('Hypothetical Summary'!D5="Y",U20/E29*100+F29,SUM(U20-T24)/E29*100+F29)</f>
        <v>32.340654762006949</v>
      </c>
      <c r="H29" s="112">
        <f>G29/F29-1</f>
        <v>0</v>
      </c>
      <c r="J29" s="112"/>
      <c r="N29" s="348" t="s">
        <v>163</v>
      </c>
      <c r="O29" s="328">
        <v>26534621.286881018</v>
      </c>
      <c r="P29" s="136">
        <f>IF('Hypothetical Summary'!D5="Y",AE50,AF50)</f>
        <v>29.788022651798478</v>
      </c>
      <c r="Q29" s="9">
        <f>IF('Hypothetical Summary'!D5="Y",T10/O29*100+P29,SUM(T10-O10)/O29*100+P29)</f>
        <v>29.788022651798478</v>
      </c>
      <c r="R29" s="112">
        <f>Q29/P29-1</f>
        <v>0</v>
      </c>
      <c r="S29" s="112"/>
      <c r="T29" s="112"/>
      <c r="U29" s="112"/>
      <c r="W29" s="330"/>
      <c r="X29" s="340"/>
      <c r="AA29" s="476"/>
      <c r="AB29" s="128"/>
      <c r="AC29" s="128"/>
      <c r="AD29" s="127"/>
      <c r="AE29" s="128"/>
      <c r="AF29" s="128"/>
    </row>
    <row r="30" spans="2:32">
      <c r="D30" s="348" t="s">
        <v>518</v>
      </c>
      <c r="E30" s="98">
        <v>24784494.935273737</v>
      </c>
      <c r="F30" s="136">
        <f>IF('Hypothetical Summary'!D5="Y",AB51,AC51)</f>
        <v>32.596708001946226</v>
      </c>
      <c r="G30" s="477">
        <f>IF('Hypothetical Summary'!D5="Y",U21/E30*100+F30,SUM(U21-T25)/E30*100+F30)</f>
        <v>32.596708001946226</v>
      </c>
      <c r="H30" s="112">
        <f>G30/F30-1</f>
        <v>0</v>
      </c>
      <c r="J30" s="112"/>
      <c r="N30" s="348" t="s">
        <v>518</v>
      </c>
      <c r="O30" s="328">
        <v>75364454.013400629</v>
      </c>
      <c r="P30" s="136">
        <f>IF('Hypothetical Summary'!D5="Y",AE51,AF51)</f>
        <v>26.65073540105055</v>
      </c>
      <c r="Q30" s="9">
        <f>IF('Hypothetical Summary'!D5="Y",T11/O30*100+P30,SUM(T11-O11)/O30*100+P30)</f>
        <v>26.65073540105055</v>
      </c>
      <c r="R30" s="112">
        <f>Q30/P30-1</f>
        <v>0</v>
      </c>
      <c r="S30" s="112"/>
      <c r="T30" s="112"/>
      <c r="U30" s="112"/>
      <c r="V30" s="194"/>
      <c r="AB30" s="126"/>
      <c r="AC30" s="126"/>
      <c r="AD30" s="126"/>
      <c r="AE30" s="126"/>
      <c r="AF30" s="126"/>
    </row>
    <row r="31" spans="2:32">
      <c r="P31" s="5"/>
      <c r="Q31" s="5"/>
      <c r="R31" s="190"/>
      <c r="S31" s="190"/>
      <c r="T31" s="5"/>
      <c r="U31" s="190"/>
      <c r="V31" s="191"/>
      <c r="AB31" s="129"/>
      <c r="AC31" s="129"/>
      <c r="AD31" s="126"/>
      <c r="AE31" s="129"/>
      <c r="AF31" s="129"/>
    </row>
    <row r="32" spans="2:32">
      <c r="P32" s="5"/>
      <c r="Q32" s="5"/>
      <c r="R32" s="190"/>
      <c r="S32" s="190"/>
      <c r="T32" s="5"/>
      <c r="U32" s="190"/>
      <c r="V32" s="194"/>
      <c r="AA32" s="476"/>
      <c r="AB32" s="126"/>
      <c r="AC32" s="126"/>
      <c r="AD32" s="127"/>
      <c r="AE32" s="126"/>
      <c r="AF32" s="126"/>
    </row>
    <row r="33" spans="2:32">
      <c r="B33" s="6"/>
      <c r="C33" s="6"/>
      <c r="D33" s="5"/>
      <c r="E33" s="544"/>
      <c r="F33" s="544"/>
      <c r="G33" s="544"/>
      <c r="H33" s="41"/>
      <c r="I33" s="41"/>
      <c r="J33" s="41"/>
      <c r="K33" s="5"/>
      <c r="L33" s="5"/>
      <c r="M33" s="5"/>
      <c r="N33" s="5"/>
      <c r="O33" s="5"/>
      <c r="P33" s="5"/>
      <c r="Q33" s="5"/>
      <c r="R33" s="190"/>
      <c r="S33" s="190"/>
      <c r="T33" s="5"/>
      <c r="U33" s="190"/>
      <c r="V33" s="194"/>
      <c r="W33" s="194"/>
      <c r="X33" s="191"/>
      <c r="AA33" s="476"/>
      <c r="AB33" s="128"/>
      <c r="AC33" s="128"/>
      <c r="AD33" s="127"/>
      <c r="AE33" s="128"/>
      <c r="AF33" s="128"/>
    </row>
    <row r="34" spans="2:32">
      <c r="B34" s="6"/>
      <c r="C34" s="6"/>
      <c r="D34" s="41"/>
      <c r="E34" s="322"/>
      <c r="F34" s="322"/>
      <c r="G34" s="322"/>
      <c r="H34" s="41"/>
      <c r="I34" s="41"/>
      <c r="J34" s="41"/>
      <c r="K34" s="5"/>
      <c r="L34" s="5"/>
      <c r="M34" s="5"/>
      <c r="N34" s="5"/>
      <c r="O34" s="5"/>
      <c r="P34" s="5"/>
      <c r="Q34" s="5"/>
      <c r="R34" s="190"/>
      <c r="S34" s="190"/>
      <c r="T34" s="5"/>
      <c r="U34" s="190"/>
      <c r="V34" s="191"/>
      <c r="W34" s="194"/>
      <c r="X34" s="191"/>
      <c r="AA34" s="476"/>
      <c r="AB34" s="128"/>
      <c r="AC34" s="128"/>
      <c r="AD34" s="127"/>
      <c r="AE34" s="130"/>
      <c r="AF34" s="130"/>
    </row>
    <row r="35" spans="2:32">
      <c r="B35" s="6"/>
      <c r="C35" s="6"/>
      <c r="D35" s="5"/>
      <c r="E35" s="7"/>
      <c r="F35" s="8"/>
      <c r="G35" s="113"/>
      <c r="H35" s="41"/>
      <c r="I35" s="41"/>
      <c r="J35" s="41"/>
      <c r="K35" s="5"/>
      <c r="L35" s="5"/>
      <c r="M35" s="5"/>
      <c r="N35" s="5"/>
      <c r="O35" s="5"/>
      <c r="P35" s="5"/>
      <c r="Q35" s="5"/>
      <c r="R35" s="190"/>
      <c r="S35" s="190"/>
      <c r="T35" s="5"/>
      <c r="U35" s="5"/>
      <c r="V35" s="189"/>
      <c r="W35" s="194"/>
      <c r="X35" s="191"/>
    </row>
    <row r="36" spans="2:32">
      <c r="D36" s="5"/>
      <c r="E36" s="7"/>
      <c r="F36" s="8"/>
      <c r="G36" s="113"/>
      <c r="H36" s="41"/>
      <c r="I36" s="41"/>
      <c r="J36" s="41"/>
      <c r="K36" s="5"/>
      <c r="L36" s="5"/>
      <c r="M36" s="5"/>
      <c r="N36" s="5"/>
      <c r="O36" s="5"/>
      <c r="P36" s="5"/>
      <c r="Q36" s="5"/>
      <c r="R36" s="190"/>
      <c r="S36" s="190"/>
      <c r="T36" s="5"/>
      <c r="U36" s="190"/>
      <c r="V36" s="191"/>
      <c r="W36" s="194"/>
      <c r="X36" s="194"/>
    </row>
    <row r="37" spans="2:32">
      <c r="D37" s="5"/>
      <c r="E37" s="7"/>
      <c r="F37" s="8"/>
      <c r="G37" s="113"/>
      <c r="H37" s="41"/>
      <c r="I37" s="41"/>
      <c r="J37" s="41"/>
      <c r="K37" s="5"/>
      <c r="L37" s="5"/>
      <c r="M37" s="5"/>
      <c r="N37" s="5"/>
      <c r="O37" s="5"/>
      <c r="P37" s="5"/>
      <c r="Q37" s="5"/>
      <c r="R37" s="190"/>
      <c r="S37" s="190"/>
      <c r="T37" s="5"/>
      <c r="U37" s="5"/>
      <c r="V37" s="5"/>
      <c r="W37" s="194"/>
      <c r="X37" s="191"/>
    </row>
    <row r="38" spans="2:32">
      <c r="D38" s="5"/>
      <c r="E38" s="7"/>
      <c r="F38" s="8"/>
      <c r="G38" s="113"/>
      <c r="H38" s="41"/>
      <c r="I38" s="41"/>
      <c r="J38" s="41"/>
      <c r="K38" s="5"/>
      <c r="L38" s="5"/>
      <c r="M38" s="5"/>
      <c r="N38" s="5"/>
      <c r="O38" s="5"/>
      <c r="P38" s="5"/>
      <c r="Q38" s="5"/>
      <c r="R38" s="190"/>
      <c r="S38" s="190"/>
      <c r="T38" s="511"/>
      <c r="U38" s="511"/>
      <c r="V38" s="5"/>
      <c r="W38" s="5"/>
      <c r="X38" s="5"/>
    </row>
    <row r="39" spans="2:32">
      <c r="B39" s="6"/>
      <c r="C39" s="6"/>
      <c r="D39" s="5"/>
      <c r="E39" s="7"/>
      <c r="F39" s="8"/>
      <c r="G39" s="113"/>
      <c r="H39" s="41"/>
      <c r="I39" s="41"/>
      <c r="J39" s="41"/>
      <c r="K39" s="5"/>
      <c r="L39" s="5"/>
      <c r="M39" s="5"/>
      <c r="N39" s="5"/>
      <c r="O39" s="5"/>
      <c r="P39" s="5"/>
      <c r="Q39" s="5"/>
      <c r="R39" s="190"/>
      <c r="S39" s="190"/>
      <c r="T39" s="5"/>
      <c r="U39" s="190"/>
      <c r="V39" s="194"/>
      <c r="W39" s="194"/>
      <c r="X39" s="191"/>
    </row>
    <row r="40" spans="2:32">
      <c r="B40" s="6"/>
      <c r="C40" s="6"/>
      <c r="D40" s="5"/>
      <c r="E40" s="7"/>
      <c r="F40" s="8"/>
      <c r="G40" s="113"/>
      <c r="H40" s="41"/>
      <c r="I40" s="41"/>
      <c r="J40" s="41"/>
      <c r="K40" s="5"/>
      <c r="L40" s="5"/>
      <c r="M40" s="5"/>
      <c r="N40" s="5"/>
      <c r="O40" s="5"/>
      <c r="P40" s="5"/>
      <c r="Q40" s="5"/>
      <c r="R40" s="190"/>
      <c r="S40" s="190"/>
      <c r="T40" s="5"/>
      <c r="U40" s="190"/>
      <c r="V40" s="194"/>
      <c r="W40" s="191"/>
      <c r="X40" s="191"/>
    </row>
    <row r="41" spans="2:32">
      <c r="B41" s="6"/>
      <c r="C41" s="6"/>
      <c r="D41" s="5"/>
      <c r="E41" s="7"/>
      <c r="F41" s="8"/>
      <c r="G41" s="113"/>
      <c r="H41" s="41"/>
      <c r="I41" s="41"/>
      <c r="J41" s="41"/>
      <c r="K41" s="5"/>
      <c r="L41" s="5"/>
      <c r="M41" s="5"/>
      <c r="N41" s="5"/>
      <c r="O41" s="5"/>
      <c r="P41" s="5"/>
      <c r="Q41" s="5"/>
      <c r="R41" s="190"/>
      <c r="S41" s="190"/>
      <c r="T41" s="5"/>
      <c r="U41" s="190"/>
      <c r="V41" s="194"/>
      <c r="W41" s="194"/>
      <c r="X41" s="194"/>
    </row>
    <row r="42" spans="2:32">
      <c r="B42" s="6"/>
      <c r="C42" s="6"/>
      <c r="D42" s="5"/>
      <c r="E42" s="41"/>
      <c r="F42" s="41"/>
      <c r="G42" s="41"/>
      <c r="H42" s="41"/>
      <c r="I42" s="41"/>
      <c r="J42" s="41"/>
      <c r="K42" s="5"/>
      <c r="L42" s="5"/>
      <c r="M42" s="5"/>
      <c r="N42" s="5"/>
      <c r="O42" s="5"/>
      <c r="P42" s="5"/>
      <c r="Q42" s="5"/>
      <c r="R42" s="190"/>
      <c r="S42" s="190"/>
      <c r="T42" s="5"/>
      <c r="U42" s="190"/>
      <c r="V42" s="194"/>
      <c r="W42" s="194"/>
      <c r="X42" s="191"/>
    </row>
    <row r="43" spans="2:32" ht="46.5">
      <c r="B43" s="6"/>
      <c r="C43" s="6"/>
      <c r="D43" s="5"/>
      <c r="E43" s="41"/>
      <c r="F43" s="41"/>
      <c r="G43" s="41"/>
      <c r="H43" s="41"/>
      <c r="I43" s="41"/>
      <c r="J43" s="41"/>
      <c r="K43" s="5"/>
      <c r="L43" s="5"/>
      <c r="M43" s="5"/>
      <c r="N43" s="5"/>
      <c r="O43" s="5"/>
      <c r="P43" s="5"/>
      <c r="Q43" s="5"/>
      <c r="R43" s="190"/>
      <c r="S43" s="190"/>
      <c r="T43" s="5"/>
      <c r="U43" s="190"/>
      <c r="V43" s="194"/>
      <c r="W43" s="191"/>
      <c r="X43" s="191"/>
      <c r="AA43" s="138"/>
      <c r="AB43" s="213" t="str">
        <f>'SAR and RAR'!AB43</f>
        <v>1/1/26  Bundled
w/Credit</v>
      </c>
      <c r="AC43" s="213" t="str">
        <f>'SAR and RAR'!AC43</f>
        <v>1/1/26  Bundled
w/out Credit</v>
      </c>
      <c r="AD43" s="213">
        <f>'SAR and RAR'!AD43</f>
        <v>0</v>
      </c>
      <c r="AE43" s="213" t="str">
        <f>'SAR and RAR'!AE43</f>
        <v>1/1/26  System
w/Credit</v>
      </c>
      <c r="AF43" s="213" t="str">
        <f>'SAR and RAR'!AF43</f>
        <v>1/1/26  System
w/out Credit</v>
      </c>
    </row>
    <row r="44" spans="2:32">
      <c r="B44" s="6"/>
      <c r="C44" s="6"/>
      <c r="D44" s="5"/>
      <c r="E44" s="41"/>
      <c r="F44" s="41"/>
      <c r="G44" s="41"/>
      <c r="H44" s="41"/>
      <c r="I44" s="41"/>
      <c r="J44" s="41"/>
      <c r="K44" s="5"/>
      <c r="L44" s="5"/>
      <c r="M44" s="5"/>
      <c r="N44" s="5"/>
      <c r="O44" s="5"/>
      <c r="P44" s="5"/>
      <c r="Q44" s="5"/>
      <c r="R44" s="190"/>
      <c r="S44" s="190"/>
      <c r="T44" s="5"/>
      <c r="U44" s="190"/>
      <c r="V44" s="194"/>
      <c r="W44" s="189"/>
      <c r="X44" s="189"/>
      <c r="AA44" s="139"/>
      <c r="AB44" s="148"/>
      <c r="AC44" s="148"/>
      <c r="AD44" s="149"/>
      <c r="AE44" s="148"/>
      <c r="AF44" s="148"/>
    </row>
    <row r="45" spans="2:32">
      <c r="B45" s="6"/>
      <c r="C45" s="6"/>
      <c r="D45" s="5"/>
      <c r="E45" s="41"/>
      <c r="F45" s="41"/>
      <c r="G45" s="41"/>
      <c r="H45" s="41"/>
      <c r="I45" s="41"/>
      <c r="J45" s="41"/>
      <c r="K45" s="5"/>
      <c r="L45" s="5"/>
      <c r="M45" s="5"/>
      <c r="N45" s="5"/>
      <c r="O45" s="5"/>
      <c r="P45" s="5"/>
      <c r="Q45" s="5"/>
      <c r="R45" s="190"/>
      <c r="S45" s="190"/>
      <c r="T45" s="5"/>
      <c r="U45" s="5"/>
      <c r="V45" s="189"/>
      <c r="W45" s="191"/>
      <c r="X45" s="191"/>
      <c r="AA45" s="139" t="s">
        <v>163</v>
      </c>
      <c r="AB45" s="217">
        <f>'SAR and RAR'!AB45</f>
        <v>33.674121802021645</v>
      </c>
      <c r="AC45" s="217">
        <f>'SAR and RAR'!AC45</f>
        <v>34.992096998939267</v>
      </c>
      <c r="AD45" s="217" t="str">
        <f>'SAR and RAR'!AD45</f>
        <v>Residential</v>
      </c>
      <c r="AE45" s="217">
        <f>'SAR and RAR'!AE45</f>
        <v>30.486135087914555</v>
      </c>
      <c r="AF45" s="217">
        <f>'SAR and RAR'!AF45</f>
        <v>31.980709283060875</v>
      </c>
    </row>
    <row r="46" spans="2:32">
      <c r="B46" s="6"/>
      <c r="C46" s="6"/>
      <c r="D46" s="5"/>
      <c r="E46" s="41"/>
      <c r="F46" s="41"/>
      <c r="G46" s="41"/>
      <c r="H46" s="41"/>
      <c r="I46" s="41"/>
      <c r="J46" s="41"/>
      <c r="K46" s="5"/>
      <c r="L46" s="5"/>
      <c r="M46" s="5"/>
      <c r="N46" s="5"/>
      <c r="O46" s="5"/>
      <c r="P46" s="5"/>
      <c r="Q46" s="5"/>
      <c r="R46" s="190"/>
      <c r="S46" s="190"/>
      <c r="T46" s="5"/>
      <c r="U46" s="190"/>
      <c r="V46" s="194"/>
      <c r="W46" s="5"/>
      <c r="X46" s="5"/>
      <c r="AA46" s="139" t="s">
        <v>166</v>
      </c>
      <c r="AB46" s="217">
        <f>'SAR and RAR'!AB46</f>
        <v>33.416008222733581</v>
      </c>
      <c r="AC46" s="217">
        <f>'SAR and RAR'!AC46</f>
        <v>34.072433607860397</v>
      </c>
      <c r="AD46" s="217" t="str">
        <f>'SAR and RAR'!AD46</f>
        <v>Total System</v>
      </c>
      <c r="AE46" s="217">
        <f>'SAR and RAR'!AE46</f>
        <v>27.143640625458705</v>
      </c>
      <c r="AF46" s="217">
        <f>'SAR and RAR'!AF46</f>
        <v>27.73770240701548</v>
      </c>
    </row>
    <row r="47" spans="2:32">
      <c r="B47" s="6"/>
      <c r="C47" s="6"/>
      <c r="D47" s="5"/>
      <c r="E47" s="41"/>
      <c r="F47" s="41"/>
      <c r="G47" s="41"/>
      <c r="H47" s="41"/>
      <c r="I47" s="41"/>
      <c r="J47" s="41"/>
      <c r="K47" s="5"/>
      <c r="L47" s="5"/>
      <c r="M47" s="5"/>
      <c r="N47" s="5"/>
      <c r="O47" s="5"/>
      <c r="P47" s="5"/>
      <c r="Q47" s="5"/>
      <c r="R47" s="190"/>
      <c r="S47" s="190"/>
      <c r="T47" s="5"/>
      <c r="U47" s="5"/>
      <c r="V47" s="5"/>
      <c r="W47" s="5"/>
      <c r="X47" s="5"/>
      <c r="AA47" s="140"/>
      <c r="AB47" s="150"/>
      <c r="AC47" s="150"/>
      <c r="AD47" s="150"/>
      <c r="AE47" s="150"/>
      <c r="AF47" s="151"/>
    </row>
    <row r="48" spans="2:32" ht="46.5">
      <c r="B48" s="6"/>
      <c r="C48" s="6"/>
      <c r="D48" s="5"/>
      <c r="E48" s="41"/>
      <c r="F48" s="41"/>
      <c r="G48" s="41"/>
      <c r="H48" s="41"/>
      <c r="I48" s="41"/>
      <c r="J48" s="41"/>
      <c r="K48" s="5"/>
      <c r="L48" s="5"/>
      <c r="M48" s="5"/>
      <c r="N48" s="5"/>
      <c r="O48" s="5"/>
      <c r="P48" s="5"/>
      <c r="Q48" s="5"/>
      <c r="R48" s="190"/>
      <c r="S48" s="190"/>
      <c r="T48" s="511"/>
      <c r="U48" s="511"/>
      <c r="V48" s="5"/>
      <c r="W48" s="191"/>
      <c r="X48" s="191"/>
      <c r="AA48" s="138"/>
      <c r="AB48" s="209" t="str">
        <f>'SAR and RAR'!AB48</f>
        <v>3/1/26 Bundled
w/Credit</v>
      </c>
      <c r="AC48" s="209" t="str">
        <f>'SAR and RAR'!AC48</f>
        <v>3/1/26 Bundled
w/out Credit</v>
      </c>
      <c r="AD48" s="209"/>
      <c r="AE48" s="209" t="str">
        <f>'SAR and RAR'!AE48</f>
        <v>3/1/26 System
w/Credit</v>
      </c>
      <c r="AF48" s="209" t="str">
        <f>'SAR and RAR'!AF48</f>
        <v>3/1/26 System
w/out Credit</v>
      </c>
    </row>
    <row r="49" spans="2:32">
      <c r="B49" s="6"/>
      <c r="C49" s="6"/>
      <c r="D49" s="5"/>
      <c r="E49" s="41"/>
      <c r="F49" s="41"/>
      <c r="G49" s="41"/>
      <c r="H49" s="41"/>
      <c r="I49" s="41"/>
      <c r="J49" s="41"/>
      <c r="K49" s="5"/>
      <c r="L49" s="5"/>
      <c r="M49" s="5"/>
      <c r="N49" s="5"/>
      <c r="O49" s="5"/>
      <c r="P49" s="5"/>
      <c r="Q49" s="5"/>
      <c r="R49" s="190"/>
      <c r="S49" s="190"/>
      <c r="T49" s="5"/>
      <c r="U49" s="190"/>
      <c r="V49" s="194"/>
      <c r="W49" s="191"/>
      <c r="X49" s="191"/>
      <c r="AA49" s="139"/>
      <c r="AB49" s="148"/>
      <c r="AC49" s="148"/>
      <c r="AD49" s="149"/>
      <c r="AE49" s="148"/>
      <c r="AF49" s="148"/>
    </row>
    <row r="50" spans="2:32">
      <c r="B50" s="6"/>
      <c r="C50" s="6"/>
      <c r="D50" s="5"/>
      <c r="E50" s="41"/>
      <c r="F50" s="41"/>
      <c r="G50" s="41"/>
      <c r="H50" s="41"/>
      <c r="I50" s="41"/>
      <c r="J50" s="41"/>
      <c r="K50" s="5"/>
      <c r="L50" s="5"/>
      <c r="M50" s="5"/>
      <c r="N50" s="5"/>
      <c r="O50" s="5"/>
      <c r="P50" s="5"/>
      <c r="Q50" s="5"/>
      <c r="R50" s="190"/>
      <c r="S50" s="190"/>
      <c r="T50" s="5"/>
      <c r="U50" s="190"/>
      <c r="V50" s="194"/>
      <c r="W50" s="191"/>
      <c r="X50" s="191"/>
      <c r="AA50" s="139" t="s">
        <v>163</v>
      </c>
      <c r="AB50" s="217">
        <f>'SAR and RAR'!AB50</f>
        <v>32.340654762006949</v>
      </c>
      <c r="AC50" s="217">
        <f>'SAR and RAR'!AC50</f>
        <v>33.658629958924571</v>
      </c>
      <c r="AD50" s="149" t="s">
        <v>163</v>
      </c>
      <c r="AE50" s="217">
        <f>'SAR and RAR'!AE50</f>
        <v>29.788022651798478</v>
      </c>
      <c r="AF50" s="217">
        <f>'SAR and RAR'!AF50</f>
        <v>31.282596846944799</v>
      </c>
    </row>
    <row r="51" spans="2:32">
      <c r="B51" s="6"/>
      <c r="C51" s="6"/>
      <c r="D51" s="5"/>
      <c r="E51" s="41"/>
      <c r="F51" s="41"/>
      <c r="G51" s="41"/>
      <c r="H51" s="41"/>
      <c r="I51" s="41"/>
      <c r="J51" s="41"/>
      <c r="K51" s="5"/>
      <c r="L51" s="5"/>
      <c r="M51" s="5"/>
      <c r="N51" s="5"/>
      <c r="O51" s="5"/>
      <c r="P51" s="5"/>
      <c r="Q51" s="5"/>
      <c r="R51" s="190"/>
      <c r="S51" s="190"/>
      <c r="T51" s="5"/>
      <c r="U51" s="5"/>
      <c r="V51" s="189"/>
      <c r="W51" s="194"/>
      <c r="X51" s="191"/>
      <c r="AA51" s="139" t="s">
        <v>166</v>
      </c>
      <c r="AB51" s="217">
        <f>'SAR and RAR'!AB51</f>
        <v>32.596708001946226</v>
      </c>
      <c r="AC51" s="217">
        <f>'SAR and RAR'!AC51</f>
        <v>33.253133387073035</v>
      </c>
      <c r="AD51" s="149" t="s">
        <v>518</v>
      </c>
      <c r="AE51" s="218">
        <f>'SAR and RAR'!AE51</f>
        <v>26.65073540105055</v>
      </c>
      <c r="AF51" s="218">
        <f>'SAR and RAR'!AF51</f>
        <v>27.244797182607329</v>
      </c>
    </row>
    <row r="52" spans="2:32">
      <c r="B52" s="6"/>
      <c r="C52" s="6"/>
      <c r="D52" s="5"/>
      <c r="E52" s="41"/>
      <c r="F52" s="41"/>
      <c r="G52" s="41"/>
      <c r="H52" s="41"/>
      <c r="I52" s="41"/>
      <c r="J52" s="41"/>
      <c r="K52" s="5"/>
      <c r="L52" s="5"/>
      <c r="M52" s="5"/>
      <c r="N52" s="5"/>
      <c r="O52" s="5"/>
      <c r="P52" s="5"/>
      <c r="Q52" s="5"/>
      <c r="R52" s="190"/>
      <c r="S52" s="190"/>
      <c r="T52" s="5"/>
      <c r="U52" s="190"/>
      <c r="V52" s="194"/>
      <c r="W52" s="194"/>
      <c r="X52" s="191"/>
    </row>
    <row r="53" spans="2:32">
      <c r="B53" s="6"/>
      <c r="C53" s="6"/>
      <c r="D53" s="5"/>
      <c r="E53" s="41"/>
      <c r="F53" s="41"/>
      <c r="G53" s="41"/>
      <c r="H53" s="41"/>
      <c r="I53" s="41"/>
      <c r="J53" s="41"/>
      <c r="K53" s="5"/>
      <c r="L53" s="5"/>
      <c r="M53" s="5"/>
      <c r="N53" s="5"/>
      <c r="O53" s="5"/>
      <c r="P53" s="5"/>
      <c r="Q53" s="5"/>
      <c r="R53" s="190"/>
      <c r="S53" s="190"/>
      <c r="T53" s="5"/>
      <c r="U53" s="5"/>
      <c r="V53" s="5"/>
      <c r="W53" s="191"/>
      <c r="X53" s="191"/>
    </row>
    <row r="54" spans="2:32">
      <c r="B54" s="6"/>
      <c r="C54" s="6"/>
      <c r="D54" s="5"/>
      <c r="E54" s="41"/>
      <c r="F54" s="41"/>
      <c r="G54" s="41"/>
      <c r="H54" s="41"/>
      <c r="I54" s="41"/>
      <c r="J54" s="41"/>
      <c r="K54" s="5"/>
      <c r="L54" s="5"/>
      <c r="M54" s="5"/>
      <c r="N54" s="5"/>
      <c r="O54" s="5"/>
      <c r="P54" s="5"/>
      <c r="Q54" s="5"/>
      <c r="R54" s="190"/>
      <c r="S54" s="190"/>
      <c r="T54" s="511"/>
      <c r="U54" s="511"/>
      <c r="V54" s="5"/>
      <c r="W54" s="189"/>
      <c r="X54" s="189"/>
    </row>
    <row r="55" spans="2:32">
      <c r="B55" s="5"/>
      <c r="C55" s="5"/>
      <c r="D55" s="5"/>
      <c r="E55" s="41"/>
      <c r="F55" s="41"/>
      <c r="G55" s="41"/>
      <c r="H55" s="41"/>
      <c r="I55" s="41"/>
      <c r="J55" s="41"/>
      <c r="K55" s="5"/>
      <c r="L55" s="5"/>
      <c r="M55" s="5"/>
      <c r="N55" s="5"/>
      <c r="O55" s="5"/>
      <c r="P55" s="5"/>
      <c r="Q55" s="5"/>
      <c r="R55" s="190"/>
      <c r="S55" s="190"/>
      <c r="T55" s="5"/>
      <c r="U55" s="190"/>
      <c r="V55" s="194"/>
      <c r="W55" s="191"/>
      <c r="X55" s="191"/>
    </row>
    <row r="56" spans="2:32">
      <c r="B56" s="5"/>
      <c r="C56" s="5"/>
      <c r="D56" s="5"/>
      <c r="E56" s="41"/>
      <c r="F56" s="41"/>
      <c r="G56" s="41"/>
      <c r="H56" s="41"/>
      <c r="I56" s="41"/>
      <c r="J56" s="41"/>
      <c r="K56" s="5"/>
      <c r="L56" s="5"/>
      <c r="M56" s="5"/>
      <c r="N56" s="5"/>
      <c r="O56" s="5"/>
      <c r="P56" s="5"/>
      <c r="Q56" s="5"/>
      <c r="R56" s="190"/>
      <c r="S56" s="190"/>
      <c r="T56" s="5"/>
      <c r="U56" s="190"/>
      <c r="V56" s="194"/>
      <c r="W56" s="5"/>
      <c r="X56" s="5"/>
    </row>
    <row r="57" spans="2:32">
      <c r="B57" s="5"/>
      <c r="C57" s="5"/>
      <c r="D57" s="5"/>
      <c r="E57" s="41"/>
      <c r="F57" s="41"/>
      <c r="G57" s="41"/>
      <c r="H57" s="41"/>
      <c r="I57" s="41"/>
      <c r="J57" s="41"/>
      <c r="K57" s="5"/>
      <c r="L57" s="5"/>
      <c r="M57" s="5"/>
      <c r="N57" s="5"/>
      <c r="O57" s="5"/>
      <c r="P57" s="5"/>
      <c r="Q57" s="5"/>
      <c r="R57" s="190"/>
      <c r="S57" s="190"/>
      <c r="T57" s="5"/>
      <c r="U57" s="190"/>
      <c r="V57" s="191"/>
      <c r="W57" s="5"/>
      <c r="X57" s="5"/>
    </row>
    <row r="58" spans="2:32">
      <c r="B58" s="5"/>
      <c r="C58" s="5"/>
      <c r="D58" s="5"/>
      <c r="E58" s="41"/>
      <c r="F58" s="41"/>
      <c r="G58" s="41"/>
      <c r="H58" s="41"/>
      <c r="I58" s="41"/>
      <c r="J58" s="41"/>
      <c r="K58" s="5"/>
      <c r="L58" s="5"/>
      <c r="M58" s="5"/>
      <c r="N58" s="5"/>
      <c r="O58" s="5"/>
      <c r="P58" s="5"/>
      <c r="Q58" s="5"/>
      <c r="R58" s="190"/>
      <c r="S58" s="190"/>
      <c r="T58" s="5"/>
      <c r="U58" s="190"/>
      <c r="V58" s="194"/>
      <c r="W58" s="194"/>
      <c r="X58" s="191"/>
    </row>
    <row r="59" spans="2:32">
      <c r="B59" s="5"/>
      <c r="C59" s="5"/>
      <c r="D59" s="5"/>
      <c r="E59" s="41"/>
      <c r="F59" s="41"/>
      <c r="G59" s="41"/>
      <c r="H59" s="41"/>
      <c r="I59" s="41"/>
      <c r="J59" s="41"/>
      <c r="K59" s="5"/>
      <c r="L59" s="5"/>
      <c r="M59" s="5"/>
      <c r="N59" s="5"/>
      <c r="O59" s="5"/>
      <c r="P59" s="5"/>
      <c r="Q59" s="5"/>
      <c r="R59" s="190"/>
      <c r="S59" s="190"/>
      <c r="T59" s="5"/>
      <c r="U59" s="190"/>
      <c r="V59" s="194"/>
      <c r="W59" s="194"/>
      <c r="X59" s="191"/>
    </row>
    <row r="60" spans="2:32">
      <c r="B60" s="5"/>
      <c r="C60" s="5"/>
      <c r="D60" s="5"/>
      <c r="E60" s="41"/>
      <c r="F60" s="41"/>
      <c r="G60" s="41"/>
      <c r="H60" s="41"/>
      <c r="I60" s="41"/>
      <c r="J60" s="41"/>
      <c r="K60" s="5"/>
      <c r="L60" s="5"/>
      <c r="M60" s="5"/>
      <c r="N60" s="5"/>
      <c r="O60" s="5"/>
      <c r="P60" s="5"/>
      <c r="Q60" s="5"/>
      <c r="R60" s="190"/>
      <c r="S60" s="190"/>
      <c r="T60" s="5"/>
      <c r="U60" s="5"/>
      <c r="V60" s="189"/>
      <c r="W60" s="189"/>
      <c r="X60" s="189"/>
    </row>
    <row r="61" spans="2:32">
      <c r="B61" s="5"/>
      <c r="C61" s="5"/>
      <c r="D61" s="5"/>
      <c r="E61" s="41"/>
      <c r="F61" s="41"/>
      <c r="G61" s="41"/>
      <c r="H61" s="41"/>
      <c r="I61" s="41"/>
      <c r="J61" s="41"/>
      <c r="K61" s="5"/>
      <c r="L61" s="5"/>
      <c r="M61" s="5"/>
      <c r="N61" s="5"/>
      <c r="O61" s="5"/>
      <c r="P61" s="5"/>
      <c r="Q61" s="5"/>
      <c r="R61" s="190"/>
      <c r="S61" s="190"/>
      <c r="T61" s="5"/>
      <c r="U61" s="190"/>
      <c r="V61" s="191"/>
      <c r="W61" s="194"/>
      <c r="X61" s="191"/>
    </row>
    <row r="62" spans="2:32">
      <c r="B62" s="5"/>
      <c r="C62" s="5"/>
      <c r="D62" s="5"/>
      <c r="E62" s="41"/>
      <c r="F62" s="41"/>
      <c r="G62" s="41"/>
      <c r="H62" s="41"/>
      <c r="I62" s="41"/>
      <c r="J62" s="41"/>
      <c r="K62" s="5"/>
      <c r="L62" s="5"/>
      <c r="M62" s="5"/>
      <c r="N62" s="5"/>
      <c r="O62" s="5"/>
      <c r="P62" s="5"/>
      <c r="Q62" s="5"/>
      <c r="R62" s="190"/>
      <c r="S62" s="190"/>
      <c r="T62" s="5"/>
      <c r="U62" s="5"/>
      <c r="V62" s="5"/>
      <c r="W62" s="5"/>
      <c r="X62" s="5"/>
    </row>
    <row r="63" spans="2:32">
      <c r="B63" s="5"/>
      <c r="C63" s="5"/>
      <c r="D63" s="5"/>
      <c r="E63" s="41"/>
      <c r="F63" s="41"/>
      <c r="G63" s="41"/>
      <c r="H63" s="41"/>
      <c r="I63" s="41"/>
      <c r="J63" s="41"/>
      <c r="K63" s="5"/>
      <c r="L63" s="5"/>
      <c r="M63" s="5"/>
      <c r="N63" s="5"/>
      <c r="O63" s="5"/>
      <c r="P63" s="5"/>
      <c r="Q63" s="5"/>
      <c r="R63" s="190"/>
      <c r="S63" s="190"/>
      <c r="T63" s="5"/>
      <c r="U63" s="5"/>
      <c r="V63" s="5"/>
      <c r="W63" s="5"/>
      <c r="X63" s="5"/>
    </row>
    <row r="64" spans="2:32">
      <c r="B64" s="5"/>
      <c r="C64" s="5"/>
      <c r="D64" s="5"/>
      <c r="E64" s="41"/>
      <c r="F64" s="41"/>
      <c r="G64" s="41"/>
      <c r="H64" s="41"/>
      <c r="I64" s="41"/>
      <c r="J64" s="41"/>
      <c r="K64" s="5"/>
      <c r="L64" s="5"/>
      <c r="M64" s="5"/>
      <c r="N64" s="5"/>
      <c r="O64" s="5"/>
      <c r="P64" s="5"/>
      <c r="Q64" s="5"/>
      <c r="R64" s="190"/>
      <c r="S64" s="190"/>
      <c r="T64" s="5"/>
      <c r="U64" s="190"/>
      <c r="V64" s="191"/>
      <c r="W64" s="194"/>
      <c r="X64" s="191"/>
    </row>
    <row r="65" spans="2:24">
      <c r="B65" s="5"/>
      <c r="C65" s="5"/>
      <c r="D65" s="5"/>
      <c r="E65" s="41"/>
      <c r="F65" s="41"/>
      <c r="G65" s="41"/>
      <c r="H65" s="41"/>
      <c r="I65" s="41"/>
      <c r="J65" s="41"/>
      <c r="K65" s="5"/>
      <c r="L65" s="5"/>
      <c r="M65" s="5"/>
      <c r="N65" s="5"/>
      <c r="O65" s="5"/>
      <c r="P65" s="5"/>
      <c r="Q65" s="5"/>
      <c r="R65" s="190"/>
      <c r="S65" s="190"/>
      <c r="T65" s="5"/>
      <c r="U65" s="5"/>
      <c r="V65" s="189"/>
      <c r="W65" s="194"/>
      <c r="X65" s="191"/>
    </row>
    <row r="66" spans="2:24">
      <c r="B66" s="5"/>
      <c r="C66" s="5"/>
      <c r="D66" s="5"/>
      <c r="E66" s="41"/>
      <c r="F66" s="41"/>
      <c r="G66" s="41"/>
      <c r="H66" s="41"/>
      <c r="I66" s="41"/>
      <c r="J66" s="41"/>
      <c r="K66" s="5"/>
      <c r="L66" s="5"/>
      <c r="M66" s="5"/>
      <c r="N66" s="5"/>
      <c r="O66" s="5"/>
      <c r="P66" s="5"/>
      <c r="Q66" s="5"/>
      <c r="R66" s="190"/>
      <c r="S66" s="190"/>
      <c r="T66" s="511"/>
      <c r="U66" s="511"/>
      <c r="V66" s="5"/>
      <c r="W66" s="194"/>
      <c r="X66" s="191"/>
    </row>
    <row r="67" spans="2:24">
      <c r="B67" s="5"/>
      <c r="C67" s="5"/>
      <c r="D67" s="5"/>
      <c r="E67" s="41"/>
      <c r="F67" s="41"/>
      <c r="G67" s="41"/>
      <c r="H67" s="41"/>
      <c r="I67" s="41"/>
      <c r="J67" s="41"/>
      <c r="K67" s="5"/>
      <c r="L67" s="5"/>
      <c r="M67" s="5"/>
      <c r="N67" s="5"/>
      <c r="O67" s="5"/>
      <c r="P67" s="5"/>
      <c r="Q67" s="5"/>
      <c r="R67" s="190"/>
      <c r="S67" s="190"/>
      <c r="T67" s="5"/>
      <c r="U67" s="5"/>
      <c r="V67" s="5"/>
      <c r="W67" s="194"/>
      <c r="X67" s="194"/>
    </row>
    <row r="68" spans="2:24">
      <c r="B68" s="5"/>
      <c r="C68" s="5"/>
      <c r="D68" s="5"/>
      <c r="E68" s="41"/>
      <c r="F68" s="41"/>
      <c r="G68" s="41"/>
      <c r="H68" s="41"/>
      <c r="I68" s="41"/>
      <c r="J68" s="41"/>
      <c r="K68" s="5"/>
      <c r="L68" s="5"/>
      <c r="M68" s="5"/>
      <c r="N68" s="5"/>
      <c r="O68" s="5"/>
      <c r="P68" s="5"/>
      <c r="Q68" s="5"/>
      <c r="R68" s="190"/>
      <c r="S68" s="190"/>
      <c r="T68" s="5"/>
      <c r="U68" s="190"/>
      <c r="V68" s="5"/>
      <c r="W68" s="194"/>
      <c r="X68" s="194"/>
    </row>
    <row r="69" spans="2:24">
      <c r="B69" s="5"/>
      <c r="C69" s="5"/>
      <c r="D69" s="5"/>
      <c r="E69" s="41"/>
      <c r="F69" s="41"/>
      <c r="G69" s="41"/>
      <c r="H69" s="41"/>
      <c r="I69" s="41"/>
      <c r="J69" s="41"/>
      <c r="K69" s="5"/>
      <c r="L69" s="5"/>
      <c r="M69" s="5"/>
      <c r="N69" s="5"/>
      <c r="O69" s="5"/>
      <c r="P69" s="5"/>
      <c r="Q69" s="5"/>
      <c r="R69" s="190"/>
      <c r="S69" s="190"/>
      <c r="T69" s="5"/>
      <c r="U69" s="5"/>
      <c r="V69" s="189"/>
      <c r="W69" s="189"/>
      <c r="X69" s="189"/>
    </row>
    <row r="70" spans="2:24">
      <c r="B70" s="5"/>
      <c r="C70" s="5"/>
      <c r="D70" s="5"/>
      <c r="E70" s="41"/>
      <c r="F70" s="41"/>
      <c r="G70" s="41"/>
      <c r="H70" s="41"/>
      <c r="I70" s="41"/>
      <c r="J70" s="41"/>
      <c r="K70" s="5"/>
      <c r="L70" s="5"/>
      <c r="M70" s="5"/>
      <c r="N70" s="5"/>
      <c r="O70" s="5"/>
      <c r="P70" s="5"/>
      <c r="Q70" s="5"/>
      <c r="R70" s="190"/>
      <c r="S70" s="190"/>
      <c r="T70" s="5"/>
      <c r="U70" s="190"/>
      <c r="V70" s="5"/>
      <c r="W70" s="194"/>
      <c r="X70" s="191"/>
    </row>
    <row r="71" spans="2:24">
      <c r="B71" s="5"/>
      <c r="C71" s="5"/>
      <c r="D71" s="5"/>
      <c r="E71" s="41"/>
      <c r="F71" s="41"/>
      <c r="G71" s="41"/>
      <c r="H71" s="41"/>
      <c r="I71" s="41"/>
      <c r="J71" s="41"/>
      <c r="K71" s="5"/>
      <c r="L71" s="5"/>
      <c r="M71" s="5"/>
      <c r="N71" s="5"/>
      <c r="O71" s="5"/>
      <c r="P71" s="5"/>
      <c r="Q71" s="5"/>
      <c r="R71" s="190"/>
      <c r="S71" s="190"/>
      <c r="T71" s="5"/>
      <c r="U71" s="5"/>
      <c r="V71" s="5"/>
      <c r="W71" s="5"/>
      <c r="X71" s="5"/>
    </row>
    <row r="72" spans="2:24">
      <c r="B72" s="5"/>
      <c r="C72" s="5"/>
      <c r="D72" s="5"/>
      <c r="E72" s="41"/>
      <c r="F72" s="41"/>
      <c r="G72" s="41"/>
      <c r="H72" s="41"/>
      <c r="I72" s="41"/>
      <c r="J72" s="41"/>
      <c r="K72" s="5"/>
      <c r="L72" s="5"/>
      <c r="M72" s="5"/>
      <c r="N72" s="5"/>
      <c r="O72" s="5"/>
      <c r="P72" s="5"/>
      <c r="Q72" s="5"/>
      <c r="R72" s="190"/>
      <c r="S72" s="190"/>
      <c r="T72" s="5"/>
      <c r="U72" s="5"/>
      <c r="V72" s="189"/>
      <c r="W72" s="5"/>
      <c r="X72" s="5"/>
    </row>
    <row r="73" spans="2:24">
      <c r="B73" s="5"/>
      <c r="C73" s="5"/>
      <c r="D73" s="5"/>
      <c r="E73" s="41"/>
      <c r="F73" s="41"/>
      <c r="G73" s="41"/>
      <c r="H73" s="41"/>
      <c r="I73" s="41"/>
      <c r="J73" s="41"/>
      <c r="K73" s="5"/>
      <c r="L73" s="5"/>
      <c r="M73" s="5"/>
      <c r="N73" s="5"/>
      <c r="O73" s="5"/>
      <c r="P73" s="5"/>
      <c r="Q73" s="5"/>
      <c r="R73" s="190"/>
      <c r="S73" s="190"/>
      <c r="T73" s="511"/>
      <c r="U73" s="511"/>
      <c r="V73" s="191"/>
      <c r="W73" s="191"/>
      <c r="X73" s="191"/>
    </row>
    <row r="74" spans="2:24">
      <c r="B74" s="5"/>
      <c r="C74" s="5"/>
      <c r="D74" s="5"/>
      <c r="E74" s="41"/>
      <c r="F74" s="41"/>
      <c r="G74" s="41"/>
      <c r="H74" s="41"/>
      <c r="I74" s="41"/>
      <c r="J74" s="41"/>
      <c r="K74" s="5"/>
      <c r="L74" s="5"/>
      <c r="M74" s="5"/>
      <c r="N74" s="5"/>
      <c r="O74" s="5"/>
      <c r="P74" s="5"/>
      <c r="Q74" s="5"/>
      <c r="R74" s="5"/>
      <c r="S74" s="5"/>
      <c r="T74" s="5"/>
      <c r="U74" s="5"/>
      <c r="V74" s="5"/>
      <c r="W74" s="189"/>
      <c r="X74" s="189"/>
    </row>
    <row r="75" spans="2:24">
      <c r="B75" s="5"/>
      <c r="C75" s="5"/>
      <c r="W75" s="5"/>
      <c r="X75" s="5"/>
    </row>
    <row r="76" spans="2:24">
      <c r="B76" s="5"/>
      <c r="C76" s="5"/>
      <c r="W76" s="5"/>
      <c r="X76" s="5"/>
    </row>
    <row r="77" spans="2:24">
      <c r="B77" s="5"/>
      <c r="C77" s="5"/>
      <c r="W77" s="5"/>
      <c r="X77" s="5"/>
    </row>
    <row r="78" spans="2:24">
      <c r="B78" s="5"/>
      <c r="C78" s="5"/>
      <c r="W78" s="189"/>
      <c r="X78" s="189"/>
    </row>
    <row r="79" spans="2:24">
      <c r="B79" s="5"/>
      <c r="C79" s="5"/>
      <c r="W79" s="5"/>
      <c r="X79" s="5"/>
    </row>
    <row r="80" spans="2:24">
      <c r="B80" s="5"/>
      <c r="C80" s="5"/>
      <c r="W80" s="5"/>
      <c r="X80" s="5"/>
    </row>
    <row r="81" spans="2:24">
      <c r="B81" s="5"/>
      <c r="C81" s="5"/>
      <c r="W81" s="189"/>
      <c r="X81" s="189"/>
    </row>
    <row r="82" spans="2:24">
      <c r="B82" s="5"/>
      <c r="C82" s="5"/>
      <c r="W82" s="191"/>
      <c r="X82" s="191"/>
    </row>
    <row r="83" spans="2:24">
      <c r="B83" s="5"/>
      <c r="C83" s="5"/>
      <c r="W83" s="5"/>
      <c r="X83" s="5"/>
    </row>
  </sheetData>
  <mergeCells count="14">
    <mergeCell ref="T73:U73"/>
    <mergeCell ref="E33:G33"/>
    <mergeCell ref="T38:U38"/>
    <mergeCell ref="T48:U48"/>
    <mergeCell ref="T54:U54"/>
    <mergeCell ref="T66:U66"/>
    <mergeCell ref="B1:W1"/>
    <mergeCell ref="F4:O4"/>
    <mergeCell ref="F8:Q8"/>
    <mergeCell ref="T16:U16"/>
    <mergeCell ref="E27:H27"/>
    <mergeCell ref="O27:R27"/>
    <mergeCell ref="F18:P18"/>
    <mergeCell ref="T18:U18"/>
  </mergeCells>
  <pageMargins left="0.7" right="0.7" top="0.75" bottom="0.75" header="0.3" footer="0.3"/>
  <pageSetup orientation="portrait" r:id="rId1"/>
  <headerFooter>
    <oddFooter xml:space="preserve">&amp;C_x000D_&amp;1#&amp;"Aptos"&amp;12&amp;K000000 Public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C8AF-B96E-4B42-B266-DD578E366D3B}">
  <sheetPr codeName="Sheet8">
    <tabColor rgb="FF92D050"/>
    <pageSetUpPr autoPageBreaks="0"/>
  </sheetPr>
  <dimension ref="A1:AD126"/>
  <sheetViews>
    <sheetView zoomScale="60" zoomScaleNormal="60" workbookViewId="0">
      <selection activeCell="T45" sqref="T45"/>
    </sheetView>
  </sheetViews>
  <sheetFormatPr defaultColWidth="8.81640625" defaultRowHeight="14.5"/>
  <cols>
    <col min="1" max="1" width="7.453125" style="18" customWidth="1"/>
    <col min="2" max="2" width="14.453125" style="18" customWidth="1"/>
    <col min="3" max="4" width="13" style="18" customWidth="1"/>
    <col min="5" max="5" width="15.7265625" style="18" bestFit="1" customWidth="1"/>
    <col min="6" max="6" width="13.54296875" style="18" customWidth="1"/>
    <col min="7" max="7" width="15" style="18" bestFit="1" customWidth="1"/>
    <col min="8" max="8" width="14.1796875" style="18" customWidth="1"/>
    <col min="9" max="9" width="15" style="18" customWidth="1"/>
    <col min="10" max="10" width="14" style="18" customWidth="1"/>
    <col min="11" max="11" width="15" style="18" bestFit="1" customWidth="1"/>
    <col min="12" max="12" width="13" style="18" customWidth="1"/>
    <col min="13" max="14" width="14.1796875" style="18" customWidth="1"/>
    <col min="15" max="15" width="14.54296875" style="18" customWidth="1"/>
    <col min="16" max="16" width="25.81640625" style="18" customWidth="1"/>
    <col min="17" max="17" width="13" style="18" customWidth="1"/>
    <col min="18" max="18" width="15" style="18" bestFit="1" customWidth="1"/>
    <col min="19" max="19" width="13" style="18" customWidth="1"/>
    <col min="20" max="20" width="15.54296875" style="18" customWidth="1"/>
    <col min="21" max="21" width="16.54296875" style="18" customWidth="1"/>
    <col min="22" max="23" width="14" style="18" customWidth="1"/>
    <col min="24" max="24" width="29.1796875" style="18" bestFit="1" customWidth="1"/>
    <col min="25" max="25" width="15.7265625" style="18" bestFit="1" customWidth="1"/>
    <col min="26" max="26" width="12.81640625" style="18" customWidth="1"/>
    <col min="27" max="28" width="8.81640625" style="18"/>
    <col min="29" max="29" width="14.7265625" style="18" customWidth="1"/>
    <col min="30" max="30" width="13.1796875" style="18" customWidth="1"/>
    <col min="31" max="16384" width="8.81640625" style="18"/>
  </cols>
  <sheetData>
    <row r="1" spans="1:25">
      <c r="A1" s="368"/>
      <c r="B1" s="368"/>
      <c r="C1" s="368"/>
      <c r="D1" s="368"/>
      <c r="E1" s="368"/>
      <c r="F1" s="368"/>
      <c r="G1" s="368"/>
      <c r="H1" s="368"/>
      <c r="I1" s="368"/>
    </row>
    <row r="2" spans="1:25">
      <c r="A2" s="370"/>
      <c r="B2" s="532"/>
      <c r="C2" s="532"/>
      <c r="D2" s="532"/>
      <c r="F2" s="370"/>
    </row>
    <row r="3" spans="1:25">
      <c r="E3" s="533" t="s">
        <v>568</v>
      </c>
      <c r="F3" s="533"/>
      <c r="G3" s="533"/>
      <c r="H3" s="533"/>
      <c r="I3" s="533"/>
      <c r="M3" s="43"/>
      <c r="N3" s="43"/>
      <c r="O3" s="43"/>
      <c r="P3" s="533" t="s">
        <v>569</v>
      </c>
      <c r="Q3" s="533"/>
      <c r="R3" s="533"/>
      <c r="S3" s="533"/>
      <c r="T3" s="533"/>
    </row>
    <row r="4" spans="1:25" ht="15.75" customHeight="1">
      <c r="D4" s="5"/>
      <c r="E4" s="371">
        <f>'Hypothetical Summary'!$L$4</f>
        <v>2026</v>
      </c>
      <c r="F4" s="372">
        <f>'Hypothetical Summary'!$L$3</f>
        <v>46082</v>
      </c>
      <c r="G4" s="372">
        <f>'Hypothetical Summary'!$L$3</f>
        <v>46082</v>
      </c>
      <c r="H4" s="374" t="s">
        <v>570</v>
      </c>
      <c r="I4" s="374" t="s">
        <v>570</v>
      </c>
      <c r="L4" s="41"/>
      <c r="O4" s="5"/>
      <c r="P4" s="371">
        <f>'Hypothetical Summary'!$L$4</f>
        <v>2026</v>
      </c>
      <c r="Q4" s="372">
        <f>'Hypothetical Summary'!$L$3</f>
        <v>46082</v>
      </c>
      <c r="R4" s="372">
        <f>'Hypothetical Summary'!$L$3</f>
        <v>46082</v>
      </c>
      <c r="S4" s="478" t="s">
        <v>570</v>
      </c>
      <c r="T4" s="374" t="s">
        <v>570</v>
      </c>
    </row>
    <row r="5" spans="1:25" ht="30.65" customHeight="1">
      <c r="D5" s="5"/>
      <c r="E5" s="374" t="s">
        <v>120</v>
      </c>
      <c r="F5" s="374" t="s">
        <v>571</v>
      </c>
      <c r="G5" s="374" t="s">
        <v>33</v>
      </c>
      <c r="H5" s="374" t="s">
        <v>675</v>
      </c>
      <c r="I5" s="374" t="s">
        <v>33</v>
      </c>
      <c r="L5" s="322"/>
      <c r="M5" s="225"/>
      <c r="N5" s="225"/>
      <c r="O5" s="322"/>
      <c r="P5" s="374" t="s">
        <v>120</v>
      </c>
      <c r="Q5" s="374" t="s">
        <v>571</v>
      </c>
      <c r="R5" s="374" t="s">
        <v>33</v>
      </c>
      <c r="S5" s="374" t="s">
        <v>675</v>
      </c>
      <c r="T5" s="374" t="s">
        <v>33</v>
      </c>
      <c r="U5" s="374"/>
      <c r="V5" s="374"/>
    </row>
    <row r="6" spans="1:25" ht="15.5">
      <c r="B6" s="375"/>
      <c r="D6" s="375"/>
      <c r="E6" s="5"/>
      <c r="F6" s="5"/>
      <c r="G6" s="5"/>
      <c r="J6" s="41"/>
      <c r="K6" s="41"/>
      <c r="L6" s="41"/>
      <c r="O6" s="375"/>
      <c r="P6" s="5"/>
      <c r="Q6" s="5"/>
      <c r="R6" s="5"/>
      <c r="U6" s="41"/>
      <c r="V6" s="41"/>
    </row>
    <row r="7" spans="1:25" ht="15.5">
      <c r="D7" s="376" t="s">
        <v>576</v>
      </c>
      <c r="E7" s="66">
        <f>'Res Bill Impact'!Y39</f>
        <v>1452800430.3594003</v>
      </c>
      <c r="F7" s="377">
        <v>0.32561295831876069</v>
      </c>
      <c r="G7" s="116">
        <f t="shared" ref="G7:G12" si="0">F7*E7</f>
        <v>473050645.97609299</v>
      </c>
      <c r="H7" s="378">
        <f>(Y10/SUM(SUM(E7:E8),F9/F7*SUM(E9:E10),F11/F7*SUM(E11:E12),SUM(P7:P8)*(1+(Q7/F7-1)),SUM(P9:P10)*(1+(Q9/F9-1))*F9/F7,SUM(P11:P12)*(1+(Q11/F11-1))*F11/F7))</f>
        <v>0.32561295831876069</v>
      </c>
      <c r="I7" s="116">
        <f t="shared" ref="I7:I12" si="1">E7*H7</f>
        <v>473050645.97609299</v>
      </c>
      <c r="J7" s="378"/>
      <c r="K7" s="116"/>
      <c r="L7" s="379"/>
      <c r="O7" s="376" t="s">
        <v>576</v>
      </c>
      <c r="P7" s="66">
        <f>'Res Bill Impact'!Y51</f>
        <v>910964982.79669785</v>
      </c>
      <c r="Q7" s="377">
        <v>0.20127263378676605</v>
      </c>
      <c r="R7" s="116">
        <f t="shared" ref="R7:R12" si="2">Q7*P7</f>
        <v>183352321.37500739</v>
      </c>
      <c r="S7" s="378">
        <f t="shared" ref="S7:S12" si="3">H7*(1+(Q7/F7-1))</f>
        <v>0.20127263378676605</v>
      </c>
      <c r="T7" s="116">
        <f t="shared" ref="T7:T12" si="4">P7*S7</f>
        <v>183352321.37500739</v>
      </c>
      <c r="U7" s="378"/>
      <c r="V7" s="116"/>
      <c r="W7" s="379"/>
      <c r="X7" s="18" t="s">
        <v>577</v>
      </c>
    </row>
    <row r="8" spans="1:25" ht="15.5">
      <c r="D8" s="380" t="s">
        <v>578</v>
      </c>
      <c r="E8" s="66">
        <f>'Res Bill Impact'!Y40</f>
        <v>2191990574.7972364</v>
      </c>
      <c r="F8" s="377">
        <v>0.32561295831876069</v>
      </c>
      <c r="G8" s="116">
        <f t="shared" si="0"/>
        <v>713740535.66656888</v>
      </c>
      <c r="H8" s="378">
        <f>H7</f>
        <v>0.32561295831876069</v>
      </c>
      <c r="I8" s="116">
        <f t="shared" si="1"/>
        <v>713740535.66656888</v>
      </c>
      <c r="O8" s="380" t="s">
        <v>578</v>
      </c>
      <c r="P8" s="66">
        <f>'Res Bill Impact'!Y52</f>
        <v>1698591264.0983658</v>
      </c>
      <c r="Q8" s="377">
        <v>0.20127263378676605</v>
      </c>
      <c r="R8" s="116">
        <f t="shared" si="2"/>
        <v>341879937.45227039</v>
      </c>
      <c r="S8" s="378">
        <f t="shared" si="3"/>
        <v>0.20127263378676605</v>
      </c>
      <c r="T8" s="116">
        <f t="shared" si="4"/>
        <v>341879937.45227039</v>
      </c>
      <c r="U8" s="378"/>
      <c r="V8" s="116"/>
      <c r="W8" s="379"/>
      <c r="X8" s="18" t="s">
        <v>579</v>
      </c>
      <c r="Y8" s="381">
        <f>SUM(G7:G12)+SUM(R7:R12)</f>
        <v>3138661707.3271513</v>
      </c>
    </row>
    <row r="9" spans="1:25" ht="15.5">
      <c r="D9" s="376" t="s">
        <v>580</v>
      </c>
      <c r="E9" s="66">
        <f>'Res Bill Impact'!Y41</f>
        <v>1236691652.402801</v>
      </c>
      <c r="F9" s="377">
        <v>0.40701593321730439</v>
      </c>
      <c r="G9" s="116">
        <f t="shared" si="0"/>
        <v>503353207.0047763</v>
      </c>
      <c r="H9" s="378">
        <f>F9/F$7*H$7</f>
        <v>0.40701593321730439</v>
      </c>
      <c r="I9" s="116">
        <f t="shared" si="1"/>
        <v>503353207.0047763</v>
      </c>
      <c r="O9" s="376" t="s">
        <v>580</v>
      </c>
      <c r="P9" s="66">
        <f>'Res Bill Impact'!Y53</f>
        <v>708171358.60665298</v>
      </c>
      <c r="Q9" s="377">
        <v>0.25418456747082041</v>
      </c>
      <c r="R9" s="116">
        <f t="shared" si="2"/>
        <v>180006230.48265535</v>
      </c>
      <c r="S9" s="378">
        <f t="shared" si="3"/>
        <v>0.25418456747082041</v>
      </c>
      <c r="T9" s="116">
        <f t="shared" si="4"/>
        <v>180006230.48265535</v>
      </c>
      <c r="U9" s="378"/>
      <c r="V9" s="116"/>
      <c r="W9" s="379"/>
      <c r="X9" s="18" t="s">
        <v>676</v>
      </c>
      <c r="Y9" s="381">
        <f>('Hypothetical SAR and RAR'!U20-('Hypothetical SAR and RAR'!O10*'Hypothetical SAR and RAR'!O20))*1000</f>
        <v>0</v>
      </c>
    </row>
    <row r="10" spans="1:25" ht="15.5">
      <c r="D10" s="380" t="s">
        <v>578</v>
      </c>
      <c r="E10" s="66">
        <f>'Res Bill Impact'!Y42</f>
        <v>1347324889.4706311</v>
      </c>
      <c r="F10" s="377">
        <v>0.40701593321730439</v>
      </c>
      <c r="G10" s="116">
        <f t="shared" si="0"/>
        <v>548382697.23479044</v>
      </c>
      <c r="H10" s="378">
        <f>H9</f>
        <v>0.40701593321730439</v>
      </c>
      <c r="I10" s="116">
        <f t="shared" si="1"/>
        <v>548382697.23479044</v>
      </c>
      <c r="O10" s="380" t="s">
        <v>578</v>
      </c>
      <c r="P10" s="66">
        <f>'Res Bill Impact'!Y54</f>
        <v>766750452.53234386</v>
      </c>
      <c r="Q10" s="377">
        <v>0.25418456747082041</v>
      </c>
      <c r="R10" s="116">
        <f t="shared" si="2"/>
        <v>194896132.13498965</v>
      </c>
      <c r="S10" s="378">
        <f t="shared" si="3"/>
        <v>0.25418456747082041</v>
      </c>
      <c r="T10" s="116">
        <f t="shared" si="4"/>
        <v>194896132.13498965</v>
      </c>
      <c r="U10" s="378"/>
      <c r="V10" s="116"/>
      <c r="W10" s="379"/>
      <c r="X10" s="18" t="s">
        <v>570</v>
      </c>
      <c r="Y10" s="381">
        <f>Y8+Y9</f>
        <v>3138661707.3271513</v>
      </c>
    </row>
    <row r="11" spans="1:25" ht="15.5">
      <c r="D11" s="376" t="s">
        <v>583</v>
      </c>
      <c r="E11" s="66">
        <v>0</v>
      </c>
      <c r="F11" s="377">
        <v>0.40701593321730439</v>
      </c>
      <c r="G11" s="116">
        <f t="shared" si="0"/>
        <v>0</v>
      </c>
      <c r="H11" s="378">
        <f>F11/F$7*H$7</f>
        <v>0.40701593321730439</v>
      </c>
      <c r="I11" s="116">
        <f t="shared" si="1"/>
        <v>0</v>
      </c>
      <c r="O11" s="376" t="s">
        <v>583</v>
      </c>
      <c r="P11" s="66">
        <f>0</f>
        <v>0</v>
      </c>
      <c r="Q11" s="377">
        <v>0.25418456747081958</v>
      </c>
      <c r="R11" s="116">
        <f t="shared" si="2"/>
        <v>0</v>
      </c>
      <c r="S11" s="378">
        <f t="shared" si="3"/>
        <v>0.25418456747081958</v>
      </c>
      <c r="T11" s="116">
        <f t="shared" si="4"/>
        <v>0</v>
      </c>
      <c r="U11" s="378"/>
      <c r="V11" s="116"/>
      <c r="W11" s="379"/>
      <c r="Y11" s="381"/>
    </row>
    <row r="12" spans="1:25" ht="15.5">
      <c r="D12" s="380" t="s">
        <v>578</v>
      </c>
      <c r="E12" s="66">
        <v>0</v>
      </c>
      <c r="F12" s="377">
        <v>0.40701593321730439</v>
      </c>
      <c r="G12" s="116">
        <f t="shared" si="0"/>
        <v>0</v>
      </c>
      <c r="H12" s="378">
        <f>H11</f>
        <v>0.40701593321730439</v>
      </c>
      <c r="I12" s="116">
        <f t="shared" si="1"/>
        <v>0</v>
      </c>
      <c r="O12" s="380" t="s">
        <v>578</v>
      </c>
      <c r="P12" s="66">
        <v>0</v>
      </c>
      <c r="Q12" s="377">
        <v>0.25418456747081958</v>
      </c>
      <c r="R12" s="116">
        <f t="shared" si="2"/>
        <v>0</v>
      </c>
      <c r="S12" s="378">
        <f t="shared" si="3"/>
        <v>0.25418456747081958</v>
      </c>
      <c r="T12" s="116">
        <f t="shared" si="4"/>
        <v>0</v>
      </c>
      <c r="U12" s="378"/>
      <c r="V12" s="116"/>
      <c r="W12" s="379"/>
      <c r="Y12" s="381"/>
    </row>
    <row r="13" spans="1:25" ht="15.5">
      <c r="D13" s="380"/>
      <c r="E13" s="386"/>
      <c r="F13" s="377"/>
      <c r="G13" s="384"/>
      <c r="H13" s="5"/>
      <c r="I13" s="383"/>
      <c r="O13" s="380"/>
      <c r="P13" s="384"/>
      <c r="Q13" s="377"/>
      <c r="R13" s="384"/>
      <c r="S13" s="5"/>
      <c r="T13" s="383"/>
      <c r="U13" s="5"/>
      <c r="V13" s="383"/>
    </row>
    <row r="14" spans="1:25" ht="15.5">
      <c r="D14" s="380" t="s">
        <v>677</v>
      </c>
      <c r="E14" s="386"/>
      <c r="F14" s="377"/>
      <c r="G14" s="384"/>
      <c r="H14" s="384"/>
      <c r="I14" s="384"/>
      <c r="O14" s="380"/>
      <c r="P14" s="384"/>
      <c r="Q14" s="377"/>
      <c r="R14" s="384"/>
      <c r="S14" s="384"/>
      <c r="T14" s="384"/>
      <c r="U14" s="384"/>
      <c r="V14" s="384"/>
    </row>
    <row r="15" spans="1:25" ht="15.5">
      <c r="D15" s="18" t="s">
        <v>585</v>
      </c>
      <c r="E15" s="66">
        <f>'Res Bill Impact'!E15</f>
        <v>13081501.821975876</v>
      </c>
      <c r="F15" s="387">
        <f>12.08/R33</f>
        <v>0.39687885010266943</v>
      </c>
      <c r="G15" s="116">
        <f>F15*E15</f>
        <v>5191771.4007217605</v>
      </c>
      <c r="H15" s="378">
        <f>F15</f>
        <v>0.39687885010266943</v>
      </c>
      <c r="I15" s="116">
        <f>E15*H15</f>
        <v>5191771.4007217605</v>
      </c>
      <c r="J15" s="378"/>
      <c r="K15" s="116"/>
      <c r="L15" s="143"/>
      <c r="O15" s="18" t="s">
        <v>586</v>
      </c>
      <c r="P15" s="66">
        <f>'Res Bill Impact'!P15</f>
        <v>7779985.4698770009</v>
      </c>
      <c r="Q15" s="388">
        <f>6/R33</f>
        <v>0.1971252566735113</v>
      </c>
      <c r="R15" s="116">
        <f>Q15*P15</f>
        <v>1533631.6326656921</v>
      </c>
      <c r="S15" s="378">
        <f>Q15</f>
        <v>0.1971252566735113</v>
      </c>
      <c r="T15" s="116">
        <f>P15*S15</f>
        <v>1533631.6326656921</v>
      </c>
      <c r="U15" s="378"/>
      <c r="V15" s="116"/>
    </row>
    <row r="16" spans="1:25" ht="15.5">
      <c r="D16" s="18" t="s">
        <v>587</v>
      </c>
      <c r="E16" s="66">
        <f>'Res Bill Impact'!E16</f>
        <v>392462333.15946174</v>
      </c>
      <c r="F16" s="387">
        <f>24.15/R33</f>
        <v>0.79342915811088288</v>
      </c>
      <c r="G16" s="116">
        <f>F16*E16</f>
        <v>311391058.58894455</v>
      </c>
      <c r="H16" s="378">
        <f>F16</f>
        <v>0.79342915811088288</v>
      </c>
      <c r="I16" s="116">
        <f t="shared" ref="I16" si="5">E16*H16</f>
        <v>311391058.58894455</v>
      </c>
      <c r="J16" s="378"/>
      <c r="K16" s="116"/>
      <c r="P16" s="384"/>
      <c r="Q16" s="377"/>
      <c r="S16" s="143"/>
      <c r="U16" s="143"/>
    </row>
    <row r="17" spans="2:30">
      <c r="O17" s="389"/>
    </row>
    <row r="19" spans="2:30">
      <c r="B19" s="391"/>
      <c r="P19" s="18" t="str">
        <f>'Res Bill Impact'!P19</f>
        <v>2025 Recorded Average Monthly Usage (kWh) - Bundled/Basic/non-medical/non-FERA</v>
      </c>
      <c r="X19" s="18" t="str">
        <f>'Res Bill Impact'!X19</f>
        <v>2024 Recorded Average Monthly Usage (kWh) - Bundled/All Electric/non-medical/non-FERA</v>
      </c>
    </row>
    <row r="20" spans="2:30">
      <c r="B20" s="392" t="s">
        <v>590</v>
      </c>
      <c r="C20" s="392"/>
      <c r="E20" s="393"/>
      <c r="F20" s="393"/>
      <c r="H20" s="392" t="s">
        <v>591</v>
      </c>
      <c r="I20" s="392"/>
      <c r="J20" s="392"/>
      <c r="K20" s="392"/>
      <c r="L20" s="392" t="s">
        <v>592</v>
      </c>
      <c r="M20" s="392"/>
      <c r="N20" s="392"/>
      <c r="P20" s="394" t="s">
        <v>593</v>
      </c>
      <c r="Q20" s="395" t="s">
        <v>594</v>
      </c>
      <c r="R20" s="395" t="s">
        <v>595</v>
      </c>
      <c r="S20" s="395" t="s">
        <v>594</v>
      </c>
      <c r="T20" s="395" t="s">
        <v>595</v>
      </c>
      <c r="U20" s="522" t="s">
        <v>596</v>
      </c>
      <c r="V20" s="523"/>
      <c r="X20" s="394" t="s">
        <v>593</v>
      </c>
      <c r="Y20" s="395" t="s">
        <v>594</v>
      </c>
      <c r="Z20" s="395" t="s">
        <v>595</v>
      </c>
      <c r="AA20" s="395" t="s">
        <v>594</v>
      </c>
      <c r="AB20" s="395" t="s">
        <v>595</v>
      </c>
      <c r="AC20" s="522" t="s">
        <v>596</v>
      </c>
      <c r="AD20" s="523"/>
    </row>
    <row r="21" spans="2:30">
      <c r="B21" s="398" t="s">
        <v>571</v>
      </c>
      <c r="C21" s="399">
        <v>46023</v>
      </c>
      <c r="D21" s="399">
        <f>F4</f>
        <v>46082</v>
      </c>
      <c r="E21" s="400" t="s">
        <v>570</v>
      </c>
      <c r="F21" s="52"/>
      <c r="H21" s="401" t="s">
        <v>593</v>
      </c>
      <c r="I21" s="401" t="s">
        <v>597</v>
      </c>
      <c r="J21" s="401" t="s">
        <v>598</v>
      </c>
      <c r="L21" s="401" t="s">
        <v>593</v>
      </c>
      <c r="M21" s="401" t="s">
        <v>597</v>
      </c>
      <c r="N21" s="401" t="s">
        <v>598</v>
      </c>
      <c r="P21" s="239"/>
      <c r="Q21" s="522" t="s">
        <v>59</v>
      </c>
      <c r="R21" s="523"/>
      <c r="S21" s="522" t="s">
        <v>60</v>
      </c>
      <c r="T21" s="523"/>
      <c r="U21" s="479" t="s">
        <v>59</v>
      </c>
      <c r="V21" s="480" t="s">
        <v>60</v>
      </c>
      <c r="X21" s="239"/>
      <c r="Y21" s="522" t="s">
        <v>59</v>
      </c>
      <c r="Z21" s="523"/>
      <c r="AA21" s="522" t="s">
        <v>60</v>
      </c>
      <c r="AB21" s="523"/>
      <c r="AC21" s="396" t="s">
        <v>59</v>
      </c>
      <c r="AD21" s="397" t="s">
        <v>60</v>
      </c>
    </row>
    <row r="22" spans="2:30">
      <c r="B22" s="405" t="s">
        <v>599</v>
      </c>
      <c r="C22" s="52">
        <v>0.37839</v>
      </c>
      <c r="D22" s="52">
        <f>F7</f>
        <v>0.32561295831876069</v>
      </c>
      <c r="E22" s="52">
        <f>H7</f>
        <v>0.32561295831876069</v>
      </c>
      <c r="F22" s="52"/>
      <c r="H22" s="18" t="s">
        <v>600</v>
      </c>
      <c r="I22" s="381">
        <f>13.5*$R$33</f>
        <v>410.90625</v>
      </c>
      <c r="J22" s="381">
        <f>11*$R$33</f>
        <v>334.8125</v>
      </c>
      <c r="L22" s="18" t="s">
        <v>600</v>
      </c>
      <c r="M22" s="381">
        <f>15.2*$R$33</f>
        <v>462.65</v>
      </c>
      <c r="N22" s="381">
        <f>26*$R$33</f>
        <v>791.375</v>
      </c>
      <c r="P22" s="240" t="s">
        <v>600</v>
      </c>
      <c r="Q22" s="410">
        <f>'Res Bill Impact'!Q22</f>
        <v>499.75</v>
      </c>
      <c r="R22" s="410">
        <f>'Res Bill Impact'!R22</f>
        <v>389.5</v>
      </c>
      <c r="S22" s="410">
        <f>'Res Bill Impact'!S22</f>
        <v>603.75</v>
      </c>
      <c r="T22" s="410">
        <f>'Res Bill Impact'!T22</f>
        <v>509.875</v>
      </c>
      <c r="U22" s="220">
        <f>'Res Bill Impact'!U22</f>
        <v>4.9722793062389657E-2</v>
      </c>
      <c r="V22" s="152">
        <f>'Res Bill Impact'!V22</f>
        <v>2.5777934863202203E-2</v>
      </c>
      <c r="X22" s="240" t="s">
        <v>600</v>
      </c>
      <c r="Y22" s="410">
        <f>'Res Bill Impact'!Y22</f>
        <v>564.75</v>
      </c>
      <c r="Z22" s="410">
        <f>'Res Bill Impact'!Z22</f>
        <v>521.875</v>
      </c>
      <c r="AA22" s="410">
        <f>'Res Bill Impact'!AA22</f>
        <v>677.75</v>
      </c>
      <c r="AB22" s="410">
        <f>'Res Bill Impact'!AB22</f>
        <v>685.25</v>
      </c>
      <c r="AC22" s="219">
        <f>'Res Bill Impact'!AC22</f>
        <v>0.20088531148607908</v>
      </c>
      <c r="AD22" s="152">
        <f>'Res Bill Impact'!AD22</f>
        <v>0.17939553219448096</v>
      </c>
    </row>
    <row r="23" spans="2:30">
      <c r="B23" s="405" t="s">
        <v>601</v>
      </c>
      <c r="C23" s="52">
        <v>0.47405000000000003</v>
      </c>
      <c r="D23" s="52">
        <f>F9</f>
        <v>0.40701593321730439</v>
      </c>
      <c r="E23" s="52">
        <f>H9</f>
        <v>0.40701593321730439</v>
      </c>
      <c r="F23" s="52"/>
      <c r="H23" s="18" t="s">
        <v>602</v>
      </c>
      <c r="I23" s="381">
        <f>9.8*$R$33</f>
        <v>298.28750000000002</v>
      </c>
      <c r="J23" s="381">
        <f>11*$R$33</f>
        <v>334.8125</v>
      </c>
      <c r="L23" s="18" t="s">
        <v>602</v>
      </c>
      <c r="M23" s="381">
        <f>8.5*$R$33</f>
        <v>258.71875</v>
      </c>
      <c r="N23" s="381">
        <f>26*$R$33</f>
        <v>791.375</v>
      </c>
      <c r="P23" s="409" t="s">
        <v>602</v>
      </c>
      <c r="Q23" s="410">
        <f>'Res Bill Impact'!Q23</f>
        <v>354.25</v>
      </c>
      <c r="R23" s="410">
        <f>'Res Bill Impact'!R23</f>
        <v>413.5</v>
      </c>
      <c r="S23" s="410">
        <f>'Res Bill Impact'!S23</f>
        <v>323.75</v>
      </c>
      <c r="T23" s="410">
        <f>'Res Bill Impact'!T23</f>
        <v>440.875</v>
      </c>
      <c r="U23" s="220">
        <f>'Res Bill Impact'!U23</f>
        <v>3.6428896970648226E-4</v>
      </c>
      <c r="V23" s="152">
        <f>'Res Bill Impact'!V23</f>
        <v>1.1761705482757428E-4</v>
      </c>
      <c r="X23" s="409" t="s">
        <v>602</v>
      </c>
      <c r="Y23" s="410">
        <f>'Res Bill Impact'!Y23</f>
        <v>467.5</v>
      </c>
      <c r="Z23" s="410">
        <f>'Res Bill Impact'!Z23</f>
        <v>622</v>
      </c>
      <c r="AA23" s="410">
        <f>'Res Bill Impact'!AA23</f>
        <v>510</v>
      </c>
      <c r="AB23" s="410">
        <f>'Res Bill Impact'!AB23</f>
        <v>635.875</v>
      </c>
      <c r="AC23" s="220">
        <f>'Res Bill Impact'!AC23</f>
        <v>1.3542873003263688E-3</v>
      </c>
      <c r="AD23" s="152">
        <f>'Res Bill Impact'!AD23</f>
        <v>5.3613666228646514E-4</v>
      </c>
    </row>
    <row r="24" spans="2:30">
      <c r="B24" s="405" t="s">
        <v>678</v>
      </c>
      <c r="C24" s="52">
        <v>0.47405000000000003</v>
      </c>
      <c r="D24" s="52">
        <f>F11</f>
        <v>0.40701593321730439</v>
      </c>
      <c r="E24" s="52">
        <f>H11</f>
        <v>0.40701593321730439</v>
      </c>
      <c r="F24" s="52"/>
      <c r="H24" s="18" t="s">
        <v>603</v>
      </c>
      <c r="I24" s="381">
        <f>17.7*$R$33</f>
        <v>538.74374999999998</v>
      </c>
      <c r="J24" s="381">
        <f>10.4*$R$33</f>
        <v>316.55</v>
      </c>
      <c r="L24" s="18" t="s">
        <v>603</v>
      </c>
      <c r="M24" s="381">
        <f>19.9*$R$33</f>
        <v>605.70624999999995</v>
      </c>
      <c r="N24" s="381">
        <f>26.7*$R$33</f>
        <v>812.68124999999998</v>
      </c>
      <c r="P24" s="409" t="s">
        <v>603</v>
      </c>
      <c r="Q24" s="410">
        <f>'Res Bill Impact'!Q24</f>
        <v>735.5</v>
      </c>
      <c r="R24" s="410">
        <f>'Res Bill Impact'!R24</f>
        <v>391.25</v>
      </c>
      <c r="S24" s="410">
        <f>'Res Bill Impact'!S24</f>
        <v>862.5</v>
      </c>
      <c r="T24" s="410">
        <f>'Res Bill Impact'!T24</f>
        <v>443.375</v>
      </c>
      <c r="U24" s="220">
        <f>'Res Bill Impact'!U24</f>
        <v>0.29532859050658705</v>
      </c>
      <c r="V24" s="152">
        <f>'Res Bill Impact'!V24</f>
        <v>0.40234489398654733</v>
      </c>
      <c r="X24" s="409" t="s">
        <v>603</v>
      </c>
      <c r="Y24" s="410">
        <f>'Res Bill Impact'!Y24</f>
        <v>729.25</v>
      </c>
      <c r="Z24" s="410">
        <f>'Res Bill Impact'!Z24</f>
        <v>499.875</v>
      </c>
      <c r="AA24" s="410">
        <f>'Res Bill Impact'!AA24</f>
        <v>876.25</v>
      </c>
      <c r="AB24" s="410">
        <f>'Res Bill Impact'!AB24</f>
        <v>595.25</v>
      </c>
      <c r="AC24" s="220">
        <f>'Res Bill Impact'!AC24</f>
        <v>0.26385153565651831</v>
      </c>
      <c r="AD24" s="152">
        <f>'Res Bill Impact'!AD24</f>
        <v>0.34918715975220577</v>
      </c>
    </row>
    <row r="25" spans="2:30">
      <c r="B25" s="405" t="s">
        <v>587</v>
      </c>
      <c r="D25" s="52">
        <f>F16</f>
        <v>0.79342915811088288</v>
      </c>
      <c r="E25" s="52">
        <f>H16</f>
        <v>0.79342915811088288</v>
      </c>
      <c r="H25" s="18" t="s">
        <v>604</v>
      </c>
      <c r="I25" s="381">
        <f>15*$R$33</f>
        <v>456.5625</v>
      </c>
      <c r="J25" s="381">
        <f>10.2*$R$33</f>
        <v>310.46249999999998</v>
      </c>
      <c r="L25" s="18" t="s">
        <v>604</v>
      </c>
      <c r="M25" s="381">
        <f>17.8*$R$33</f>
        <v>541.78750000000002</v>
      </c>
      <c r="N25" s="381">
        <f>23.7*$R$33</f>
        <v>721.36874999999998</v>
      </c>
      <c r="P25" s="409" t="s">
        <v>604</v>
      </c>
      <c r="Q25" s="410">
        <f>'Res Bill Impact'!Q25</f>
        <v>611</v>
      </c>
      <c r="R25" s="410">
        <f>'Res Bill Impact'!R25</f>
        <v>390.875</v>
      </c>
      <c r="S25" s="410">
        <f>'Res Bill Impact'!S25</f>
        <v>709.25</v>
      </c>
      <c r="T25" s="410">
        <f>'Res Bill Impact'!T25</f>
        <v>436.625</v>
      </c>
      <c r="U25" s="220">
        <f>'Res Bill Impact'!U25</f>
        <v>0.34351389322303205</v>
      </c>
      <c r="V25" s="152">
        <f>'Res Bill Impact'!V25</f>
        <v>0.27223147036390066</v>
      </c>
      <c r="X25" s="409" t="s">
        <v>604</v>
      </c>
      <c r="Y25" s="410">
        <f>'Res Bill Impact'!Y25</f>
        <v>623.25</v>
      </c>
      <c r="Z25" s="410">
        <f>'Res Bill Impact'!Z25</f>
        <v>487</v>
      </c>
      <c r="AA25" s="410">
        <f>'Res Bill Impact'!AA25</f>
        <v>733.75</v>
      </c>
      <c r="AB25" s="410">
        <f>'Res Bill Impact'!AB25</f>
        <v>553.375</v>
      </c>
      <c r="AC25" s="220">
        <f>'Res Bill Impact'!AC25</f>
        <v>0.25556693433381505</v>
      </c>
      <c r="AD25" s="152">
        <f>'Res Bill Impact'!AD25</f>
        <v>0.2392701332832739</v>
      </c>
    </row>
    <row r="26" spans="2:30">
      <c r="B26" s="392" t="s">
        <v>605</v>
      </c>
      <c r="C26" s="392"/>
      <c r="D26" s="392"/>
      <c r="E26" s="393"/>
      <c r="F26" s="393"/>
      <c r="H26" s="18" t="s">
        <v>606</v>
      </c>
      <c r="I26" s="381">
        <f>6.5*$R$33</f>
        <v>197.84375</v>
      </c>
      <c r="J26" s="381">
        <f>7.5*$R$33</f>
        <v>228.28125</v>
      </c>
      <c r="L26" s="18" t="s">
        <v>606</v>
      </c>
      <c r="M26" s="381">
        <f>7.1*$R$33</f>
        <v>216.10624999999999</v>
      </c>
      <c r="N26" s="381">
        <f>12.9*$R$33</f>
        <v>392.64375000000001</v>
      </c>
      <c r="P26" s="409" t="s">
        <v>606</v>
      </c>
      <c r="Q26" s="410">
        <f>'Res Bill Impact'!Q26</f>
        <v>267</v>
      </c>
      <c r="R26" s="410">
        <f>'Res Bill Impact'!R26</f>
        <v>305.125</v>
      </c>
      <c r="S26" s="410">
        <f>'Res Bill Impact'!S26</f>
        <v>268.5</v>
      </c>
      <c r="T26" s="410">
        <f>'Res Bill Impact'!T26</f>
        <v>307.5</v>
      </c>
      <c r="U26" s="220">
        <f>'Res Bill Impact'!U26</f>
        <v>4.1946522697403392E-2</v>
      </c>
      <c r="V26" s="152">
        <f>'Res Bill Impact'!V26</f>
        <v>2.1486685483425305E-2</v>
      </c>
      <c r="X26" s="409" t="s">
        <v>606</v>
      </c>
      <c r="Y26" s="410">
        <f>'Res Bill Impact'!Y26</f>
        <v>270.5</v>
      </c>
      <c r="Z26" s="410">
        <f>'Res Bill Impact'!Z26</f>
        <v>345.5</v>
      </c>
      <c r="AA26" s="410">
        <f>'Res Bill Impact'!AA26</f>
        <v>262.75</v>
      </c>
      <c r="AB26" s="410">
        <f>'Res Bill Impact'!AB26</f>
        <v>334.125</v>
      </c>
      <c r="AC26" s="220">
        <f>'Res Bill Impact'!AC26</f>
        <v>2.8472574485801518E-2</v>
      </c>
      <c r="AD26" s="152">
        <f>'Res Bill Impact'!AD26</f>
        <v>2.4819973718791064E-2</v>
      </c>
    </row>
    <row r="27" spans="2:30">
      <c r="B27" s="398" t="s">
        <v>571</v>
      </c>
      <c r="C27" s="399">
        <f>$C$21</f>
        <v>46023</v>
      </c>
      <c r="D27" s="399">
        <f>D21</f>
        <v>46082</v>
      </c>
      <c r="E27" s="400" t="s">
        <v>570</v>
      </c>
      <c r="F27" s="393"/>
      <c r="H27" s="18" t="s">
        <v>607</v>
      </c>
      <c r="I27" s="381">
        <f>7.1*$R$33</f>
        <v>216.10624999999999</v>
      </c>
      <c r="J27" s="381">
        <f>8.1*$R$33</f>
        <v>246.54374999999999</v>
      </c>
      <c r="L27" s="18" t="s">
        <v>607</v>
      </c>
      <c r="M27" s="381">
        <f>10.4*$R$33</f>
        <v>316.55</v>
      </c>
      <c r="N27" s="381">
        <f>19.1*$R$33</f>
        <v>581.35625000000005</v>
      </c>
      <c r="P27" s="409" t="s">
        <v>607</v>
      </c>
      <c r="Q27" s="410">
        <f>'Res Bill Impact'!Q27</f>
        <v>313.75</v>
      </c>
      <c r="R27" s="410">
        <f>'Res Bill Impact'!R27</f>
        <v>355.875</v>
      </c>
      <c r="S27" s="410">
        <f>'Res Bill Impact'!S27</f>
        <v>284.25</v>
      </c>
      <c r="T27" s="410">
        <f>'Res Bill Impact'!T27</f>
        <v>347.625</v>
      </c>
      <c r="U27" s="220">
        <f>'Res Bill Impact'!U27</f>
        <v>1.9773414381884604E-3</v>
      </c>
      <c r="V27" s="152">
        <f>'Res Bill Impact'!V27</f>
        <v>1.4465715662838597E-3</v>
      </c>
      <c r="X27" s="409" t="s">
        <v>607</v>
      </c>
      <c r="Y27" s="410">
        <f>'Res Bill Impact'!Y27</f>
        <v>398.25</v>
      </c>
      <c r="Z27" s="410">
        <f>'Res Bill Impact'!Z27</f>
        <v>500.375</v>
      </c>
      <c r="AA27" s="410">
        <f>'Res Bill Impact'!AA27</f>
        <v>409.25</v>
      </c>
      <c r="AB27" s="410">
        <f>'Res Bill Impact'!AB27</f>
        <v>564.875</v>
      </c>
      <c r="AC27" s="220">
        <f>'Res Bill Impact'!AC27</f>
        <v>1.9677842328417062E-3</v>
      </c>
      <c r="AD27" s="152">
        <f>'Res Bill Impact'!AD27</f>
        <v>1.7345597897503286E-3</v>
      </c>
    </row>
    <row r="28" spans="2:30">
      <c r="B28" s="405" t="s">
        <v>599</v>
      </c>
      <c r="C28" s="52">
        <v>0.23024</v>
      </c>
      <c r="D28" s="52">
        <f>Q7</f>
        <v>0.20127263378676605</v>
      </c>
      <c r="E28" s="52">
        <f>S7</f>
        <v>0.20127263378676605</v>
      </c>
      <c r="F28" s="393"/>
      <c r="H28" s="18" t="s">
        <v>608</v>
      </c>
      <c r="I28" s="381">
        <f>19.2*$R$33</f>
        <v>584.4</v>
      </c>
      <c r="J28" s="381">
        <f>9.8*$R$33</f>
        <v>298.28750000000002</v>
      </c>
      <c r="L28" s="18" t="s">
        <v>608</v>
      </c>
      <c r="M28" s="381">
        <f>22.4*$R$33</f>
        <v>681.8</v>
      </c>
      <c r="N28" s="381">
        <f>19*$R$33</f>
        <v>578.3125</v>
      </c>
      <c r="P28" s="409" t="s">
        <v>608</v>
      </c>
      <c r="Q28" s="410">
        <f>'Res Bill Impact'!Q28</f>
        <v>807</v>
      </c>
      <c r="R28" s="410">
        <f>'Res Bill Impact'!R28</f>
        <v>354.125</v>
      </c>
      <c r="S28" s="410">
        <f>'Res Bill Impact'!S28</f>
        <v>933.75</v>
      </c>
      <c r="T28" s="410">
        <f>'Res Bill Impact'!T28</f>
        <v>413.875</v>
      </c>
      <c r="U28" s="220">
        <f>'Res Bill Impact'!U28</f>
        <v>0.14001555254072998</v>
      </c>
      <c r="V28" s="152">
        <f>'Res Bill Impact'!V28</f>
        <v>0.23920294645498355</v>
      </c>
      <c r="X28" s="409" t="s">
        <v>608</v>
      </c>
      <c r="Y28" s="410">
        <f>'Res Bill Impact'!Y28</f>
        <v>796.25</v>
      </c>
      <c r="Z28" s="410">
        <f>'Res Bill Impact'!Z28</f>
        <v>411.5</v>
      </c>
      <c r="AA28" s="410">
        <f>'Res Bill Impact'!AA28</f>
        <v>962.25</v>
      </c>
      <c r="AB28" s="410">
        <f>'Res Bill Impact'!AB28</f>
        <v>475.125</v>
      </c>
      <c r="AC28" s="220">
        <f>'Res Bill Impact'!AC28</f>
        <v>8.0058956959505378E-2</v>
      </c>
      <c r="AD28" s="152">
        <f>'Res Bill Impact'!AD28</f>
        <v>0.13965083536699832</v>
      </c>
    </row>
    <row r="29" spans="2:30">
      <c r="B29" s="405" t="s">
        <v>601</v>
      </c>
      <c r="C29" s="52">
        <v>0.29241</v>
      </c>
      <c r="D29" s="52">
        <f>Q9</f>
        <v>0.25418456747082041</v>
      </c>
      <c r="E29" s="52">
        <f>S9</f>
        <v>0.25418456747082041</v>
      </c>
      <c r="F29" s="52"/>
      <c r="H29" s="18" t="s">
        <v>118</v>
      </c>
      <c r="I29" s="381">
        <f>9.8*$R$33</f>
        <v>298.28750000000002</v>
      </c>
      <c r="J29" s="381">
        <f>9.7*$R$33</f>
        <v>295.24374999999998</v>
      </c>
      <c r="L29" s="18" t="s">
        <v>118</v>
      </c>
      <c r="M29" s="381">
        <f>8.5*$R$33</f>
        <v>258.71875</v>
      </c>
      <c r="N29" s="381">
        <f>14.6*$R$33</f>
        <v>444.38749999999999</v>
      </c>
      <c r="P29" s="409" t="s">
        <v>118</v>
      </c>
      <c r="Q29" s="410">
        <f>'Res Bill Impact'!Q29</f>
        <v>413.75</v>
      </c>
      <c r="R29" s="410">
        <f>'Res Bill Impact'!R29</f>
        <v>400.625</v>
      </c>
      <c r="S29" s="410">
        <f>'Res Bill Impact'!S29</f>
        <v>390.75</v>
      </c>
      <c r="T29" s="410">
        <f>'Res Bill Impact'!T29</f>
        <v>383</v>
      </c>
      <c r="U29" s="220">
        <f>'Res Bill Impact'!U29</f>
        <v>0.1034058367365011</v>
      </c>
      <c r="V29" s="152">
        <f>'Res Bill Impact'!V29</f>
        <v>3.2649666963467494E-2</v>
      </c>
      <c r="X29" s="409" t="s">
        <v>118</v>
      </c>
      <c r="Y29" s="410">
        <f>'Res Bill Impact'!Y29</f>
        <v>401.25</v>
      </c>
      <c r="Z29" s="410">
        <f>'Res Bill Impact'!Z29</f>
        <v>458</v>
      </c>
      <c r="AA29" s="410">
        <f>'Res Bill Impact'!AA29</f>
        <v>376.5</v>
      </c>
      <c r="AB29" s="410">
        <f>'Res Bill Impact'!AB29</f>
        <v>438.5</v>
      </c>
      <c r="AC29" s="220">
        <f>'Res Bill Impact'!AC29</f>
        <v>4.8529425839610271E-2</v>
      </c>
      <c r="AD29" s="152">
        <f>'Res Bill Impact'!AD29</f>
        <v>3.5006570302233905E-2</v>
      </c>
    </row>
    <row r="30" spans="2:30">
      <c r="B30" s="405" t="s">
        <v>678</v>
      </c>
      <c r="C30" s="52">
        <v>0.29241</v>
      </c>
      <c r="D30" s="52">
        <f>Q11</f>
        <v>0.25418456747081958</v>
      </c>
      <c r="E30" s="52">
        <f>S12</f>
        <v>0.25418456747081958</v>
      </c>
      <c r="F30" s="52"/>
      <c r="H30" s="18" t="s">
        <v>609</v>
      </c>
      <c r="I30" s="381">
        <f>10.5*$R$33</f>
        <v>319.59375</v>
      </c>
      <c r="J30" s="381">
        <f>11.1*$R$33</f>
        <v>337.85624999999999</v>
      </c>
      <c r="L30" s="18" t="s">
        <v>609</v>
      </c>
      <c r="M30" s="381">
        <f>12*$R$33</f>
        <v>365.25</v>
      </c>
      <c r="N30" s="381">
        <f>24*$R$33</f>
        <v>730.5</v>
      </c>
      <c r="P30" s="409" t="s">
        <v>609</v>
      </c>
      <c r="Q30" s="410">
        <f>'Res Bill Impact'!Q30</f>
        <v>348</v>
      </c>
      <c r="R30" s="410">
        <f>'Res Bill Impact'!R30</f>
        <v>314.625</v>
      </c>
      <c r="S30" s="410">
        <f>'Res Bill Impact'!S30</f>
        <v>497.75</v>
      </c>
      <c r="T30" s="410">
        <f>'Res Bill Impact'!T30</f>
        <v>489.625</v>
      </c>
      <c r="U30" s="220">
        <f>'Res Bill Impact'!U30</f>
        <v>2.1761626160508266E-2</v>
      </c>
      <c r="V30" s="152">
        <f>'Res Bill Impact'!V30</f>
        <v>4.6766077704682493E-3</v>
      </c>
      <c r="X30" s="409" t="s">
        <v>609</v>
      </c>
      <c r="Y30" s="410">
        <f>'Res Bill Impact'!Y30</f>
        <v>349.25</v>
      </c>
      <c r="Z30" s="410">
        <f>'Res Bill Impact'!Z30</f>
        <v>342.375</v>
      </c>
      <c r="AA30" s="410">
        <f>'Res Bill Impact'!AA30</f>
        <v>576.75</v>
      </c>
      <c r="AB30" s="410">
        <f>'Res Bill Impact'!AB30</f>
        <v>647.625</v>
      </c>
      <c r="AC30" s="220">
        <f>'Res Bill Impact'!AC30</f>
        <v>0.10653503440751128</v>
      </c>
      <c r="AD30" s="152">
        <f>'Res Bill Impact'!AD30</f>
        <v>2.9905012201989864E-2</v>
      </c>
    </row>
    <row r="31" spans="2:30">
      <c r="B31" s="405" t="s">
        <v>586</v>
      </c>
      <c r="C31" s="54"/>
      <c r="D31" s="52">
        <f>Q15</f>
        <v>0.1971252566735113</v>
      </c>
      <c r="E31" s="52">
        <f>S15</f>
        <v>0.1971252566735113</v>
      </c>
      <c r="F31" s="69"/>
      <c r="H31" s="18" t="s">
        <v>610</v>
      </c>
      <c r="I31" s="381">
        <f>5.9*$R$33</f>
        <v>179.58125000000001</v>
      </c>
      <c r="J31" s="381">
        <f>7.8*$R$33</f>
        <v>237.41249999999999</v>
      </c>
      <c r="L31" s="18" t="s">
        <v>610</v>
      </c>
      <c r="M31" s="381">
        <f>6.7*$R$33</f>
        <v>203.93125000000001</v>
      </c>
      <c r="N31" s="381">
        <f>15.7*$R$33</f>
        <v>477.86874999999998</v>
      </c>
      <c r="P31" s="53" t="s">
        <v>610</v>
      </c>
      <c r="Q31" s="412">
        <f>'Res Bill Impact'!Q31</f>
        <v>197.75</v>
      </c>
      <c r="R31" s="412">
        <f>'Res Bill Impact'!R31</f>
        <v>171.125</v>
      </c>
      <c r="S31" s="412">
        <f>'Res Bill Impact'!S31</f>
        <v>215</v>
      </c>
      <c r="T31" s="412">
        <f>'Res Bill Impact'!T31</f>
        <v>303.875</v>
      </c>
      <c r="U31" s="221">
        <f>'Res Bill Impact'!U31</f>
        <v>1.9635546649535715E-3</v>
      </c>
      <c r="V31" s="153">
        <f>'Res Bill Impact'!V31</f>
        <v>6.5605492893772597E-5</v>
      </c>
      <c r="X31" s="53" t="s">
        <v>610</v>
      </c>
      <c r="Y31" s="412">
        <f>'Res Bill Impact'!Y31</f>
        <v>204</v>
      </c>
      <c r="Z31" s="412">
        <f>'Res Bill Impact'!Z31</f>
        <v>168.5</v>
      </c>
      <c r="AA31" s="412">
        <f>'Res Bill Impact'!AA31</f>
        <v>345</v>
      </c>
      <c r="AB31" s="412">
        <f>'Res Bill Impact'!AB31</f>
        <v>449</v>
      </c>
      <c r="AC31" s="221">
        <f>'Res Bill Impact'!AC31</f>
        <v>1.277815529799106E-2</v>
      </c>
      <c r="AD31" s="153">
        <f>'Res Bill Impact'!AD31</f>
        <v>4.9408672798948751E-4</v>
      </c>
    </row>
    <row r="32" spans="2:30">
      <c r="B32" s="391"/>
      <c r="C32" s="54"/>
      <c r="D32" s="54"/>
      <c r="E32" s="69"/>
      <c r="F32" s="69"/>
    </row>
    <row r="33" spans="2:18">
      <c r="B33" s="391"/>
      <c r="C33" s="54"/>
      <c r="D33" s="54"/>
      <c r="E33" s="69"/>
      <c r="F33" s="69"/>
      <c r="Q33" s="19" t="s">
        <v>611</v>
      </c>
      <c r="R33" s="18">
        <f>365.25/12</f>
        <v>30.4375</v>
      </c>
    </row>
    <row r="34" spans="2:18">
      <c r="B34" s="391"/>
      <c r="C34" s="524" t="s">
        <v>612</v>
      </c>
      <c r="D34" s="524"/>
      <c r="E34" s="524"/>
      <c r="F34" s="524"/>
      <c r="G34" s="524"/>
      <c r="H34" s="524"/>
      <c r="J34" s="391"/>
      <c r="K34" s="524" t="s">
        <v>679</v>
      </c>
      <c r="L34" s="524"/>
      <c r="M34" s="524"/>
      <c r="N34" s="524"/>
      <c r="O34" s="524"/>
      <c r="P34" s="524"/>
    </row>
    <row r="35" spans="2:18">
      <c r="B35" s="391"/>
      <c r="C35" s="526">
        <f>$C$21</f>
        <v>46023</v>
      </c>
      <c r="D35" s="526"/>
      <c r="E35" s="525">
        <f>D27</f>
        <v>46082</v>
      </c>
      <c r="F35" s="526"/>
      <c r="G35" s="527" t="str">
        <f>E21</f>
        <v>Proposed</v>
      </c>
      <c r="H35" s="527"/>
      <c r="I35" s="88"/>
      <c r="J35" s="391"/>
      <c r="K35" s="526">
        <f>$C$21</f>
        <v>46023</v>
      </c>
      <c r="L35" s="526"/>
      <c r="M35" s="525">
        <f>$D$21</f>
        <v>46082</v>
      </c>
      <c r="N35" s="526"/>
      <c r="O35" s="527" t="str">
        <f>$E$21</f>
        <v>Proposed</v>
      </c>
      <c r="P35" s="527"/>
    </row>
    <row r="36" spans="2:18">
      <c r="B36" s="391"/>
      <c r="C36" s="54" t="s">
        <v>594</v>
      </c>
      <c r="D36" s="54" t="s">
        <v>595</v>
      </c>
      <c r="E36" s="54" t="s">
        <v>594</v>
      </c>
      <c r="F36" s="54" t="s">
        <v>595</v>
      </c>
      <c r="G36" s="54" t="s">
        <v>594</v>
      </c>
      <c r="H36" s="54" t="s">
        <v>595</v>
      </c>
      <c r="I36" s="54"/>
      <c r="J36" s="391"/>
      <c r="K36" s="54" t="s">
        <v>594</v>
      </c>
      <c r="L36" s="54" t="s">
        <v>595</v>
      </c>
      <c r="M36" s="54" t="s">
        <v>594</v>
      </c>
      <c r="N36" s="54" t="s">
        <v>595</v>
      </c>
      <c r="O36" s="54" t="s">
        <v>594</v>
      </c>
      <c r="P36" s="54" t="s">
        <v>595</v>
      </c>
    </row>
    <row r="37" spans="2:18">
      <c r="B37" s="18" t="s">
        <v>600</v>
      </c>
      <c r="C37" s="54">
        <f>IF(I22&lt;Q22,$C$22*I22+$C$23*(Q22-I22),$C$22*Q22)+($C$25*365.25/12)</f>
        <v>197.59919562499999</v>
      </c>
      <c r="D37" s="54">
        <f>IF(J22&lt;R22,$C$22*J22+$C$23*(R22-J22),$C$22*R22)+($C$25*365.25/12)</f>
        <v>152.61431125000001</v>
      </c>
      <c r="E37" s="54">
        <f>IF(I22&lt;Q22,$D$22*I22+$D$23*(Q22-I22),$D$22*Q22)+($D$25*365.25/12)</f>
        <v>194.10722147094313</v>
      </c>
      <c r="F37" s="54">
        <f>IF(J22&lt;R22,$D$22*J22+$D$23*(R22-J22),$D$22*R22)+($D$25*365.25/12)</f>
        <v>155.42797245492142</v>
      </c>
      <c r="G37" s="54">
        <f>IF(I22&lt;Q22,$E$22*I22+$E$23*(Q22-I22),$E$22*Q22)+($E$25*365.25/12)</f>
        <v>194.10722147094313</v>
      </c>
      <c r="H37" s="54">
        <f>IF(J22&lt;R22,$E$22*J22+$E$23*(R22-J22),$E$22*R22)+($E$25*365.25/12)</f>
        <v>155.42797245492142</v>
      </c>
      <c r="I37" s="54"/>
      <c r="J37" s="18" t="s">
        <v>600</v>
      </c>
      <c r="K37" s="54">
        <f>IF(M22&lt;Y22,$C$22*M22+$C$23*(Y22-M22),$C$22*Y22)+($C$25*365.25/12)</f>
        <v>223.4626385</v>
      </c>
      <c r="L37" s="54">
        <f>IF(N22&lt;Z22,$C$22*N22+$C$23*(Z22-N22),$C$22*Z22)+($C$25*365.25/12)</f>
        <v>197.47228125000001</v>
      </c>
      <c r="M37" s="54">
        <f>IF(M22&lt;Y22,$D$22*M22+$D$23*(Y22-M22),$D$22*Y22)+($D$25*365.25/12)</f>
        <v>216.35116194766144</v>
      </c>
      <c r="N37" s="54">
        <f>IF(N22&lt;Z22,$D$22*N22+$D$23*(Z22-N22),$D$22*Z22)+($D$25*365.25/12)</f>
        <v>194.07926262260324</v>
      </c>
      <c r="O37" s="54">
        <f>IF(M22&lt;Y22,$E$22*M22+$E$23*(Y22-M22),$E$22*Y22)+($E$25*365.25/12)</f>
        <v>216.35116194766144</v>
      </c>
      <c r="P37" s="54">
        <f>IF(N22&lt;Z22,$E$22*N22+$E$23*(Z22-N22),$E$22*Z22)+($E$25*365.25/12)</f>
        <v>194.07926262260324</v>
      </c>
    </row>
    <row r="38" spans="2:18" ht="18">
      <c r="B38" s="18" t="s">
        <v>602</v>
      </c>
      <c r="C38" s="54">
        <f t="shared" ref="C38:C46" si="6">IF(I23&lt;Q23,$C$22*I23+$C$23*(Q23-I23),$C$22*Q23)+($C$25*365.25/12)</f>
        <v>139.39803025000001</v>
      </c>
      <c r="D38" s="54">
        <f t="shared" ref="D38:D46" si="7">IF(J23&lt;R23,$C$22*J23+$C$23*(R23-J23),$C$22*R23)+($C$25*365.25/12)</f>
        <v>163.99151125</v>
      </c>
      <c r="E38" s="54">
        <f t="shared" ref="E38:E45" si="8">IF(I23&lt;Q23,$D$22*I23+$D$23*(Q23-I23),$D$22*Q23)+($D$25*365.25/12)</f>
        <v>144.05390446718073</v>
      </c>
      <c r="F38" s="54">
        <f t="shared" ref="F38:F46" si="9">IF(J23&lt;R23,$D$22*J23+$D$23*(R23-J23),$D$22*R23)+($D$25*365.25/12)</f>
        <v>165.19635485213669</v>
      </c>
      <c r="G38" s="54">
        <f t="shared" ref="G38:G46" si="10">IF(I23&lt;Q23,$E$22*I23+$E$23*(Q23-I23),$E$22*Q23)+($E$25*365.25/12)</f>
        <v>144.05390446718073</v>
      </c>
      <c r="H38" s="54">
        <f t="shared" ref="H38:H46" si="11">IF(J23&lt;R23,$E$22*J23+$E$23*(R23-J23),$E$22*R23)+($E$25*365.25/12)</f>
        <v>165.19635485213669</v>
      </c>
      <c r="I38" s="54"/>
      <c r="J38" s="18" t="s">
        <v>602</v>
      </c>
      <c r="K38" s="54">
        <f t="shared" ref="K38:K46" si="12">IF(M23&lt;Y23,$C$22*M23+$C$23*(Y23-M23),$C$22*Y23)+($C$25*365.25/12)</f>
        <v>196.86933937500001</v>
      </c>
      <c r="L38" s="54">
        <f t="shared" ref="L38:L46" si="13">IF(N23&lt;Z23,$C$22*N23+$C$23*(Z23-N23),$C$22*Z23)+($C$25*365.25/12)</f>
        <v>235.35857999999999</v>
      </c>
      <c r="M38" s="54">
        <f>IF(M23&lt;Y23,$D$22*M23+$D$23*(Y23-M23),$D$22*Y23)+($D$25*365.25/12)</f>
        <v>193.3694728670572</v>
      </c>
      <c r="N38" s="54">
        <f t="shared" ref="N38:N46" si="14">IF(N23&lt;Z23,$D$22*N23+$D$23*(Z23-N23),$D$22*Z23)+($D$25*365.25/12)</f>
        <v>226.68126007426915</v>
      </c>
      <c r="O38" s="54">
        <f t="shared" ref="O38:O46" si="15">IF(M23&lt;Y23,$E$22*M23+$E$23*(Y23-M23),$E$22*Y23)+($E$25*365.25/12)</f>
        <v>193.3694728670572</v>
      </c>
      <c r="P38" s="54">
        <f t="shared" ref="P38:P46" si="16">IF(N23&lt;Z23,$E$22*N23+$E$23*(Z23-N23),$E$22*Z23)+($E$25*365.25/12)</f>
        <v>226.68126007426915</v>
      </c>
      <c r="R38" s="481"/>
    </row>
    <row r="39" spans="2:18" ht="18">
      <c r="B39" s="18" t="s">
        <v>603</v>
      </c>
      <c r="C39" s="54">
        <f t="shared" si="6"/>
        <v>297.127547875</v>
      </c>
      <c r="D39" s="54">
        <f t="shared" si="7"/>
        <v>155.1908895</v>
      </c>
      <c r="E39" s="54">
        <f t="shared" si="8"/>
        <v>279.65487492333006</v>
      </c>
      <c r="F39" s="54">
        <f t="shared" si="9"/>
        <v>157.62687216713636</v>
      </c>
      <c r="G39" s="54">
        <f t="shared" si="10"/>
        <v>279.65487492333006</v>
      </c>
      <c r="H39" s="54">
        <f t="shared" si="11"/>
        <v>157.62687216713636</v>
      </c>
      <c r="I39" s="54"/>
      <c r="J39" s="18" t="s">
        <v>603</v>
      </c>
      <c r="K39" s="54">
        <f t="shared" si="12"/>
        <v>287.75910262500003</v>
      </c>
      <c r="L39" s="54">
        <f t="shared" si="13"/>
        <v>189.14770125000001</v>
      </c>
      <c r="M39" s="54">
        <f t="shared" ref="M39:M46" si="17">IF(M24&lt;Y24,$D$22*M24+$D$23*(Y24-M24),$D$22*Y24)+($D$25*365.25/12)</f>
        <v>271.66007863407816</v>
      </c>
      <c r="N39" s="54">
        <f t="shared" si="14"/>
        <v>186.91577753959049</v>
      </c>
      <c r="O39" s="54">
        <f t="shared" si="15"/>
        <v>271.66007863407816</v>
      </c>
      <c r="P39" s="54">
        <f t="shared" si="16"/>
        <v>186.91577753959049</v>
      </c>
      <c r="R39" s="481"/>
    </row>
    <row r="40" spans="2:18" ht="18">
      <c r="B40" s="18" t="s">
        <v>604</v>
      </c>
      <c r="C40" s="54">
        <f t="shared" si="6"/>
        <v>245.96978125000001</v>
      </c>
      <c r="D40" s="54">
        <f t="shared" si="7"/>
        <v>155.59545100000003</v>
      </c>
      <c r="E40" s="54">
        <f t="shared" si="8"/>
        <v>235.67118946865665</v>
      </c>
      <c r="F40" s="54">
        <f t="shared" si="9"/>
        <v>157.96978180187475</v>
      </c>
      <c r="G40" s="54">
        <f t="shared" si="10"/>
        <v>235.67118946865665</v>
      </c>
      <c r="H40" s="54">
        <f t="shared" si="11"/>
        <v>157.96978180187475</v>
      </c>
      <c r="I40" s="54"/>
      <c r="J40" s="18" t="s">
        <v>604</v>
      </c>
      <c r="K40" s="54">
        <f t="shared" si="12"/>
        <v>243.62427025</v>
      </c>
      <c r="L40" s="54">
        <f t="shared" si="13"/>
        <v>184.27592999999999</v>
      </c>
      <c r="M40" s="54">
        <f t="shared" si="17"/>
        <v>233.71956611484021</v>
      </c>
      <c r="N40" s="54">
        <f t="shared" si="14"/>
        <v>182.72351070123645</v>
      </c>
      <c r="O40" s="54">
        <f t="shared" si="15"/>
        <v>233.71956611484021</v>
      </c>
      <c r="P40" s="54">
        <f t="shared" si="16"/>
        <v>182.72351070123645</v>
      </c>
      <c r="R40" s="481"/>
    </row>
    <row r="41" spans="2:18" ht="18">
      <c r="B41" s="18" t="s">
        <v>606</v>
      </c>
      <c r="C41" s="54">
        <f t="shared" si="6"/>
        <v>107.645616875</v>
      </c>
      <c r="D41" s="54">
        <f t="shared" si="7"/>
        <v>122.80712187500001</v>
      </c>
      <c r="E41" s="54">
        <f t="shared" si="8"/>
        <v>116.71818435393651</v>
      </c>
      <c r="F41" s="54">
        <f t="shared" si="9"/>
        <v>129.75796375937182</v>
      </c>
      <c r="G41" s="54">
        <f t="shared" si="10"/>
        <v>116.71818435393651</v>
      </c>
      <c r="H41" s="54">
        <f t="shared" si="11"/>
        <v>129.75796375937182</v>
      </c>
      <c r="I41" s="54"/>
      <c r="J41" s="18" t="s">
        <v>606</v>
      </c>
      <c r="K41" s="54">
        <f t="shared" si="12"/>
        <v>107.55780112500001</v>
      </c>
      <c r="L41" s="54">
        <f t="shared" si="13"/>
        <v>130.733745</v>
      </c>
      <c r="M41" s="54">
        <f t="shared" si="17"/>
        <v>116.65611829111242</v>
      </c>
      <c r="N41" s="54">
        <f t="shared" si="14"/>
        <v>136.64927709913181</v>
      </c>
      <c r="O41" s="54">
        <f t="shared" si="15"/>
        <v>116.65611829111242</v>
      </c>
      <c r="P41" s="54">
        <f t="shared" si="16"/>
        <v>136.64927709913181</v>
      </c>
      <c r="R41" s="481"/>
    </row>
    <row r="42" spans="2:18" ht="15" customHeight="1">
      <c r="B42" s="18" t="s">
        <v>607</v>
      </c>
      <c r="C42" s="54">
        <f t="shared" si="6"/>
        <v>128.06046362500001</v>
      </c>
      <c r="D42" s="54">
        <f t="shared" si="7"/>
        <v>145.11816862500001</v>
      </c>
      <c r="E42" s="54">
        <f t="shared" si="8"/>
        <v>134.25955740276083</v>
      </c>
      <c r="F42" s="54">
        <f t="shared" si="9"/>
        <v>148.92740054106537</v>
      </c>
      <c r="G42" s="54">
        <f t="shared" si="10"/>
        <v>134.25955740276083</v>
      </c>
      <c r="H42" s="54">
        <f t="shared" si="11"/>
        <v>148.92740054106537</v>
      </c>
      <c r="I42" s="54"/>
      <c r="J42" s="18" t="s">
        <v>607</v>
      </c>
      <c r="K42" s="54">
        <f t="shared" si="12"/>
        <v>158.50923950000001</v>
      </c>
      <c r="L42" s="54">
        <f t="shared" si="13"/>
        <v>189.33689625</v>
      </c>
      <c r="M42" s="54">
        <f t="shared" si="17"/>
        <v>160.47598369965746</v>
      </c>
      <c r="N42" s="54">
        <f t="shared" si="14"/>
        <v>187.07858401874989</v>
      </c>
      <c r="O42" s="54">
        <f t="shared" si="15"/>
        <v>160.47598369965746</v>
      </c>
      <c r="P42" s="54">
        <f t="shared" si="16"/>
        <v>187.07858401874989</v>
      </c>
      <c r="R42" s="481"/>
    </row>
    <row r="43" spans="2:18" ht="15" customHeight="1">
      <c r="B43" s="18" t="s">
        <v>608</v>
      </c>
      <c r="C43" s="54">
        <f t="shared" si="6"/>
        <v>326.65464600000001</v>
      </c>
      <c r="D43" s="54">
        <f t="shared" si="7"/>
        <v>139.338774</v>
      </c>
      <c r="E43" s="54">
        <f t="shared" si="8"/>
        <v>305.0399595756557</v>
      </c>
      <c r="F43" s="54">
        <f t="shared" si="9"/>
        <v>144.00302747552857</v>
      </c>
      <c r="G43" s="54">
        <f t="shared" si="10"/>
        <v>305.0399595756557</v>
      </c>
      <c r="H43" s="54">
        <f t="shared" si="11"/>
        <v>144.00302747552857</v>
      </c>
      <c r="I43" s="54"/>
      <c r="J43" s="18" t="s">
        <v>608</v>
      </c>
      <c r="K43" s="54">
        <f t="shared" si="12"/>
        <v>312.24132450000002</v>
      </c>
      <c r="L43" s="54">
        <f t="shared" si="13"/>
        <v>155.70748499999999</v>
      </c>
      <c r="M43" s="54">
        <f t="shared" si="17"/>
        <v>292.73588853845149</v>
      </c>
      <c r="N43" s="54">
        <f t="shared" si="14"/>
        <v>158.13973234817004</v>
      </c>
      <c r="O43" s="54">
        <f t="shared" si="15"/>
        <v>292.73588853845149</v>
      </c>
      <c r="P43" s="54">
        <f t="shared" si="16"/>
        <v>158.13973234817004</v>
      </c>
      <c r="R43" s="481"/>
    </row>
    <row r="44" spans="2:18" ht="15" customHeight="1">
      <c r="B44" s="18" t="s">
        <v>118</v>
      </c>
      <c r="C44" s="54">
        <f t="shared" si="6"/>
        <v>167.60400525</v>
      </c>
      <c r="D44" s="54">
        <f t="shared" si="7"/>
        <v>161.673264125</v>
      </c>
      <c r="E44" s="54">
        <f t="shared" si="8"/>
        <v>168.27135249361035</v>
      </c>
      <c r="F44" s="54">
        <f t="shared" si="9"/>
        <v>163.17703867498068</v>
      </c>
      <c r="G44" s="54">
        <f t="shared" si="10"/>
        <v>168.27135249361035</v>
      </c>
      <c r="H44" s="54">
        <f t="shared" si="11"/>
        <v>163.17703867498068</v>
      </c>
      <c r="I44" s="54"/>
      <c r="J44" s="18" t="s">
        <v>118</v>
      </c>
      <c r="K44" s="54">
        <f t="shared" si="12"/>
        <v>165.46352687500001</v>
      </c>
      <c r="L44" s="54">
        <f t="shared" si="13"/>
        <v>174.60479175</v>
      </c>
      <c r="M44" s="54">
        <f t="shared" si="17"/>
        <v>166.40466729141079</v>
      </c>
      <c r="N44" s="54">
        <f t="shared" si="14"/>
        <v>174.38883290579881</v>
      </c>
      <c r="O44" s="54">
        <f t="shared" si="15"/>
        <v>166.40466729141079</v>
      </c>
      <c r="P44" s="54">
        <f t="shared" si="16"/>
        <v>174.38883290579881</v>
      </c>
      <c r="R44" s="481"/>
    </row>
    <row r="45" spans="2:18">
      <c r="B45" s="18" t="s">
        <v>609</v>
      </c>
      <c r="C45" s="54">
        <f t="shared" si="6"/>
        <v>134.39706187499999</v>
      </c>
      <c r="D45" s="54">
        <f t="shared" si="7"/>
        <v>119.05095375000001</v>
      </c>
      <c r="E45" s="54">
        <f t="shared" si="8"/>
        <v>139.77566275064046</v>
      </c>
      <c r="F45" s="54">
        <f t="shared" si="9"/>
        <v>126.59597701104008</v>
      </c>
      <c r="G45" s="54">
        <f t="shared" si="10"/>
        <v>139.77566275064046</v>
      </c>
      <c r="H45" s="54">
        <f t="shared" si="11"/>
        <v>126.59597701104008</v>
      </c>
      <c r="I45" s="54"/>
      <c r="J45" s="18" t="s">
        <v>609</v>
      </c>
      <c r="K45" s="54">
        <f t="shared" si="12"/>
        <v>132.15270749999999</v>
      </c>
      <c r="L45" s="54">
        <f t="shared" si="13"/>
        <v>129.55127625</v>
      </c>
      <c r="M45" s="54">
        <f t="shared" si="17"/>
        <v>137.87032569282718</v>
      </c>
      <c r="N45" s="54">
        <f t="shared" si="14"/>
        <v>135.63173660438568</v>
      </c>
      <c r="O45" s="54">
        <f t="shared" si="15"/>
        <v>137.87032569282718</v>
      </c>
      <c r="P45" s="54">
        <f t="shared" si="16"/>
        <v>135.63173660438568</v>
      </c>
    </row>
    <row r="46" spans="2:18">
      <c r="B46" s="18" t="s">
        <v>610</v>
      </c>
      <c r="C46" s="54">
        <f t="shared" si="6"/>
        <v>76.564645124999998</v>
      </c>
      <c r="D46" s="54">
        <f t="shared" si="7"/>
        <v>64.751988749999995</v>
      </c>
      <c r="E46" s="54">
        <f>IF(I31&lt;Q31,$D$22*I31+$D$23*(Q31-I31),$D$22*Q31)+($D$25*365.25/12)</f>
        <v>90.01895280772284</v>
      </c>
      <c r="F46" s="54">
        <f t="shared" si="9"/>
        <v>79.870517492297921</v>
      </c>
      <c r="G46" s="54">
        <f t="shared" si="10"/>
        <v>90.01895280772284</v>
      </c>
      <c r="H46" s="54">
        <f t="shared" si="11"/>
        <v>79.870517492297921</v>
      </c>
      <c r="I46" s="54"/>
      <c r="J46" s="18" t="s">
        <v>610</v>
      </c>
      <c r="K46" s="54">
        <f t="shared" si="12"/>
        <v>77.198136625000004</v>
      </c>
      <c r="L46" s="54">
        <f t="shared" si="13"/>
        <v>63.758715000000002</v>
      </c>
      <c r="M46" s="54">
        <f t="shared" si="17"/>
        <v>90.580639951551447</v>
      </c>
      <c r="N46" s="54">
        <f t="shared" si="14"/>
        <v>79.015783476711178</v>
      </c>
      <c r="O46" s="54">
        <f t="shared" si="15"/>
        <v>90.580639951551447</v>
      </c>
      <c r="P46" s="54">
        <f t="shared" si="16"/>
        <v>79.015783476711178</v>
      </c>
    </row>
    <row r="47" spans="2:18" s="423" customFormat="1">
      <c r="B47" s="18" t="s">
        <v>617</v>
      </c>
      <c r="C47" s="68">
        <f t="shared" ref="C47:H47" si="18">SUMPRODUCT(C37:C46,$U$22:$U$31)</f>
        <v>253.0318413746771</v>
      </c>
      <c r="D47" s="68">
        <f t="shared" si="18"/>
        <v>151.31337681086688</v>
      </c>
      <c r="E47" s="68">
        <f t="shared" si="18"/>
        <v>241.74091860757559</v>
      </c>
      <c r="F47" s="68">
        <f t="shared" si="18"/>
        <v>154.29029068644891</v>
      </c>
      <c r="G47" s="68">
        <f t="shared" si="18"/>
        <v>241.74091860757559</v>
      </c>
      <c r="H47" s="68">
        <f t="shared" si="18"/>
        <v>154.29029068644891</v>
      </c>
      <c r="I47" s="68"/>
      <c r="J47" s="18" t="s">
        <v>617</v>
      </c>
      <c r="K47" s="68">
        <f t="shared" ref="K47:P47" si="19">SUMPRODUCT(K37:K46,$AC$22:$AC$31)</f>
        <v>234.81223561170768</v>
      </c>
      <c r="L47" s="68">
        <f t="shared" si="19"/>
        <v>176.6403878255326</v>
      </c>
      <c r="M47" s="68">
        <f t="shared" si="19"/>
        <v>226.12697867475751</v>
      </c>
      <c r="N47" s="68">
        <f t="shared" si="19"/>
        <v>176.15235372568586</v>
      </c>
      <c r="O47" s="68">
        <f t="shared" si="19"/>
        <v>226.12697867475751</v>
      </c>
      <c r="P47" s="68">
        <f t="shared" si="19"/>
        <v>176.15235372568586</v>
      </c>
    </row>
    <row r="48" spans="2:18">
      <c r="B48" s="391"/>
      <c r="C48" s="54"/>
      <c r="D48" s="54"/>
      <c r="E48" s="69"/>
      <c r="F48" s="424"/>
      <c r="G48" s="426"/>
      <c r="H48" s="426"/>
      <c r="I48" s="426"/>
      <c r="J48" s="391"/>
      <c r="K48" s="54"/>
      <c r="L48" s="54"/>
      <c r="M48" s="69"/>
      <c r="N48" s="424"/>
      <c r="O48" s="426"/>
      <c r="P48" s="426"/>
    </row>
    <row r="49" spans="2:16">
      <c r="B49" s="391"/>
      <c r="C49" s="54"/>
      <c r="D49" s="54"/>
      <c r="E49" s="69"/>
      <c r="F49" s="54"/>
      <c r="G49" s="426"/>
      <c r="H49" s="426"/>
      <c r="I49" s="426"/>
      <c r="J49" s="391"/>
      <c r="K49" s="54"/>
      <c r="L49" s="54"/>
      <c r="M49" s="69"/>
      <c r="N49" s="54"/>
      <c r="O49" s="426"/>
      <c r="P49" s="426"/>
    </row>
    <row r="50" spans="2:16">
      <c r="B50" s="391"/>
      <c r="C50" s="524" t="s">
        <v>620</v>
      </c>
      <c r="D50" s="524"/>
      <c r="E50" s="524"/>
      <c r="F50" s="524"/>
      <c r="G50" s="524"/>
      <c r="H50" s="524"/>
      <c r="J50" s="391"/>
      <c r="K50" s="524" t="s">
        <v>680</v>
      </c>
      <c r="L50" s="524"/>
      <c r="M50" s="524"/>
      <c r="N50" s="524"/>
      <c r="O50" s="524"/>
      <c r="P50" s="524"/>
    </row>
    <row r="51" spans="2:16">
      <c r="B51" s="391"/>
      <c r="C51" s="526">
        <f>$C$21</f>
        <v>46023</v>
      </c>
      <c r="D51" s="526"/>
      <c r="E51" s="525">
        <f>D27</f>
        <v>46082</v>
      </c>
      <c r="F51" s="525"/>
      <c r="G51" s="527" t="str">
        <f>E27</f>
        <v>Proposed</v>
      </c>
      <c r="H51" s="527"/>
      <c r="I51" s="88"/>
      <c r="J51" s="391"/>
      <c r="K51" s="526">
        <f>$C$21</f>
        <v>46023</v>
      </c>
      <c r="L51" s="526"/>
      <c r="M51" s="525">
        <f>$D$21</f>
        <v>46082</v>
      </c>
      <c r="N51" s="525"/>
      <c r="O51" s="527" t="str">
        <f>$E$21</f>
        <v>Proposed</v>
      </c>
      <c r="P51" s="527"/>
    </row>
    <row r="52" spans="2:16">
      <c r="B52" s="391"/>
      <c r="C52" s="54" t="s">
        <v>594</v>
      </c>
      <c r="D52" s="54" t="s">
        <v>595</v>
      </c>
      <c r="E52" s="54" t="s">
        <v>594</v>
      </c>
      <c r="F52" s="54" t="s">
        <v>595</v>
      </c>
      <c r="G52" s="54" t="s">
        <v>594</v>
      </c>
      <c r="H52" s="54" t="s">
        <v>595</v>
      </c>
      <c r="I52" s="54"/>
      <c r="J52" s="391"/>
      <c r="K52" s="54" t="s">
        <v>594</v>
      </c>
      <c r="L52" s="54" t="s">
        <v>595</v>
      </c>
      <c r="M52" s="54" t="s">
        <v>594</v>
      </c>
      <c r="N52" s="54" t="s">
        <v>595</v>
      </c>
      <c r="O52" s="54" t="s">
        <v>594</v>
      </c>
      <c r="P52" s="54" t="s">
        <v>595</v>
      </c>
    </row>
    <row r="53" spans="2:16">
      <c r="B53" s="18" t="s">
        <v>600</v>
      </c>
      <c r="C53" s="54">
        <f>IF(I22&lt;S22,$C$28*I22+$C$29*(S22-I22),$C$28*S22)+($C$31*365.25/12)</f>
        <v>150.99649593750001</v>
      </c>
      <c r="D53" s="54">
        <f>IF(J22&lt;T22,$C$28*J22+$C$29*(T22-J22),$C$28*T22)+($C$31*365.25/12)</f>
        <v>128.27725562500001</v>
      </c>
      <c r="E53" s="54">
        <f>IF(I22&lt;S22,$D$28*I22+$D$29*(S22-I22),$D$28*S22)+($D$31*365.25/12)</f>
        <v>137.72208836014437</v>
      </c>
      <c r="F53" s="54">
        <f>IF(J22&lt;T22,$D$28*J22+$D$29*(T22-J22),$D$28*T22)+($D$30*365.25/12)</f>
        <v>119.62352231498518</v>
      </c>
      <c r="G53" s="54">
        <f>IF(I22&lt;S22,$E$28*I22+$E$29*(S22-I22),$E$28*S22)+($E$31*365.25/12)</f>
        <v>137.72208836014437</v>
      </c>
      <c r="H53" s="54">
        <f>IF(J22&lt;T22,$E$28*J22+$E$29*(T22-J22),$E$28*T22)+($E$31*365.25/12)</f>
        <v>117.88677954259211</v>
      </c>
      <c r="I53" s="54"/>
      <c r="J53" s="18" t="s">
        <v>600</v>
      </c>
      <c r="K53" s="54">
        <f>IF(M22&lt;AA22,$C$28*M22+$C$29*(AA22-M22),$C$28*AA22)+($C$31*365.25/12)</f>
        <v>169.41792699999999</v>
      </c>
      <c r="L53" s="54">
        <f>IF(N22&lt;AB22,$C$28*N22+$C$29*(AB22-N22),$C$28*AB22)+($C$31*365.25/12)</f>
        <v>157.77196000000001</v>
      </c>
      <c r="M53" s="54">
        <f>IF(M22&lt;AA22,$D$28*M22+$D$29*(AA22-M22),$D$28*AA22)+($D$31*365.25/12)</f>
        <v>153.7938844844208</v>
      </c>
      <c r="N53" s="54">
        <f>IF(N22&lt;AB22,$D$28*N22+$D$29*(AB22-N22),$D$28*AB22)+($D$31*365.25/12)</f>
        <v>143.92207230238142</v>
      </c>
      <c r="O53" s="54">
        <f>IF(M22&lt;AA22,$E$28*M22+$E$29*(AA22-M22),$E$28*AA22)+($E$31*365.25/12)</f>
        <v>153.7938844844208</v>
      </c>
      <c r="P53" s="54">
        <f>IF(N22&lt;AB22,$E$28*N22+$E$29*(AB22-N22),$E$28*AB22)+($E$31*365.25/12)</f>
        <v>143.92207230238142</v>
      </c>
    </row>
    <row r="54" spans="2:16">
      <c r="B54" s="18" t="s">
        <v>602</v>
      </c>
      <c r="C54" s="54">
        <f t="shared" ref="C54:C62" si="20">IF(I23&lt;S23,$C$28*I23+$C$29*(S23-I23),$C$28*S23)+($C$31*365.25/12)</f>
        <v>76.123203625000002</v>
      </c>
      <c r="D54" s="54">
        <f t="shared" ref="D54:D62" si="21">IF(J23&lt;T23,$C$28*J23+$C$29*(T23-J23),$C$28*T23)+($C$31*365.25/12)</f>
        <v>108.100965625</v>
      </c>
      <c r="E54" s="54">
        <f>IF(I23&lt;S23,$D$28*I23+$D$29*(S23-I23),$D$28*S23)+($D$31*365.25/12)</f>
        <v>72.509285299895737</v>
      </c>
      <c r="F54" s="54">
        <f t="shared" ref="F54:F62" si="22">IF(J23&lt;T23,$D$28*J23+$D$29*(T23-J23),$D$28*T23)+($D$30*365.25/12)</f>
        <v>102.08478715949856</v>
      </c>
      <c r="G54" s="54">
        <f t="shared" ref="G54:G61" si="23">IF(I23&lt;S23,$E$28*I23+$E$29*(S23-I23),$E$28*S23)+($E$31*365.25/12)</f>
        <v>72.509285299895737</v>
      </c>
      <c r="H54" s="54">
        <f t="shared" ref="H54:H62" si="24">IF(J23&lt;T23,$E$28*J23+$E$29*(T23-J23),$E$28*T23)+($E$31*365.25/12)</f>
        <v>100.34804438710549</v>
      </c>
      <c r="I54" s="54"/>
      <c r="J54" s="18" t="s">
        <v>602</v>
      </c>
      <c r="K54" s="54">
        <f t="shared" ref="K54:K61" si="25">IF(M23&lt;AA23,$C$28*M23+$C$29*(AA23-M23),$C$28*AA23)+($C$31*365.25/12)</f>
        <v>133.04455531249999</v>
      </c>
      <c r="L54" s="54">
        <f t="shared" ref="L54:L62" si="26">IF(N23&lt;AB23,$C$28*N23+$C$29*(AB23-N23),$C$28*AB23)+($C$31*365.25/12)</f>
        <v>146.40386000000001</v>
      </c>
      <c r="M54" s="54">
        <f t="shared" ref="M54:M62" si="27">IF(M23&lt;AA23,$D$28*M23+$D$29*(AA23-M23),$D$28*AA23)+($D$31*365.25/12)</f>
        <v>121.94482006729697</v>
      </c>
      <c r="N54" s="54">
        <f t="shared" ref="N54:N62" si="28">IF(N23&lt;AB23,$D$28*N23+$D$29*(AB23-N23),$D$28*AB23)+($D$31*365.25/12)</f>
        <v>133.98423600915987</v>
      </c>
      <c r="O54" s="54">
        <f t="shared" ref="O54:O62" si="29">IF(M23&lt;AA23,$E$28*M23+$E$29*(AA23-M23),$E$28*AA23)+($E$31*365.25/12)</f>
        <v>121.94482006729697</v>
      </c>
      <c r="P54" s="54">
        <f t="shared" ref="P54:P62" si="30">IF(N23&lt;AB23,$E$28*N23+$E$29*(AB23-N23),$E$28*AB23)+($E$31*365.25/12)</f>
        <v>133.98423600915987</v>
      </c>
    </row>
    <row r="55" spans="2:16">
      <c r="B55" s="18" t="s">
        <v>603</v>
      </c>
      <c r="C55" s="54">
        <f t="shared" si="20"/>
        <v>218.70992606250002</v>
      </c>
      <c r="D55" s="54">
        <f t="shared" si="21"/>
        <v>109.96737025</v>
      </c>
      <c r="E55" s="54">
        <f t="shared" ref="E55:E62" si="31">IF(I24&lt;S24,$D$28*I24+$D$29*(S24-I24),$D$28*S24)+($D$31*365.25/12)</f>
        <v>196.72821587088384</v>
      </c>
      <c r="F55" s="54">
        <f t="shared" si="22"/>
        <v>103.68655276708066</v>
      </c>
      <c r="G55" s="54">
        <f t="shared" si="23"/>
        <v>196.72821587088384</v>
      </c>
      <c r="H55" s="54">
        <f t="shared" si="24"/>
        <v>101.94980999468758</v>
      </c>
      <c r="I55" s="54"/>
      <c r="J55" s="18" t="s">
        <v>603</v>
      </c>
      <c r="K55" s="54">
        <f t="shared" si="25"/>
        <v>218.56750493750002</v>
      </c>
      <c r="L55" s="54">
        <f t="shared" si="26"/>
        <v>137.05036000000001</v>
      </c>
      <c r="M55" s="54">
        <f t="shared" si="27"/>
        <v>196.68013831428914</v>
      </c>
      <c r="N55" s="54">
        <f t="shared" si="28"/>
        <v>125.8075352615725</v>
      </c>
      <c r="O55" s="54">
        <f t="shared" si="29"/>
        <v>196.68013831428914</v>
      </c>
      <c r="P55" s="54">
        <f t="shared" si="30"/>
        <v>125.8075352615725</v>
      </c>
    </row>
    <row r="56" spans="2:16">
      <c r="B56" s="18" t="s">
        <v>604</v>
      </c>
      <c r="C56" s="54">
        <f t="shared" si="20"/>
        <v>179.007301875</v>
      </c>
      <c r="D56" s="54">
        <f t="shared" si="21"/>
        <v>108.37206262500001</v>
      </c>
      <c r="E56" s="54">
        <f t="shared" si="31"/>
        <v>162.1227997560533</v>
      </c>
      <c r="F56" s="54">
        <f t="shared" si="22"/>
        <v>102.2929083329543</v>
      </c>
      <c r="G56" s="54">
        <f t="shared" si="23"/>
        <v>162.1227997560533</v>
      </c>
      <c r="H56" s="54">
        <f t="shared" si="24"/>
        <v>100.55616556056123</v>
      </c>
      <c r="I56" s="54"/>
      <c r="J56" s="18" t="s">
        <v>604</v>
      </c>
      <c r="K56" s="54">
        <f t="shared" si="25"/>
        <v>180.87290862500001</v>
      </c>
      <c r="L56" s="54">
        <f t="shared" si="26"/>
        <v>127.40906</v>
      </c>
      <c r="M56" s="54">
        <f t="shared" si="27"/>
        <v>163.84090211086487</v>
      </c>
      <c r="N56" s="54">
        <f t="shared" si="28"/>
        <v>117.37924372175166</v>
      </c>
      <c r="O56" s="54">
        <f t="shared" si="29"/>
        <v>163.84090211086487</v>
      </c>
      <c r="P56" s="54">
        <f t="shared" si="30"/>
        <v>117.37924372175166</v>
      </c>
    </row>
    <row r="57" spans="2:16">
      <c r="B57" s="18" t="s">
        <v>606</v>
      </c>
      <c r="C57" s="54">
        <f t="shared" si="20"/>
        <v>66.2121390625</v>
      </c>
      <c r="D57" s="54">
        <f t="shared" si="21"/>
        <v>75.7238296875</v>
      </c>
      <c r="E57" s="54">
        <f t="shared" si="31"/>
        <v>63.780260986110648</v>
      </c>
      <c r="F57" s="54">
        <f t="shared" si="22"/>
        <v>73.819694908357306</v>
      </c>
      <c r="G57" s="54">
        <f t="shared" si="23"/>
        <v>63.780260986110648</v>
      </c>
      <c r="H57" s="54">
        <f t="shared" si="24"/>
        <v>72.082952135964234</v>
      </c>
      <c r="I57" s="54"/>
      <c r="J57" s="18" t="s">
        <v>606</v>
      </c>
      <c r="K57" s="54">
        <f t="shared" si="25"/>
        <v>63.395401937499997</v>
      </c>
      <c r="L57" s="54">
        <f t="shared" si="26"/>
        <v>76.928939999999997</v>
      </c>
      <c r="M57" s="54">
        <f t="shared" si="27"/>
        <v>61.352395534248394</v>
      </c>
      <c r="N57" s="54">
        <f t="shared" si="28"/>
        <v>73.250218764003208</v>
      </c>
      <c r="O57" s="54">
        <f t="shared" si="29"/>
        <v>61.352395534248394</v>
      </c>
      <c r="P57" s="54">
        <f t="shared" si="30"/>
        <v>73.250218764003208</v>
      </c>
    </row>
    <row r="58" spans="2:16">
      <c r="B58" s="18" t="s">
        <v>607</v>
      </c>
      <c r="C58" s="54">
        <f t="shared" si="20"/>
        <v>69.682216937500002</v>
      </c>
      <c r="D58" s="54">
        <f t="shared" si="21"/>
        <v>86.321401312500001</v>
      </c>
      <c r="E58" s="54">
        <f t="shared" si="31"/>
        <v>66.817363734871037</v>
      </c>
      <c r="F58" s="54">
        <f t="shared" si="22"/>
        <v>83.05254648921894</v>
      </c>
      <c r="G58" s="54">
        <f t="shared" si="23"/>
        <v>66.817363734871037</v>
      </c>
      <c r="H58" s="54">
        <f t="shared" si="24"/>
        <v>81.315803716825869</v>
      </c>
      <c r="I58" s="54"/>
      <c r="J58" s="18" t="s">
        <v>607</v>
      </c>
      <c r="K58" s="54">
        <f t="shared" si="25"/>
        <v>99.988878999999997</v>
      </c>
      <c r="L58" s="54">
        <f t="shared" si="26"/>
        <v>130.05681999999999</v>
      </c>
      <c r="M58" s="54">
        <f t="shared" si="27"/>
        <v>93.275761629745844</v>
      </c>
      <c r="N58" s="54">
        <f t="shared" si="28"/>
        <v>119.69387901029947</v>
      </c>
      <c r="O58" s="54">
        <f t="shared" si="29"/>
        <v>93.275761629745844</v>
      </c>
      <c r="P58" s="54">
        <f t="shared" si="30"/>
        <v>119.69387901029947</v>
      </c>
    </row>
    <row r="59" spans="2:16">
      <c r="B59" s="18" t="s">
        <v>608</v>
      </c>
      <c r="C59" s="54">
        <f t="shared" si="20"/>
        <v>236.70568950000001</v>
      </c>
      <c r="D59" s="54">
        <f t="shared" si="21"/>
        <v>102.47665487500001</v>
      </c>
      <c r="E59" s="54">
        <f t="shared" si="31"/>
        <v>212.42310583091719</v>
      </c>
      <c r="F59" s="54">
        <f t="shared" si="22"/>
        <v>97.154412215596508</v>
      </c>
      <c r="G59" s="54">
        <f t="shared" si="23"/>
        <v>212.42310583091719</v>
      </c>
      <c r="H59" s="54">
        <f t="shared" si="24"/>
        <v>95.417669443203437</v>
      </c>
      <c r="I59" s="54"/>
      <c r="J59" s="18" t="s">
        <v>608</v>
      </c>
      <c r="K59" s="54">
        <f t="shared" si="25"/>
        <v>238.9840165</v>
      </c>
      <c r="L59" s="54">
        <f t="shared" si="26"/>
        <v>109.39278</v>
      </c>
      <c r="M59" s="54">
        <f t="shared" si="27"/>
        <v>214.51374366300868</v>
      </c>
      <c r="N59" s="54">
        <f t="shared" si="28"/>
        <v>101.62966012793721</v>
      </c>
      <c r="O59" s="54">
        <f t="shared" si="29"/>
        <v>214.51374366300868</v>
      </c>
      <c r="P59" s="54">
        <f t="shared" si="30"/>
        <v>101.62966012793721</v>
      </c>
    </row>
    <row r="60" spans="2:16">
      <c r="B60" s="18" t="s">
        <v>118</v>
      </c>
      <c r="C60" s="54">
        <f t="shared" si="20"/>
        <v>95.714673625000003</v>
      </c>
      <c r="D60" s="54">
        <f t="shared" si="21"/>
        <v>93.637726062499993</v>
      </c>
      <c r="E60" s="54">
        <f t="shared" si="31"/>
        <v>89.539651320440711</v>
      </c>
      <c r="F60" s="54">
        <f t="shared" si="22"/>
        <v>89.467514393085764</v>
      </c>
      <c r="G60" s="54">
        <f t="shared" si="23"/>
        <v>89.539651320440711</v>
      </c>
      <c r="H60" s="54">
        <f t="shared" si="24"/>
        <v>87.730771620692693</v>
      </c>
      <c r="I60" s="54"/>
      <c r="J60" s="18" t="s">
        <v>118</v>
      </c>
      <c r="K60" s="54">
        <f t="shared" si="25"/>
        <v>94.007820312500002</v>
      </c>
      <c r="L60" s="54">
        <f t="shared" si="26"/>
        <v>100.96024</v>
      </c>
      <c r="M60" s="54">
        <f t="shared" si="27"/>
        <v>88.011180309942446</v>
      </c>
      <c r="N60" s="54">
        <f t="shared" si="28"/>
        <v>94.258049915496912</v>
      </c>
      <c r="O60" s="54">
        <f t="shared" si="29"/>
        <v>88.011180309942446</v>
      </c>
      <c r="P60" s="54">
        <f t="shared" si="30"/>
        <v>94.258049915496912</v>
      </c>
    </row>
    <row r="61" spans="2:16">
      <c r="B61" s="18" t="s">
        <v>609</v>
      </c>
      <c r="C61" s="54">
        <f t="shared" si="20"/>
        <v>125.6779340625</v>
      </c>
      <c r="D61" s="54">
        <f t="shared" si="21"/>
        <v>122.1667231875</v>
      </c>
      <c r="E61" s="54">
        <f t="shared" si="31"/>
        <v>115.61004515276261</v>
      </c>
      <c r="F61" s="54">
        <f t="shared" si="22"/>
        <v>114.31523412555022</v>
      </c>
      <c r="G61" s="54">
        <f t="shared" si="23"/>
        <v>115.61004515276261</v>
      </c>
      <c r="H61" s="54">
        <f t="shared" si="24"/>
        <v>112.57849135315715</v>
      </c>
      <c r="I61" s="54"/>
      <c r="J61" s="18" t="s">
        <v>609</v>
      </c>
      <c r="K61" s="54">
        <f t="shared" si="25"/>
        <v>145.939875</v>
      </c>
      <c r="L61" s="54">
        <f t="shared" si="26"/>
        <v>149.10918000000001</v>
      </c>
      <c r="M61" s="54">
        <f t="shared" si="27"/>
        <v>133.27486551069481</v>
      </c>
      <c r="N61" s="54">
        <f t="shared" si="28"/>
        <v>136.34918945615436</v>
      </c>
      <c r="O61" s="54">
        <f t="shared" si="29"/>
        <v>133.27486551069481</v>
      </c>
      <c r="P61" s="54">
        <f t="shared" si="30"/>
        <v>136.34918945615436</v>
      </c>
    </row>
    <row r="62" spans="2:16">
      <c r="B62" s="18" t="s">
        <v>610</v>
      </c>
      <c r="C62" s="54">
        <f t="shared" si="20"/>
        <v>51.7035836875</v>
      </c>
      <c r="D62" s="54">
        <f t="shared" si="21"/>
        <v>74.096153624999999</v>
      </c>
      <c r="E62" s="54">
        <f t="shared" si="31"/>
        <v>51.147690815326797</v>
      </c>
      <c r="F62" s="54">
        <f t="shared" si="22"/>
        <v>72.415123756823064</v>
      </c>
      <c r="G62" s="54">
        <f>IF(I31&lt;S31,$E$28*I31+$E$29*(S31-I31),$E$28*S31)+($E$31*365.25/12)</f>
        <v>51.147690815326797</v>
      </c>
      <c r="H62" s="54">
        <f t="shared" si="24"/>
        <v>70.678380984429992</v>
      </c>
      <c r="I62" s="54"/>
      <c r="J62" s="18" t="s">
        <v>610</v>
      </c>
      <c r="K62" s="54">
        <f>IF(M31&lt;AA31,$C$28*M31+$C$29*(AA31-M31),$C$28*AA31)+($C$31*365.25/12)</f>
        <v>88.203044187499998</v>
      </c>
      <c r="L62" s="54">
        <f t="shared" si="26"/>
        <v>103.37775999999999</v>
      </c>
      <c r="M62" s="54">
        <f t="shared" si="27"/>
        <v>82.903279001326723</v>
      </c>
      <c r="N62" s="54">
        <f t="shared" si="28"/>
        <v>96.371412570257959</v>
      </c>
      <c r="O62" s="54">
        <f t="shared" si="29"/>
        <v>82.903279001326723</v>
      </c>
      <c r="P62" s="54">
        <f t="shared" si="30"/>
        <v>96.371412570257959</v>
      </c>
    </row>
    <row r="63" spans="2:16">
      <c r="B63" s="18" t="s">
        <v>617</v>
      </c>
      <c r="C63" s="68">
        <f t="shared" ref="C63:H63" si="32">SUMPRODUCT(C53:C62,$V$22:$V$31)</f>
        <v>202.48994298604629</v>
      </c>
      <c r="D63" s="68">
        <f t="shared" si="32"/>
        <v>106.96460265565565</v>
      </c>
      <c r="E63" s="68">
        <f t="shared" si="32"/>
        <v>182.59301418424832</v>
      </c>
      <c r="F63" s="68">
        <f t="shared" si="32"/>
        <v>101.06710477590713</v>
      </c>
      <c r="G63" s="68">
        <f t="shared" si="32"/>
        <v>182.59301418424832</v>
      </c>
      <c r="H63" s="68">
        <f t="shared" si="32"/>
        <v>99.33036200351404</v>
      </c>
      <c r="I63" s="68"/>
      <c r="J63" s="18" t="s">
        <v>617</v>
      </c>
      <c r="K63" s="68">
        <f t="shared" ref="K63:P63" si="33">SUMPRODUCT(K53:K62,$AD$22:$AD$31)</f>
        <v>192.88263196792494</v>
      </c>
      <c r="L63" s="68">
        <f t="shared" si="33"/>
        <v>132.17970580081848</v>
      </c>
      <c r="M63" s="68">
        <f t="shared" si="33"/>
        <v>174.28482639765664</v>
      </c>
      <c r="N63" s="68">
        <f t="shared" si="33"/>
        <v>121.54967651012252</v>
      </c>
      <c r="O63" s="68">
        <f t="shared" si="33"/>
        <v>174.28482639765664</v>
      </c>
      <c r="P63" s="68">
        <f t="shared" si="33"/>
        <v>121.54967651012252</v>
      </c>
    </row>
    <row r="64" spans="2:16">
      <c r="B64" s="391"/>
      <c r="C64" s="54"/>
      <c r="D64" s="54"/>
      <c r="E64" s="69"/>
      <c r="F64" s="54"/>
      <c r="G64" s="426"/>
      <c r="H64" s="426"/>
      <c r="I64" s="426"/>
      <c r="J64" s="391"/>
      <c r="K64" s="54"/>
      <c r="L64" s="54"/>
      <c r="M64" s="69"/>
      <c r="N64" s="54"/>
      <c r="O64" s="426"/>
      <c r="P64" s="426"/>
    </row>
    <row r="65" spans="2:16">
      <c r="B65" s="391"/>
      <c r="C65" s="54"/>
      <c r="D65" s="54"/>
      <c r="E65" s="69"/>
      <c r="G65" s="426"/>
      <c r="H65" s="426"/>
      <c r="I65" s="426"/>
      <c r="J65" s="391"/>
      <c r="K65" s="54"/>
      <c r="L65" s="54"/>
      <c r="M65" s="69"/>
      <c r="O65" s="426"/>
      <c r="P65" s="426"/>
    </row>
    <row r="66" spans="2:16">
      <c r="B66" s="391"/>
      <c r="C66" s="524" t="s">
        <v>625</v>
      </c>
      <c r="D66" s="524"/>
      <c r="E66" s="524"/>
      <c r="F66" s="524"/>
      <c r="G66" s="524"/>
      <c r="H66" s="524"/>
      <c r="J66" s="391"/>
      <c r="K66" s="524" t="s">
        <v>626</v>
      </c>
      <c r="L66" s="524"/>
      <c r="M66" s="524"/>
      <c r="N66" s="524"/>
      <c r="O66" s="524"/>
      <c r="P66" s="524"/>
    </row>
    <row r="67" spans="2:16">
      <c r="B67" s="391"/>
      <c r="C67" s="525">
        <f>$C$27</f>
        <v>46023</v>
      </c>
      <c r="D67" s="526"/>
      <c r="E67" s="525">
        <f>$D$27</f>
        <v>46082</v>
      </c>
      <c r="F67" s="526"/>
      <c r="G67" s="527" t="str">
        <f>$E$21</f>
        <v>Proposed</v>
      </c>
      <c r="H67" s="527"/>
      <c r="I67" s="88"/>
      <c r="J67" s="391"/>
      <c r="K67" s="525">
        <f>$C$27</f>
        <v>46023</v>
      </c>
      <c r="L67" s="526"/>
      <c r="M67" s="525">
        <f>$D$21</f>
        <v>46082</v>
      </c>
      <c r="N67" s="526"/>
      <c r="O67" s="527" t="str">
        <f>$E$21</f>
        <v>Proposed</v>
      </c>
      <c r="P67" s="527"/>
    </row>
    <row r="68" spans="2:16">
      <c r="B68" s="391"/>
      <c r="C68" s="54" t="s">
        <v>594</v>
      </c>
      <c r="D68" s="54" t="s">
        <v>595</v>
      </c>
      <c r="E68" s="54" t="s">
        <v>594</v>
      </c>
      <c r="F68" s="54" t="s">
        <v>595</v>
      </c>
      <c r="G68" s="54" t="s">
        <v>594</v>
      </c>
      <c r="H68" s="54" t="s">
        <v>595</v>
      </c>
      <c r="I68" s="54"/>
      <c r="J68" s="391"/>
      <c r="K68" s="54" t="s">
        <v>594</v>
      </c>
      <c r="L68" s="54" t="s">
        <v>595</v>
      </c>
      <c r="M68" s="54" t="s">
        <v>594</v>
      </c>
      <c r="N68" s="54" t="s">
        <v>595</v>
      </c>
      <c r="O68" s="54" t="s">
        <v>594</v>
      </c>
      <c r="P68" s="54" t="s">
        <v>595</v>
      </c>
    </row>
    <row r="69" spans="2:16" ht="15" customHeight="1">
      <c r="B69" s="18" t="s">
        <v>600</v>
      </c>
      <c r="C69" s="54">
        <f>C$22*I22+($C$25*365.25/12)</f>
        <v>155.48281593749999</v>
      </c>
      <c r="D69" s="54">
        <f>C$22*J22+($C$25*365.25/12)</f>
        <v>126.689701875</v>
      </c>
      <c r="E69" s="54">
        <f>D$22*I22+($D$25*365.25/12)</f>
        <v>157.94639965416826</v>
      </c>
      <c r="F69" s="54">
        <f>D$22*J22+($D$25*365.25/12)</f>
        <v>133.16928860710007</v>
      </c>
      <c r="G69" s="54">
        <f>E$22*I22+($E$25*365.25/12)</f>
        <v>157.94639965416826</v>
      </c>
      <c r="H69" s="54">
        <f>E$22*J22+($E$25*365.25/12)</f>
        <v>133.16928860710007</v>
      </c>
      <c r="I69" s="54"/>
      <c r="J69" s="18" t="s">
        <v>600</v>
      </c>
      <c r="K69" s="54">
        <f>$C$22*M22+($C$25*365.25/12)</f>
        <v>175.06213349999999</v>
      </c>
      <c r="L69" s="54">
        <f>$C$22*N22+($C$25*365.25/12)</f>
        <v>299.44838625</v>
      </c>
      <c r="M69" s="54">
        <f>$D$22*M22+($D$25*365.25/12)</f>
        <v>174.79483516617464</v>
      </c>
      <c r="N69" s="54">
        <f>$D$22*N22+($D$25*365.25/12)</f>
        <v>281.83195488950923</v>
      </c>
      <c r="O69" s="54">
        <f>$E$22*M22+($E$25*365.25/12)</f>
        <v>174.79483516617464</v>
      </c>
      <c r="P69" s="54">
        <f>$E$22*N22+($E$25*365.25/12)</f>
        <v>281.83195488950923</v>
      </c>
    </row>
    <row r="70" spans="2:16" ht="15" customHeight="1">
      <c r="B70" s="18" t="s">
        <v>602</v>
      </c>
      <c r="C70" s="54">
        <f t="shared" ref="C70:C78" si="34">C$22*I23+($C$25*365.25/12)</f>
        <v>112.86900712500001</v>
      </c>
      <c r="D70" s="54">
        <f t="shared" ref="D70:D78" si="35">C$22*J23</f>
        <v>126.689701875</v>
      </c>
      <c r="E70" s="54">
        <f>D$22*I23+($D$25*365.25/12)</f>
        <v>121.27627530450732</v>
      </c>
      <c r="F70" s="54">
        <f>D$22*J23+($D$25*365.25/12)</f>
        <v>133.16928860710007</v>
      </c>
      <c r="G70" s="54">
        <f t="shared" ref="G70:G78" si="36">E$22*I23+($E$25*365.25/12)</f>
        <v>121.27627530450732</v>
      </c>
      <c r="H70" s="54">
        <f t="shared" ref="H70:H78" si="37">E$22*J23+($E$25*365.25/12)</f>
        <v>133.16928860710007</v>
      </c>
      <c r="I70" s="54"/>
      <c r="J70" s="18" t="s">
        <v>602</v>
      </c>
      <c r="K70" s="54">
        <f t="shared" ref="K70:K78" si="38">$C$22*M23+($C$25*365.25/12)</f>
        <v>97.896587812500002</v>
      </c>
      <c r="L70" s="54">
        <f t="shared" ref="L70:L78" si="39">$C$22*N23+($C$25*365.25/12)</f>
        <v>299.44838625</v>
      </c>
      <c r="M70" s="54">
        <f t="shared" ref="M70:N78" si="40">$D$22*M23+($D$25*365.25/12)</f>
        <v>108.39217756003185</v>
      </c>
      <c r="N70" s="54">
        <f t="shared" si="40"/>
        <v>281.83195488950923</v>
      </c>
      <c r="O70" s="54">
        <f t="shared" ref="O70:O78" si="41">$E$22*M23+($E$25*365.25/12)</f>
        <v>108.39217756003185</v>
      </c>
      <c r="P70" s="54">
        <f t="shared" ref="P70:P78" si="42">$E$22*N23+($E$25*365.25/12)</f>
        <v>281.83195488950923</v>
      </c>
    </row>
    <row r="71" spans="2:16">
      <c r="B71" s="18" t="s">
        <v>603</v>
      </c>
      <c r="C71" s="54">
        <f t="shared" si="34"/>
        <v>203.85524756249998</v>
      </c>
      <c r="D71" s="54">
        <f t="shared" si="35"/>
        <v>119.77935450000001</v>
      </c>
      <c r="E71" s="54">
        <f>D$22*I24+($D$25*365.25/12)</f>
        <v>199.57194621324282</v>
      </c>
      <c r="F71" s="54">
        <f t="shared" ref="F71:F78" si="43">D$22*J24+($D$25*365.25/12)</f>
        <v>127.2227819558037</v>
      </c>
      <c r="G71" s="54">
        <f t="shared" si="36"/>
        <v>199.57194621324282</v>
      </c>
      <c r="H71" s="54">
        <f t="shared" si="37"/>
        <v>127.2227819558037</v>
      </c>
      <c r="I71" s="54"/>
      <c r="J71" s="18" t="s">
        <v>603</v>
      </c>
      <c r="K71" s="54">
        <f t="shared" si="38"/>
        <v>229.1931879375</v>
      </c>
      <c r="L71" s="54">
        <f t="shared" si="39"/>
        <v>307.51045818749998</v>
      </c>
      <c r="M71" s="54">
        <f t="shared" si="40"/>
        <v>221.37580393466283</v>
      </c>
      <c r="N71" s="54">
        <f t="shared" si="40"/>
        <v>288.76954598268833</v>
      </c>
      <c r="O71" s="54">
        <f t="shared" si="41"/>
        <v>221.37580393466283</v>
      </c>
      <c r="P71" s="54">
        <f t="shared" si="42"/>
        <v>288.76954598268833</v>
      </c>
    </row>
    <row r="72" spans="2:16" s="423" customFormat="1">
      <c r="B72" s="18" t="s">
        <v>604</v>
      </c>
      <c r="C72" s="54">
        <f t="shared" si="34"/>
        <v>172.758684375</v>
      </c>
      <c r="D72" s="54">
        <f t="shared" si="35"/>
        <v>117.475905375</v>
      </c>
      <c r="E72" s="54">
        <f t="shared" ref="E72:E78" si="44">D$22*I25+($D$25*365.25/12)</f>
        <v>172.8126662824092</v>
      </c>
      <c r="F72" s="54">
        <f t="shared" si="43"/>
        <v>125.24061307203823</v>
      </c>
      <c r="G72" s="54">
        <f t="shared" si="36"/>
        <v>172.8126662824092</v>
      </c>
      <c r="H72" s="54">
        <f t="shared" si="37"/>
        <v>125.24061307203823</v>
      </c>
      <c r="I72" s="54"/>
      <c r="J72" s="18" t="s">
        <v>604</v>
      </c>
      <c r="K72" s="54">
        <f t="shared" si="38"/>
        <v>205.006972125</v>
      </c>
      <c r="L72" s="54">
        <f t="shared" si="39"/>
        <v>272.95872131250002</v>
      </c>
      <c r="M72" s="54">
        <f t="shared" si="40"/>
        <v>200.56303065512557</v>
      </c>
      <c r="N72" s="54">
        <f t="shared" si="40"/>
        <v>259.03701272620651</v>
      </c>
      <c r="O72" s="54">
        <f t="shared" si="41"/>
        <v>200.56303065512557</v>
      </c>
      <c r="P72" s="54">
        <f t="shared" si="42"/>
        <v>259.03701272620651</v>
      </c>
    </row>
    <row r="73" spans="2:16">
      <c r="B73" s="18" t="s">
        <v>606</v>
      </c>
      <c r="C73" s="54">
        <f t="shared" si="34"/>
        <v>74.8620965625</v>
      </c>
      <c r="D73" s="54">
        <f t="shared" si="35"/>
        <v>86.379342187500001</v>
      </c>
      <c r="E73" s="54">
        <f t="shared" si="44"/>
        <v>88.570488722377306</v>
      </c>
      <c r="F73" s="54">
        <f t="shared" si="43"/>
        <v>98.481333141204587</v>
      </c>
      <c r="G73" s="54">
        <f t="shared" si="36"/>
        <v>88.570488722377306</v>
      </c>
      <c r="H73" s="54">
        <f t="shared" si="37"/>
        <v>98.481333141204587</v>
      </c>
      <c r="I73" s="54"/>
      <c r="J73" s="18" t="s">
        <v>606</v>
      </c>
      <c r="K73" s="54">
        <f t="shared" si="38"/>
        <v>81.7724439375</v>
      </c>
      <c r="L73" s="54">
        <f t="shared" si="39"/>
        <v>148.57246856250001</v>
      </c>
      <c r="M73" s="54">
        <f t="shared" si="40"/>
        <v>94.516995373673666</v>
      </c>
      <c r="N73" s="54">
        <f t="shared" si="40"/>
        <v>151.99989300287189</v>
      </c>
      <c r="O73" s="54">
        <f t="shared" si="41"/>
        <v>94.516995373673666</v>
      </c>
      <c r="P73" s="54">
        <f t="shared" si="42"/>
        <v>151.99989300287189</v>
      </c>
    </row>
    <row r="74" spans="2:16">
      <c r="B74" s="18" t="s">
        <v>607</v>
      </c>
      <c r="C74" s="54">
        <f t="shared" si="34"/>
        <v>81.7724439375</v>
      </c>
      <c r="D74" s="54">
        <f t="shared" si="35"/>
        <v>93.289689562500001</v>
      </c>
      <c r="E74" s="54">
        <f t="shared" si="44"/>
        <v>94.516995373673666</v>
      </c>
      <c r="F74" s="54">
        <f t="shared" si="43"/>
        <v>104.42783979250095</v>
      </c>
      <c r="G74" s="54">
        <f t="shared" si="36"/>
        <v>94.516995373673666</v>
      </c>
      <c r="H74" s="54">
        <f t="shared" si="37"/>
        <v>104.42783979250095</v>
      </c>
      <c r="I74" s="54"/>
      <c r="J74" s="18" t="s">
        <v>607</v>
      </c>
      <c r="K74" s="54">
        <f t="shared" si="38"/>
        <v>119.77935450000001</v>
      </c>
      <c r="L74" s="54">
        <f t="shared" si="39"/>
        <v>219.97939143750003</v>
      </c>
      <c r="M74" s="54">
        <f t="shared" si="40"/>
        <v>127.2227819558037</v>
      </c>
      <c r="N74" s="54">
        <f t="shared" si="40"/>
        <v>213.44712839960104</v>
      </c>
      <c r="O74" s="54">
        <f t="shared" si="41"/>
        <v>127.2227819558037</v>
      </c>
      <c r="P74" s="54">
        <f t="shared" si="42"/>
        <v>213.44712839960104</v>
      </c>
    </row>
    <row r="75" spans="2:16">
      <c r="B75" s="18" t="s">
        <v>608</v>
      </c>
      <c r="C75" s="54">
        <f t="shared" si="34"/>
        <v>221.13111599999999</v>
      </c>
      <c r="D75" s="54">
        <f t="shared" si="35"/>
        <v>112.86900712500001</v>
      </c>
      <c r="E75" s="54">
        <f t="shared" si="44"/>
        <v>214.43821284148376</v>
      </c>
      <c r="F75" s="54">
        <f t="shared" si="43"/>
        <v>121.27627530450732</v>
      </c>
      <c r="G75" s="54">
        <f t="shared" si="36"/>
        <v>214.43821284148376</v>
      </c>
      <c r="H75" s="54">
        <f t="shared" si="37"/>
        <v>121.27627530450732</v>
      </c>
      <c r="I75" s="54"/>
      <c r="J75" s="18" t="s">
        <v>608</v>
      </c>
      <c r="K75" s="54">
        <f t="shared" si="38"/>
        <v>257.98630199999997</v>
      </c>
      <c r="L75" s="54">
        <f t="shared" si="39"/>
        <v>218.82766687500001</v>
      </c>
      <c r="M75" s="54">
        <f t="shared" si="40"/>
        <v>246.15291498173104</v>
      </c>
      <c r="N75" s="54">
        <f t="shared" si="40"/>
        <v>212.45604395771829</v>
      </c>
      <c r="O75" s="54">
        <f t="shared" si="41"/>
        <v>246.15291498173104</v>
      </c>
      <c r="P75" s="54">
        <f t="shared" si="42"/>
        <v>212.45604395771829</v>
      </c>
    </row>
    <row r="76" spans="2:16">
      <c r="B76" s="18" t="s">
        <v>118</v>
      </c>
      <c r="C76" s="54">
        <f t="shared" si="34"/>
        <v>112.86900712500001</v>
      </c>
      <c r="D76" s="54">
        <f t="shared" si="35"/>
        <v>111.71728256249999</v>
      </c>
      <c r="E76" s="54">
        <f t="shared" si="44"/>
        <v>121.27627530450732</v>
      </c>
      <c r="F76" s="54">
        <f t="shared" si="43"/>
        <v>120.28519086262459</v>
      </c>
      <c r="G76" s="54">
        <f t="shared" si="36"/>
        <v>121.27627530450732</v>
      </c>
      <c r="H76" s="54">
        <f t="shared" si="37"/>
        <v>120.28519086262459</v>
      </c>
      <c r="I76" s="54"/>
      <c r="J76" s="18" t="s">
        <v>118</v>
      </c>
      <c r="K76" s="54">
        <f t="shared" si="38"/>
        <v>97.896587812500002</v>
      </c>
      <c r="L76" s="54">
        <f t="shared" si="39"/>
        <v>168.151786125</v>
      </c>
      <c r="M76" s="54">
        <f t="shared" si="40"/>
        <v>108.39217756003185</v>
      </c>
      <c r="N76" s="54">
        <f t="shared" si="40"/>
        <v>168.84832851487826</v>
      </c>
      <c r="O76" s="54">
        <f t="shared" si="41"/>
        <v>108.39217756003185</v>
      </c>
      <c r="P76" s="54">
        <f t="shared" si="42"/>
        <v>168.84832851487826</v>
      </c>
    </row>
    <row r="77" spans="2:16">
      <c r="B77" s="18" t="s">
        <v>609</v>
      </c>
      <c r="C77" s="54">
        <f t="shared" si="34"/>
        <v>120.9310790625</v>
      </c>
      <c r="D77" s="54">
        <f t="shared" si="35"/>
        <v>127.84142643749999</v>
      </c>
      <c r="E77" s="54">
        <f t="shared" si="44"/>
        <v>128.21386639768642</v>
      </c>
      <c r="F77" s="54">
        <f t="shared" si="43"/>
        <v>134.16037304898279</v>
      </c>
      <c r="G77" s="54">
        <f t="shared" si="36"/>
        <v>128.21386639768642</v>
      </c>
      <c r="H77" s="54">
        <f t="shared" si="37"/>
        <v>134.16037304898279</v>
      </c>
      <c r="I77" s="54"/>
      <c r="J77" s="18" t="s">
        <v>609</v>
      </c>
      <c r="K77" s="54">
        <f t="shared" si="38"/>
        <v>138.20694750000001</v>
      </c>
      <c r="L77" s="54">
        <f t="shared" si="39"/>
        <v>276.41389500000002</v>
      </c>
      <c r="M77" s="54">
        <f t="shared" si="40"/>
        <v>143.08013302592735</v>
      </c>
      <c r="N77" s="54">
        <f t="shared" si="40"/>
        <v>262.01026605185467</v>
      </c>
      <c r="O77" s="54">
        <f t="shared" si="41"/>
        <v>143.08013302592735</v>
      </c>
      <c r="P77" s="54">
        <f t="shared" si="42"/>
        <v>262.01026605185467</v>
      </c>
    </row>
    <row r="78" spans="2:16">
      <c r="B78" s="18" t="s">
        <v>610</v>
      </c>
      <c r="C78" s="54">
        <f t="shared" si="34"/>
        <v>67.951749187499999</v>
      </c>
      <c r="D78" s="54">
        <f t="shared" si="35"/>
        <v>89.834515874999994</v>
      </c>
      <c r="E78" s="54">
        <f t="shared" si="44"/>
        <v>82.623982071080945</v>
      </c>
      <c r="F78" s="54">
        <f t="shared" si="43"/>
        <v>101.45458646685276</v>
      </c>
      <c r="G78" s="54">
        <f t="shared" si="36"/>
        <v>82.623982071080945</v>
      </c>
      <c r="H78" s="54">
        <f t="shared" si="37"/>
        <v>101.45458646685276</v>
      </c>
      <c r="I78" s="54"/>
      <c r="J78" s="18" t="s">
        <v>610</v>
      </c>
      <c r="K78" s="54">
        <f t="shared" si="38"/>
        <v>77.1655456875</v>
      </c>
      <c r="L78" s="54">
        <f t="shared" si="39"/>
        <v>180.82075631249998</v>
      </c>
      <c r="M78" s="54">
        <f t="shared" si="40"/>
        <v>90.552657606142759</v>
      </c>
      <c r="N78" s="54">
        <f t="shared" si="40"/>
        <v>179.75025737558826</v>
      </c>
      <c r="O78" s="54">
        <f t="shared" si="41"/>
        <v>90.552657606142759</v>
      </c>
      <c r="P78" s="54">
        <f t="shared" si="42"/>
        <v>179.75025737558826</v>
      </c>
    </row>
    <row r="79" spans="2:16">
      <c r="B79" s="18" t="s">
        <v>617</v>
      </c>
      <c r="C79" s="68">
        <f t="shared" ref="C79:H79" si="45">SUMPRODUCT(C69:C78,$U$22:$U$31)</f>
        <v>176.02153810013954</v>
      </c>
      <c r="D79" s="68">
        <f t="shared" si="45"/>
        <v>116.19623743987103</v>
      </c>
      <c r="E79" s="68">
        <f t="shared" si="45"/>
        <v>175.62042402971773</v>
      </c>
      <c r="F79" s="68">
        <f t="shared" si="45"/>
        <v>124.13943053015551</v>
      </c>
      <c r="G79" s="68">
        <f t="shared" si="45"/>
        <v>175.62042402971773</v>
      </c>
      <c r="H79" s="68">
        <f t="shared" si="45"/>
        <v>124.13943053015551</v>
      </c>
      <c r="I79" s="68"/>
      <c r="J79" s="18" t="s">
        <v>617</v>
      </c>
      <c r="K79" s="68">
        <f t="shared" ref="K79:P79" si="46">SUMPRODUCT(K69:K78,$AC$22:$AC$31)</f>
        <v>191.84483591152912</v>
      </c>
      <c r="L79" s="68">
        <f t="shared" si="46"/>
        <v>273.55750829511413</v>
      </c>
      <c r="M79" s="68">
        <f t="shared" si="46"/>
        <v>189.23672152892576</v>
      </c>
      <c r="N79" s="68">
        <f t="shared" si="46"/>
        <v>259.55228215936216</v>
      </c>
      <c r="O79" s="68">
        <f t="shared" si="46"/>
        <v>189.23672152892576</v>
      </c>
      <c r="P79" s="68">
        <f t="shared" si="46"/>
        <v>259.55228215936216</v>
      </c>
    </row>
    <row r="80" spans="2:16">
      <c r="B80" s="391"/>
      <c r="C80" s="54"/>
      <c r="D80" s="54"/>
      <c r="E80" s="69"/>
      <c r="F80" s="424"/>
      <c r="G80" s="426"/>
      <c r="H80" s="426"/>
      <c r="I80" s="426"/>
      <c r="J80" s="391"/>
      <c r="K80" s="54"/>
      <c r="L80" s="54"/>
      <c r="M80" s="69"/>
      <c r="N80" s="424"/>
      <c r="O80" s="426"/>
      <c r="P80" s="426"/>
    </row>
    <row r="81" spans="2:16">
      <c r="B81" s="391"/>
      <c r="C81" s="54"/>
      <c r="D81" s="54"/>
      <c r="E81" s="69"/>
      <c r="F81" s="54"/>
      <c r="G81" s="426"/>
      <c r="H81" s="426"/>
      <c r="I81" s="426"/>
      <c r="J81" s="391"/>
      <c r="K81" s="54"/>
      <c r="L81" s="54"/>
      <c r="M81" s="69"/>
      <c r="N81" s="54"/>
      <c r="O81" s="426"/>
      <c r="P81" s="426"/>
    </row>
    <row r="82" spans="2:16">
      <c r="B82" s="391"/>
      <c r="C82" s="524" t="s">
        <v>629</v>
      </c>
      <c r="D82" s="524"/>
      <c r="E82" s="524"/>
      <c r="F82" s="524"/>
      <c r="G82" s="524"/>
      <c r="H82" s="524"/>
      <c r="J82" s="391"/>
      <c r="K82" s="524" t="s">
        <v>630</v>
      </c>
      <c r="L82" s="524"/>
      <c r="M82" s="524"/>
      <c r="N82" s="524"/>
      <c r="O82" s="524"/>
      <c r="P82" s="524"/>
    </row>
    <row r="83" spans="2:16">
      <c r="B83" s="391"/>
      <c r="C83" s="525">
        <f>$C$27</f>
        <v>46023</v>
      </c>
      <c r="D83" s="526"/>
      <c r="E83" s="525">
        <f>$D$27</f>
        <v>46082</v>
      </c>
      <c r="F83" s="526"/>
      <c r="G83" s="527" t="str">
        <f>$E$21</f>
        <v>Proposed</v>
      </c>
      <c r="H83" s="527"/>
      <c r="I83" s="88"/>
      <c r="J83" s="391"/>
      <c r="K83" s="525">
        <f>$C$27</f>
        <v>46023</v>
      </c>
      <c r="L83" s="526"/>
      <c r="M83" s="525">
        <f>$D$21</f>
        <v>46082</v>
      </c>
      <c r="N83" s="526"/>
      <c r="O83" s="527" t="str">
        <f>$E$21</f>
        <v>Proposed</v>
      </c>
      <c r="P83" s="527"/>
    </row>
    <row r="84" spans="2:16">
      <c r="B84" s="391"/>
      <c r="C84" s="54" t="s">
        <v>594</v>
      </c>
      <c r="D84" s="54" t="s">
        <v>595</v>
      </c>
      <c r="E84" s="54" t="s">
        <v>594</v>
      </c>
      <c r="F84" s="54" t="s">
        <v>595</v>
      </c>
      <c r="G84" s="54" t="s">
        <v>594</v>
      </c>
      <c r="H84" s="54" t="s">
        <v>595</v>
      </c>
      <c r="I84" s="54"/>
      <c r="J84" s="391"/>
      <c r="K84" s="54" t="s">
        <v>594</v>
      </c>
      <c r="L84" s="54" t="s">
        <v>595</v>
      </c>
      <c r="M84" s="54" t="s">
        <v>594</v>
      </c>
      <c r="N84" s="54" t="s">
        <v>595</v>
      </c>
      <c r="O84" s="54" t="s">
        <v>594</v>
      </c>
      <c r="P84" s="54" t="s">
        <v>595</v>
      </c>
    </row>
    <row r="85" spans="2:16">
      <c r="B85" s="18" t="s">
        <v>600</v>
      </c>
      <c r="C85" s="54">
        <f>C$28*I22+($C$31*365.25/12)</f>
        <v>94.607055000000003</v>
      </c>
      <c r="D85" s="54">
        <f>C$28*J22+($C$31*365.25/12)</f>
        <v>77.087230000000005</v>
      </c>
      <c r="E85" s="54">
        <f>D$28*I22+($D$31*365.25/12)</f>
        <v>88.704183176943332</v>
      </c>
      <c r="F85" s="54">
        <f>D$28*J22+($D$31*365.25/12)</f>
        <v>73.388593699731601</v>
      </c>
      <c r="G85" s="54">
        <f>E$28*I22+($E$31*365.25/12)</f>
        <v>88.704183176943332</v>
      </c>
      <c r="H85" s="54">
        <f>E$28*J22+($E$31*365.25/12)</f>
        <v>73.388593699731601</v>
      </c>
      <c r="I85" s="54"/>
      <c r="J85" s="18" t="s">
        <v>600</v>
      </c>
      <c r="K85" s="54">
        <f>$C$28*M22+($C$31*365.25/12)</f>
        <v>106.52053599999999</v>
      </c>
      <c r="L85" s="54">
        <f>$C$28*N22+($C$31*365.25/12)</f>
        <v>182.20617999999999</v>
      </c>
      <c r="M85" s="54">
        <f>$D$28*M22+($D$31*365.25/12)</f>
        <v>99.118784021447311</v>
      </c>
      <c r="N85" s="54">
        <f>$D$28*N22+($D$31*365.25/12)</f>
        <v>165.28213056300197</v>
      </c>
      <c r="O85" s="54">
        <f>$E$28*M22+($E$31*365.25/12)</f>
        <v>99.118784021447311</v>
      </c>
      <c r="P85" s="54">
        <f>$E$28*N22+($E$31*365.25/12)</f>
        <v>165.28213056300197</v>
      </c>
    </row>
    <row r="86" spans="2:16">
      <c r="B86" s="18" t="s">
        <v>602</v>
      </c>
      <c r="C86" s="54">
        <f t="shared" ref="C86:C94" si="47">C$28*I23+($C$31*365.25/12)</f>
        <v>68.677714000000009</v>
      </c>
      <c r="D86" s="54">
        <f t="shared" ref="D86:D94" si="48">C$28*J23+($C$31*365.25/12)</f>
        <v>77.087230000000005</v>
      </c>
      <c r="E86" s="54">
        <f>D$28*I23+($D$31*365.25/12)</f>
        <v>66.037110750669981</v>
      </c>
      <c r="F86" s="54">
        <f t="shared" ref="F86:F94" si="49">D$28*J23+($D$31*365.25/12)</f>
        <v>73.388593699731601</v>
      </c>
      <c r="G86" s="54">
        <f t="shared" ref="G86:G94" si="50">E$28*I23+($E$31*365.25/12)</f>
        <v>66.037110750669981</v>
      </c>
      <c r="H86" s="54">
        <f t="shared" ref="H86:H94" si="51">E$28*J23+($E$31*365.25/12)</f>
        <v>73.388593699731601</v>
      </c>
      <c r="I86" s="54"/>
      <c r="J86" s="18" t="s">
        <v>602</v>
      </c>
      <c r="K86" s="54">
        <f t="shared" ref="K86:K94" si="52">$C$28*M23+($C$31*365.25/12)</f>
        <v>59.567405000000001</v>
      </c>
      <c r="L86" s="54">
        <f t="shared" ref="L86:L94" si="53">$C$28*N23+($C$31*365.25/12)</f>
        <v>182.20617999999999</v>
      </c>
      <c r="M86" s="54">
        <f>$D$28*M23+($D$31*365.25/12)</f>
        <v>58.073004222519877</v>
      </c>
      <c r="N86" s="54">
        <f>$D$28*N23+($D$31*365.25/12)</f>
        <v>165.28213056300197</v>
      </c>
      <c r="O86" s="54">
        <f t="shared" ref="O86:O94" si="54">$E$28*M23+($E$31*365.25/12)</f>
        <v>58.073004222519877</v>
      </c>
      <c r="P86" s="54">
        <f t="shared" ref="P86:P94" si="55">$E$28*N23+($E$31*365.25/12)</f>
        <v>165.28213056300197</v>
      </c>
    </row>
    <row r="87" spans="2:16">
      <c r="B87" s="18" t="s">
        <v>603</v>
      </c>
      <c r="C87" s="54">
        <f t="shared" si="47"/>
        <v>124.04036099999999</v>
      </c>
      <c r="D87" s="54">
        <f t="shared" si="48"/>
        <v>72.882472000000007</v>
      </c>
      <c r="E87" s="54">
        <f t="shared" ref="E87:E94" si="56">D$28*I24+($D$31*365.25/12)</f>
        <v>114.43437349865904</v>
      </c>
      <c r="F87" s="54">
        <f t="shared" si="49"/>
        <v>69.712852225200791</v>
      </c>
      <c r="G87" s="54">
        <f t="shared" si="50"/>
        <v>114.43437349865904</v>
      </c>
      <c r="H87" s="54">
        <f t="shared" si="51"/>
        <v>69.712852225200791</v>
      </c>
      <c r="I87" s="54"/>
      <c r="J87" s="18" t="s">
        <v>603</v>
      </c>
      <c r="K87" s="54">
        <f t="shared" si="52"/>
        <v>139.457807</v>
      </c>
      <c r="L87" s="54">
        <f t="shared" si="53"/>
        <v>187.11173099999999</v>
      </c>
      <c r="M87" s="54">
        <f t="shared" ref="M87:N94" si="57">$D$28*M24+($D$31*365.25/12)</f>
        <v>127.91209223860535</v>
      </c>
      <c r="N87" s="54">
        <f t="shared" si="57"/>
        <v>169.57049561662126</v>
      </c>
      <c r="O87" s="54">
        <f t="shared" si="54"/>
        <v>127.91209223860535</v>
      </c>
      <c r="P87" s="54">
        <f t="shared" si="55"/>
        <v>169.57049561662126</v>
      </c>
    </row>
    <row r="88" spans="2:16">
      <c r="B88" s="18" t="s">
        <v>604</v>
      </c>
      <c r="C88" s="54">
        <f t="shared" si="47"/>
        <v>105.11895</v>
      </c>
      <c r="D88" s="54">
        <f t="shared" si="48"/>
        <v>71.480885999999998</v>
      </c>
      <c r="E88" s="54">
        <f t="shared" si="56"/>
        <v>97.89353686327037</v>
      </c>
      <c r="F88" s="54">
        <f t="shared" si="49"/>
        <v>68.48760506702385</v>
      </c>
      <c r="G88" s="54">
        <f t="shared" si="50"/>
        <v>97.89353686327037</v>
      </c>
      <c r="H88" s="54">
        <f t="shared" si="51"/>
        <v>68.48760506702385</v>
      </c>
      <c r="I88" s="54"/>
      <c r="J88" s="18" t="s">
        <v>604</v>
      </c>
      <c r="K88" s="54">
        <f t="shared" si="52"/>
        <v>124.74115400000001</v>
      </c>
      <c r="L88" s="54">
        <f t="shared" si="53"/>
        <v>166.087941</v>
      </c>
      <c r="M88" s="54">
        <f t="shared" si="57"/>
        <v>115.04699707774752</v>
      </c>
      <c r="N88" s="54">
        <f t="shared" si="57"/>
        <v>151.19178824396718</v>
      </c>
      <c r="O88" s="54">
        <f t="shared" si="54"/>
        <v>115.04699707774752</v>
      </c>
      <c r="P88" s="54">
        <f t="shared" si="55"/>
        <v>151.19178824396718</v>
      </c>
    </row>
    <row r="89" spans="2:16">
      <c r="B89" s="18" t="s">
        <v>606</v>
      </c>
      <c r="C89" s="54">
        <f t="shared" si="47"/>
        <v>45.551544999999997</v>
      </c>
      <c r="D89" s="54">
        <f t="shared" si="48"/>
        <v>52.559474999999999</v>
      </c>
      <c r="E89" s="54">
        <f t="shared" si="56"/>
        <v>45.820532640750493</v>
      </c>
      <c r="F89" s="54">
        <f t="shared" si="49"/>
        <v>51.946768431635185</v>
      </c>
      <c r="G89" s="54">
        <f t="shared" si="50"/>
        <v>45.820532640750493</v>
      </c>
      <c r="H89" s="54">
        <f t="shared" si="51"/>
        <v>51.946768431635185</v>
      </c>
      <c r="I89" s="54"/>
      <c r="J89" s="18" t="s">
        <v>606</v>
      </c>
      <c r="K89" s="54">
        <f t="shared" si="52"/>
        <v>49.756302999999996</v>
      </c>
      <c r="L89" s="54">
        <f t="shared" si="53"/>
        <v>90.402297000000004</v>
      </c>
      <c r="M89" s="54">
        <f t="shared" si="57"/>
        <v>49.496274115281309</v>
      </c>
      <c r="N89" s="54">
        <f t="shared" si="57"/>
        <v>85.028441702412522</v>
      </c>
      <c r="O89" s="54">
        <f t="shared" si="54"/>
        <v>49.496274115281309</v>
      </c>
      <c r="P89" s="54">
        <f t="shared" si="55"/>
        <v>85.028441702412522</v>
      </c>
    </row>
    <row r="90" spans="2:16">
      <c r="B90" s="18" t="s">
        <v>607</v>
      </c>
      <c r="C90" s="54">
        <f t="shared" si="47"/>
        <v>49.756302999999996</v>
      </c>
      <c r="D90" s="54">
        <f t="shared" si="48"/>
        <v>56.764232999999997</v>
      </c>
      <c r="E90" s="54">
        <f t="shared" si="56"/>
        <v>49.496274115281309</v>
      </c>
      <c r="F90" s="54">
        <f t="shared" si="49"/>
        <v>55.622509906166002</v>
      </c>
      <c r="G90" s="54">
        <f t="shared" si="50"/>
        <v>49.496274115281309</v>
      </c>
      <c r="H90" s="54">
        <f t="shared" si="51"/>
        <v>55.622509906166002</v>
      </c>
      <c r="I90" s="54"/>
      <c r="J90" s="18" t="s">
        <v>607</v>
      </c>
      <c r="K90" s="54">
        <f t="shared" si="52"/>
        <v>72.882472000000007</v>
      </c>
      <c r="L90" s="54">
        <f>$C$28*N27+($C$31*365.25/12)</f>
        <v>133.85146300000002</v>
      </c>
      <c r="M90" s="54">
        <f t="shared" si="57"/>
        <v>69.712852225200791</v>
      </c>
      <c r="N90" s="54">
        <f t="shared" si="57"/>
        <v>123.01110360589762</v>
      </c>
      <c r="O90" s="54">
        <f t="shared" si="54"/>
        <v>69.712852225200791</v>
      </c>
      <c r="P90" s="54">
        <f t="shared" si="55"/>
        <v>123.01110360589762</v>
      </c>
    </row>
    <row r="91" spans="2:16">
      <c r="B91" s="18" t="s">
        <v>608</v>
      </c>
      <c r="C91" s="54">
        <f t="shared" si="47"/>
        <v>134.552256</v>
      </c>
      <c r="D91" s="54">
        <f t="shared" si="48"/>
        <v>68.677714000000009</v>
      </c>
      <c r="E91" s="54">
        <f t="shared" si="56"/>
        <v>123.62372718498608</v>
      </c>
      <c r="F91" s="54">
        <f t="shared" si="49"/>
        <v>66.037110750669981</v>
      </c>
      <c r="G91" s="54">
        <f t="shared" si="50"/>
        <v>123.62372718498608</v>
      </c>
      <c r="H91" s="54">
        <f t="shared" si="51"/>
        <v>66.037110750669981</v>
      </c>
      <c r="I91" s="54"/>
      <c r="J91" s="18" t="s">
        <v>608</v>
      </c>
      <c r="K91" s="54">
        <f t="shared" si="52"/>
        <v>156.977632</v>
      </c>
      <c r="L91" s="54">
        <f t="shared" si="53"/>
        <v>133.15066999999999</v>
      </c>
      <c r="M91" s="54">
        <f t="shared" si="57"/>
        <v>143.22768171581708</v>
      </c>
      <c r="N91" s="54">
        <f t="shared" si="57"/>
        <v>122.39848002680914</v>
      </c>
      <c r="O91" s="54">
        <f t="shared" si="54"/>
        <v>143.22768171581708</v>
      </c>
      <c r="P91" s="54">
        <f t="shared" si="55"/>
        <v>122.39848002680914</v>
      </c>
    </row>
    <row r="92" spans="2:16">
      <c r="B92" s="18" t="s">
        <v>118</v>
      </c>
      <c r="C92" s="54">
        <f t="shared" si="47"/>
        <v>68.677714000000009</v>
      </c>
      <c r="D92" s="54">
        <f t="shared" si="48"/>
        <v>67.97692099999999</v>
      </c>
      <c r="E92" s="54">
        <f t="shared" si="56"/>
        <v>66.037110750669981</v>
      </c>
      <c r="F92" s="54">
        <f t="shared" si="49"/>
        <v>65.424487171581504</v>
      </c>
      <c r="G92" s="54">
        <f t="shared" si="50"/>
        <v>66.037110750669981</v>
      </c>
      <c r="H92" s="54">
        <f t="shared" si="51"/>
        <v>65.424487171581504</v>
      </c>
      <c r="I92" s="54"/>
      <c r="J92" s="18" t="s">
        <v>118</v>
      </c>
      <c r="K92" s="54">
        <f t="shared" si="52"/>
        <v>59.567405000000001</v>
      </c>
      <c r="L92" s="54">
        <f t="shared" si="53"/>
        <v>102.31577799999999</v>
      </c>
      <c r="M92" s="54">
        <f t="shared" si="57"/>
        <v>58.073004222519877</v>
      </c>
      <c r="N92" s="54">
        <f t="shared" si="57"/>
        <v>95.443042546916502</v>
      </c>
      <c r="O92" s="54">
        <f t="shared" si="54"/>
        <v>58.073004222519877</v>
      </c>
      <c r="P92" s="54">
        <f t="shared" si="55"/>
        <v>95.443042546916502</v>
      </c>
    </row>
    <row r="93" spans="2:16">
      <c r="B93" s="18" t="s">
        <v>609</v>
      </c>
      <c r="C93" s="54">
        <f t="shared" si="47"/>
        <v>73.583264999999997</v>
      </c>
      <c r="D93" s="54">
        <f t="shared" si="48"/>
        <v>77.788022999999995</v>
      </c>
      <c r="E93" s="54">
        <f t="shared" si="56"/>
        <v>70.325475804289255</v>
      </c>
      <c r="F93" s="54">
        <f t="shared" si="49"/>
        <v>74.001217278820079</v>
      </c>
      <c r="G93" s="54">
        <f t="shared" si="50"/>
        <v>70.325475804289255</v>
      </c>
      <c r="H93" s="54">
        <f t="shared" si="51"/>
        <v>74.001217278820079</v>
      </c>
      <c r="I93" s="54"/>
      <c r="J93" s="18" t="s">
        <v>609</v>
      </c>
      <c r="K93" s="54">
        <f t="shared" si="52"/>
        <v>84.095160000000007</v>
      </c>
      <c r="L93" s="54">
        <f t="shared" si="53"/>
        <v>168.19032000000001</v>
      </c>
      <c r="M93" s="54">
        <f t="shared" si="57"/>
        <v>79.514829490616293</v>
      </c>
      <c r="N93" s="54">
        <f t="shared" si="57"/>
        <v>153.02965898123259</v>
      </c>
      <c r="O93" s="54">
        <f t="shared" si="54"/>
        <v>79.514829490616293</v>
      </c>
      <c r="P93" s="54">
        <f t="shared" si="55"/>
        <v>153.02965898123259</v>
      </c>
    </row>
    <row r="94" spans="2:16">
      <c r="B94" s="18" t="s">
        <v>610</v>
      </c>
      <c r="C94" s="54">
        <f t="shared" si="47"/>
        <v>41.346787000000006</v>
      </c>
      <c r="D94" s="54">
        <f t="shared" si="48"/>
        <v>54.661853999999998</v>
      </c>
      <c r="E94" s="54">
        <f t="shared" si="56"/>
        <v>42.144791166219683</v>
      </c>
      <c r="F94" s="54">
        <f t="shared" si="49"/>
        <v>53.78463916890059</v>
      </c>
      <c r="G94" s="54">
        <f t="shared" si="50"/>
        <v>42.144791166219683</v>
      </c>
      <c r="H94" s="54">
        <f t="shared" si="51"/>
        <v>53.78463916890059</v>
      </c>
      <c r="I94" s="54"/>
      <c r="J94" s="18" t="s">
        <v>610</v>
      </c>
      <c r="K94" s="54">
        <f t="shared" si="52"/>
        <v>46.953130999999999</v>
      </c>
      <c r="L94" s="54">
        <f t="shared" si="53"/>
        <v>110.024501</v>
      </c>
      <c r="M94" s="54">
        <f t="shared" si="57"/>
        <v>47.045779798927434</v>
      </c>
      <c r="N94" s="54">
        <f t="shared" si="57"/>
        <v>102.18190191688966</v>
      </c>
      <c r="O94" s="54">
        <f t="shared" si="54"/>
        <v>47.045779798927434</v>
      </c>
      <c r="P94" s="54">
        <f t="shared" si="55"/>
        <v>102.18190191688966</v>
      </c>
    </row>
    <row r="95" spans="2:16">
      <c r="B95" s="18" t="s">
        <v>617</v>
      </c>
      <c r="C95" s="68">
        <f t="shared" ref="C95:H95" si="58">SUMPRODUCT(C85:C94,$V$22:$V$31)</f>
        <v>116.79570538640571</v>
      </c>
      <c r="D95" s="68">
        <f t="shared" si="58"/>
        <v>71.005601536762569</v>
      </c>
      <c r="E95" s="68">
        <f t="shared" si="58"/>
        <v>108.10119543999764</v>
      </c>
      <c r="F95" s="68">
        <f t="shared" si="58"/>
        <v>68.072117941790509</v>
      </c>
      <c r="G95" s="68">
        <f t="shared" si="58"/>
        <v>108.10119543999764</v>
      </c>
      <c r="H95" s="68">
        <f t="shared" si="58"/>
        <v>68.072117941790509</v>
      </c>
      <c r="I95" s="68"/>
      <c r="J95" s="18" t="s">
        <v>617</v>
      </c>
      <c r="K95" s="68">
        <f t="shared" ref="K95:P95" si="59">SUMPRODUCT(K85:K94,$AD$22:$AD$31)</f>
        <v>125.59169542664314</v>
      </c>
      <c r="L95" s="68">
        <f t="shared" si="59"/>
        <v>167.59793771693185</v>
      </c>
      <c r="M95" s="68">
        <f t="shared" si="59"/>
        <v>115.79052866689456</v>
      </c>
      <c r="N95" s="68">
        <f t="shared" si="59"/>
        <v>152.51180655627718</v>
      </c>
      <c r="O95" s="68">
        <f t="shared" si="59"/>
        <v>115.79052866689456</v>
      </c>
      <c r="P95" s="68">
        <f t="shared" si="59"/>
        <v>152.51180655627718</v>
      </c>
    </row>
    <row r="98" spans="2:16">
      <c r="B98" s="450">
        <f>'Hypothetical Summary'!D3</f>
        <v>500</v>
      </c>
      <c r="C98" s="545" t="s">
        <v>631</v>
      </c>
      <c r="D98" s="524"/>
      <c r="E98" s="524"/>
      <c r="F98" s="524"/>
      <c r="G98" s="524"/>
      <c r="H98" s="524"/>
      <c r="J98" s="450">
        <f>'Hypothetical Summary'!D3</f>
        <v>500</v>
      </c>
      <c r="K98" s="545" t="s">
        <v>681</v>
      </c>
      <c r="L98" s="524"/>
      <c r="M98" s="524"/>
      <c r="N98" s="524"/>
      <c r="O98" s="524"/>
      <c r="P98" s="524"/>
    </row>
    <row r="99" spans="2:16">
      <c r="B99" s="391"/>
      <c r="C99" s="525">
        <f>$C$27</f>
        <v>46023</v>
      </c>
      <c r="D99" s="526"/>
      <c r="E99" s="525">
        <f>$D$27</f>
        <v>46082</v>
      </c>
      <c r="F99" s="526"/>
      <c r="G99" s="527" t="str">
        <f>$E$21</f>
        <v>Proposed</v>
      </c>
      <c r="H99" s="527"/>
      <c r="I99" s="88"/>
      <c r="J99" s="391"/>
      <c r="K99" s="525">
        <f>$C$27</f>
        <v>46023</v>
      </c>
      <c r="L99" s="526"/>
      <c r="M99" s="525">
        <f>$D$21</f>
        <v>46082</v>
      </c>
      <c r="N99" s="526"/>
      <c r="O99" s="527" t="str">
        <f>$E$21</f>
        <v>Proposed</v>
      </c>
      <c r="P99" s="527"/>
    </row>
    <row r="100" spans="2:16">
      <c r="B100" s="391"/>
      <c r="C100" s="54" t="s">
        <v>594</v>
      </c>
      <c r="D100" s="54" t="s">
        <v>595</v>
      </c>
      <c r="E100" s="54" t="s">
        <v>594</v>
      </c>
      <c r="F100" s="54" t="s">
        <v>595</v>
      </c>
      <c r="G100" s="54" t="s">
        <v>594</v>
      </c>
      <c r="H100" s="54" t="s">
        <v>595</v>
      </c>
      <c r="I100" s="54"/>
      <c r="J100" s="391"/>
      <c r="K100" s="54" t="s">
        <v>594</v>
      </c>
      <c r="L100" s="54" t="s">
        <v>595</v>
      </c>
      <c r="M100" s="54" t="s">
        <v>594</v>
      </c>
      <c r="N100" s="54" t="s">
        <v>595</v>
      </c>
      <c r="O100" s="54" t="s">
        <v>594</v>
      </c>
      <c r="P100" s="54" t="s">
        <v>595</v>
      </c>
    </row>
    <row r="101" spans="2:16">
      <c r="B101" s="18" t="s">
        <v>600</v>
      </c>
      <c r="C101" s="54">
        <f>$C$22*MIN(I22,$B$98)+IF($B$98-I22&gt;0,$C$23*($B$98-I22))+(+($C$25*365.25/12))</f>
        <v>197.717708125</v>
      </c>
      <c r="D101" s="54">
        <f>$C$22*MIN(J22,$B$98)+IF($B$98-J22&gt;0,$C$23*($B$98-J22))+($C$25*365.25/12)</f>
        <v>204.99683625</v>
      </c>
      <c r="E101" s="54">
        <f>$D$22*MIN(I22,$B$98)+IF($B$98-I22&gt;0,$D$23*($B$98-I22))+($D$25*365.25/12)</f>
        <v>194.20897545424748</v>
      </c>
      <c r="F101" s="54">
        <f>$D$22*MIN(J22,$B$98)+IF($B$98-J22&gt;0,$D$23*($B$98-J22))+($D$25*365.25/12)</f>
        <v>200.40323307543355</v>
      </c>
      <c r="G101" s="54">
        <f>$E$22*MIN(I22,$B$98)+IF($B$98-I22&gt;0,$E$23*($B$98-I22))+($E$25*365.25/12)</f>
        <v>194.20897545424748</v>
      </c>
      <c r="H101" s="54">
        <f>$E$22*MIN(J22,$B$98)+IF($B$98-J22&gt;0,$E$23*($B$98-J22))+($E$25*365.25/12)</f>
        <v>200.40323307543355</v>
      </c>
      <c r="I101" s="54"/>
      <c r="J101" s="18" t="s">
        <v>600</v>
      </c>
      <c r="K101" s="54">
        <f>$C$22*MIN(M22,$B$98)+IF($B$98-M22&gt;0,$C$23*($B$98-M22))+($C$25*365.25/12)</f>
        <v>192.76790099999999</v>
      </c>
      <c r="L101" s="54">
        <f>$C$22*MIN(N22,$B$98)+IF($B$98-N22&gt;0,$C$23*($B$98-N22))+($C$25*365.25/12)</f>
        <v>189.19499999999999</v>
      </c>
      <c r="M101" s="54">
        <f>$D$22*MIN(M22,$B$98)+IF($B$98-M22&gt;0,$D$23*($B$98-M22))+($D$25*365.25/12)</f>
        <v>189.99688027184098</v>
      </c>
      <c r="N101" s="54">
        <f>$D$22*MIN(N22,$B$98)+IF($B$98-N22&gt;0,$D$23*($B$98-N22))+($D$25*365.25/12)</f>
        <v>186.95647915938036</v>
      </c>
      <c r="O101" s="54">
        <f>$E$22*MIN(M22,$B$98)+IF($B$98-M22&gt;0,$E$23*($B$98-M22))+($E$25*365.25/12)</f>
        <v>189.99688027184098</v>
      </c>
      <c r="P101" s="54">
        <f>$E$22*MIN(N22,$B$98)+IF($B$98-N22&gt;0,$E$23*($B$98-N22))+($E$25*365.25/12)</f>
        <v>186.95647915938036</v>
      </c>
    </row>
    <row r="102" spans="2:16">
      <c r="B102" s="18" t="s">
        <v>602</v>
      </c>
      <c r="C102" s="54">
        <f>$C$22*MIN(I23,$B$98)+IF($B$98-I23&gt;0,$C$23*($B$98-I23))+(+($C$25*365.25/12))</f>
        <v>208.49081775000002</v>
      </c>
      <c r="D102" s="54">
        <f t="shared" ref="D102:D110" si="60">$C$22*MIN(J23,$B$98)+IF($B$98-J23&gt;0,$C$23*($B$98-J23))+($C$25*365.25/12)</f>
        <v>204.99683625</v>
      </c>
      <c r="E102" s="54">
        <f t="shared" ref="E102:E110" si="61">$D$22*MIN(I23,$B$98)+IF($B$98-I23&gt;0,$D$23*($B$98-I23))+($D$25*365.25/12)</f>
        <v>203.37647673360286</v>
      </c>
      <c r="F102" s="54">
        <f t="shared" ref="F102:F110" si="62">$D$22*MIN(J23,$B$98)+IF($B$98-J23&gt;0,$D$23*($B$98-J23))+($D$25*365.25/12)</f>
        <v>200.40323307543355</v>
      </c>
      <c r="G102" s="54">
        <f t="shared" ref="G102:G110" si="63">$E$22*MIN(I23,$B$98)+IF($B$98-I23&gt;0,$E$23*($B$98-I23))+($E$25*365.25/12)</f>
        <v>203.37647673360286</v>
      </c>
      <c r="H102" s="54">
        <f t="shared" ref="H102:H110" si="64">$E$22*MIN(J23,$B$98)+IF($B$98-J23&gt;0,$E$23*($B$98-J23))+($E$25*365.25/12)</f>
        <v>200.40323307543355</v>
      </c>
      <c r="I102" s="54"/>
      <c r="J102" s="18" t="s">
        <v>602</v>
      </c>
      <c r="K102" s="54">
        <f t="shared" ref="K102:K110" si="65">$C$22*MIN(M23,$B$98)+IF($B$98-M23&gt;0,$C$23*($B$98-M23))+($C$25*365.25/12)</f>
        <v>212.275964375</v>
      </c>
      <c r="L102" s="54">
        <f t="shared" ref="L102:L110" si="66">$C$22*MIN(N23,$B$98)+IF($B$98-N23&gt;0,$C$23*($B$98-N23))+($C$25*365.25/12)</f>
        <v>189.19499999999999</v>
      </c>
      <c r="M102" s="54">
        <f t="shared" ref="M102:N110" si="67">$D$22*MIN(M23,$B$98)+IF($B$98-M23&gt;0,$D$23*($B$98-M23))+($D$25*365.25/12)</f>
        <v>206.59749069661959</v>
      </c>
      <c r="N102" s="54">
        <f t="shared" si="67"/>
        <v>186.95647915938036</v>
      </c>
      <c r="O102" s="54">
        <f t="shared" ref="O102:O110" si="68">$E$22*MIN(M23,$B$98)+IF($B$98-M23&gt;0,$E$23*($B$98-M23))+($E$25*365.25/12)</f>
        <v>206.59749069661959</v>
      </c>
      <c r="P102" s="54">
        <f t="shared" ref="P102:P110" si="69">$E$22*MIN(N23,$B$98)+IF($B$98-N23&gt;0,$E$23*($B$98-N23))+($E$25*365.25/12)</f>
        <v>186.95647915938036</v>
      </c>
    </row>
    <row r="103" spans="2:16">
      <c r="B103" s="18" t="s">
        <v>603</v>
      </c>
      <c r="C103" s="54">
        <f t="shared" ref="C103:C110" si="70">$C$22*MIN(I24,$B$98)+IF($B$98-I24&gt;0,$C$23*($B$98-I24))+(+($C$25*365.25/12))</f>
        <v>189.19499999999999</v>
      </c>
      <c r="D103" s="54">
        <f t="shared" si="60"/>
        <v>206.74382700000001</v>
      </c>
      <c r="E103" s="54">
        <f t="shared" si="61"/>
        <v>186.95647915938036</v>
      </c>
      <c r="F103" s="54">
        <f t="shared" si="62"/>
        <v>201.88985490451822</v>
      </c>
      <c r="G103" s="54">
        <f t="shared" si="63"/>
        <v>186.95647915938036</v>
      </c>
      <c r="H103" s="54">
        <f t="shared" si="64"/>
        <v>201.88985490451822</v>
      </c>
      <c r="I103" s="54"/>
      <c r="J103" s="18" t="s">
        <v>603</v>
      </c>
      <c r="K103" s="54">
        <f t="shared" si="65"/>
        <v>189.19499999999999</v>
      </c>
      <c r="L103" s="54">
        <f t="shared" si="66"/>
        <v>189.19499999999999</v>
      </c>
      <c r="M103" s="54">
        <f t="shared" si="67"/>
        <v>186.95647915938036</v>
      </c>
      <c r="N103" s="54">
        <f t="shared" si="67"/>
        <v>186.95647915938036</v>
      </c>
      <c r="O103" s="54">
        <f t="shared" si="68"/>
        <v>186.95647915938036</v>
      </c>
      <c r="P103" s="54">
        <f t="shared" si="69"/>
        <v>186.95647915938036</v>
      </c>
    </row>
    <row r="104" spans="2:16">
      <c r="B104" s="18" t="s">
        <v>604</v>
      </c>
      <c r="C104" s="54">
        <f t="shared" si="70"/>
        <v>193.35023125000001</v>
      </c>
      <c r="D104" s="54">
        <f t="shared" si="60"/>
        <v>207.32615724999999</v>
      </c>
      <c r="E104" s="54">
        <f t="shared" si="61"/>
        <v>190.49242088153585</v>
      </c>
      <c r="F104" s="54">
        <f t="shared" si="62"/>
        <v>202.38539551421309</v>
      </c>
      <c r="G104" s="54">
        <f t="shared" si="63"/>
        <v>190.49242088153585</v>
      </c>
      <c r="H104" s="54">
        <f t="shared" si="64"/>
        <v>202.38539551421309</v>
      </c>
      <c r="I104" s="54"/>
      <c r="J104" s="18" t="s">
        <v>604</v>
      </c>
      <c r="K104" s="54">
        <f t="shared" si="65"/>
        <v>189.19499999999999</v>
      </c>
      <c r="L104" s="54">
        <f t="shared" si="66"/>
        <v>189.19499999999999</v>
      </c>
      <c r="M104" s="54">
        <f t="shared" si="67"/>
        <v>186.95647915938036</v>
      </c>
      <c r="N104" s="54">
        <f t="shared" si="67"/>
        <v>186.95647915938036</v>
      </c>
      <c r="O104" s="54">
        <f t="shared" si="68"/>
        <v>186.95647915938036</v>
      </c>
      <c r="P104" s="54">
        <f t="shared" si="69"/>
        <v>186.95647915938036</v>
      </c>
    </row>
    <row r="105" spans="2:16">
      <c r="B105" s="18" t="s">
        <v>606</v>
      </c>
      <c r="C105" s="54">
        <f t="shared" si="70"/>
        <v>218.09926687500001</v>
      </c>
      <c r="D105" s="54">
        <f t="shared" si="60"/>
        <v>215.18761562500003</v>
      </c>
      <c r="E105" s="54">
        <f t="shared" si="61"/>
        <v>211.55289679356846</v>
      </c>
      <c r="F105" s="54">
        <f t="shared" si="62"/>
        <v>209.07519374509403</v>
      </c>
      <c r="G105" s="54">
        <f t="shared" si="63"/>
        <v>211.55289679356846</v>
      </c>
      <c r="H105" s="54">
        <f t="shared" si="64"/>
        <v>209.07519374509403</v>
      </c>
      <c r="I105" s="54"/>
      <c r="J105" s="18" t="s">
        <v>606</v>
      </c>
      <c r="K105" s="54">
        <f t="shared" si="65"/>
        <v>216.352276125</v>
      </c>
      <c r="L105" s="54">
        <f t="shared" si="66"/>
        <v>199.46469887500001</v>
      </c>
      <c r="M105" s="54">
        <f t="shared" si="67"/>
        <v>210.0662749644838</v>
      </c>
      <c r="N105" s="54">
        <f t="shared" si="67"/>
        <v>195.69559728333212</v>
      </c>
      <c r="O105" s="54">
        <f t="shared" si="68"/>
        <v>210.0662749644838</v>
      </c>
      <c r="P105" s="54">
        <f t="shared" si="69"/>
        <v>195.69559728333212</v>
      </c>
    </row>
    <row r="106" spans="2:16">
      <c r="B106" s="18" t="s">
        <v>607</v>
      </c>
      <c r="C106" s="54">
        <f t="shared" si="70"/>
        <v>216.352276125</v>
      </c>
      <c r="D106" s="54">
        <f t="shared" si="60"/>
        <v>213.44062487500003</v>
      </c>
      <c r="E106" s="54">
        <f t="shared" si="61"/>
        <v>210.0662749644838</v>
      </c>
      <c r="F106" s="54">
        <f t="shared" si="62"/>
        <v>207.58857191600939</v>
      </c>
      <c r="G106" s="54">
        <f t="shared" si="63"/>
        <v>210.0662749644838</v>
      </c>
      <c r="H106" s="54">
        <f t="shared" si="64"/>
        <v>207.58857191600939</v>
      </c>
      <c r="I106" s="54"/>
      <c r="J106" s="18" t="s">
        <v>607</v>
      </c>
      <c r="K106" s="54">
        <f t="shared" si="65"/>
        <v>206.74382700000001</v>
      </c>
      <c r="L106" s="54">
        <f t="shared" si="66"/>
        <v>189.19499999999999</v>
      </c>
      <c r="M106" s="54">
        <f t="shared" si="67"/>
        <v>201.88985490451822</v>
      </c>
      <c r="N106" s="54">
        <f t="shared" si="67"/>
        <v>186.95647915938036</v>
      </c>
      <c r="O106" s="54">
        <f t="shared" si="68"/>
        <v>201.88985490451822</v>
      </c>
      <c r="P106" s="54">
        <f t="shared" si="69"/>
        <v>186.95647915938036</v>
      </c>
    </row>
    <row r="107" spans="2:16">
      <c r="B107" s="18" t="s">
        <v>608</v>
      </c>
      <c r="C107" s="54">
        <f t="shared" si="70"/>
        <v>189.19499999999999</v>
      </c>
      <c r="D107" s="54">
        <f t="shared" si="60"/>
        <v>208.49081775000002</v>
      </c>
      <c r="E107" s="54">
        <f t="shared" si="61"/>
        <v>186.95647915938036</v>
      </c>
      <c r="F107" s="54">
        <f t="shared" si="62"/>
        <v>203.37647673360286</v>
      </c>
      <c r="G107" s="54">
        <f t="shared" si="63"/>
        <v>186.95647915938036</v>
      </c>
      <c r="H107" s="54">
        <f t="shared" si="64"/>
        <v>203.37647673360286</v>
      </c>
      <c r="I107" s="54"/>
      <c r="J107" s="18" t="s">
        <v>608</v>
      </c>
      <c r="K107" s="54">
        <f t="shared" si="65"/>
        <v>189.19499999999999</v>
      </c>
      <c r="L107" s="54">
        <f t="shared" si="66"/>
        <v>189.19499999999999</v>
      </c>
      <c r="M107" s="54">
        <f t="shared" si="67"/>
        <v>186.95647915938036</v>
      </c>
      <c r="N107" s="54">
        <f t="shared" si="67"/>
        <v>186.95647915938036</v>
      </c>
      <c r="O107" s="54">
        <f t="shared" si="68"/>
        <v>186.95647915938036</v>
      </c>
      <c r="P107" s="54">
        <f t="shared" si="69"/>
        <v>186.95647915938036</v>
      </c>
    </row>
    <row r="108" spans="2:16">
      <c r="B108" s="18" t="s">
        <v>118</v>
      </c>
      <c r="C108" s="54">
        <f t="shared" si="70"/>
        <v>208.49081775000002</v>
      </c>
      <c r="D108" s="54">
        <f t="shared" si="60"/>
        <v>208.78198287500001</v>
      </c>
      <c r="E108" s="54">
        <f t="shared" si="61"/>
        <v>203.37647673360286</v>
      </c>
      <c r="F108" s="54">
        <f t="shared" si="62"/>
        <v>203.62424703845031</v>
      </c>
      <c r="G108" s="54">
        <f t="shared" si="63"/>
        <v>203.37647673360286</v>
      </c>
      <c r="H108" s="54">
        <f t="shared" si="64"/>
        <v>203.62424703845031</v>
      </c>
      <c r="I108" s="54"/>
      <c r="J108" s="18" t="s">
        <v>118</v>
      </c>
      <c r="K108" s="54">
        <f t="shared" si="65"/>
        <v>212.275964375</v>
      </c>
      <c r="L108" s="54">
        <f t="shared" si="66"/>
        <v>194.51489175</v>
      </c>
      <c r="M108" s="54">
        <f t="shared" si="67"/>
        <v>206.59749069661959</v>
      </c>
      <c r="N108" s="54">
        <f t="shared" si="67"/>
        <v>191.48350210092562</v>
      </c>
      <c r="O108" s="54">
        <f t="shared" si="68"/>
        <v>206.59749069661959</v>
      </c>
      <c r="P108" s="54">
        <f t="shared" si="69"/>
        <v>191.48350210092562</v>
      </c>
    </row>
    <row r="109" spans="2:16">
      <c r="B109" s="18" t="s">
        <v>609</v>
      </c>
      <c r="C109" s="54">
        <f t="shared" si="70"/>
        <v>206.45266187499999</v>
      </c>
      <c r="D109" s="54">
        <f t="shared" si="60"/>
        <v>204.70567112499998</v>
      </c>
      <c r="E109" s="54">
        <f t="shared" si="61"/>
        <v>201.64208459967077</v>
      </c>
      <c r="F109" s="54">
        <f t="shared" si="62"/>
        <v>200.1554627705861</v>
      </c>
      <c r="G109" s="54">
        <f t="shared" si="63"/>
        <v>201.64208459967077</v>
      </c>
      <c r="H109" s="54">
        <f t="shared" si="64"/>
        <v>200.1554627705861</v>
      </c>
      <c r="I109" s="54"/>
      <c r="J109" s="18" t="s">
        <v>609</v>
      </c>
      <c r="K109" s="54">
        <f t="shared" si="65"/>
        <v>202.08518500000002</v>
      </c>
      <c r="L109" s="54">
        <f t="shared" si="66"/>
        <v>189.19499999999999</v>
      </c>
      <c r="M109" s="54">
        <f t="shared" si="67"/>
        <v>197.92553002695914</v>
      </c>
      <c r="N109" s="54">
        <f t="shared" si="67"/>
        <v>186.95647915938036</v>
      </c>
      <c r="O109" s="54">
        <f t="shared" si="68"/>
        <v>197.92553002695914</v>
      </c>
      <c r="P109" s="54">
        <f t="shared" si="69"/>
        <v>186.95647915938036</v>
      </c>
    </row>
    <row r="110" spans="2:16">
      <c r="B110" s="18" t="s">
        <v>610</v>
      </c>
      <c r="C110" s="54">
        <f t="shared" si="70"/>
        <v>219.84625762500002</v>
      </c>
      <c r="D110" s="54">
        <f t="shared" si="60"/>
        <v>214.31412024999997</v>
      </c>
      <c r="E110" s="54">
        <f t="shared" si="61"/>
        <v>213.03951862265311</v>
      </c>
      <c r="F110" s="54">
        <f t="shared" si="62"/>
        <v>208.33188283055168</v>
      </c>
      <c r="G110" s="54">
        <f t="shared" si="63"/>
        <v>213.03951862265311</v>
      </c>
      <c r="H110" s="54">
        <f t="shared" si="64"/>
        <v>208.33188283055168</v>
      </c>
      <c r="I110" s="54"/>
      <c r="J110" s="18" t="s">
        <v>610</v>
      </c>
      <c r="K110" s="54">
        <f t="shared" si="65"/>
        <v>217.51693662500003</v>
      </c>
      <c r="L110" s="54">
        <f t="shared" si="66"/>
        <v>191.31207537500001</v>
      </c>
      <c r="M110" s="54">
        <f t="shared" si="67"/>
        <v>211.05735618387357</v>
      </c>
      <c r="N110" s="54">
        <f t="shared" si="67"/>
        <v>188.75802874760373</v>
      </c>
      <c r="O110" s="54">
        <f t="shared" si="68"/>
        <v>211.05735618387357</v>
      </c>
      <c r="P110" s="54">
        <f t="shared" si="69"/>
        <v>188.75802874760373</v>
      </c>
    </row>
    <row r="111" spans="2:16">
      <c r="B111" s="18" t="s">
        <v>617</v>
      </c>
      <c r="C111" s="68">
        <f t="shared" ref="C111:H111" si="71">SUMPRODUCT(C101:C110,$U$22:$U$31)</f>
        <v>194.75035484986034</v>
      </c>
      <c r="D111" s="68">
        <f t="shared" si="71"/>
        <v>207.64966747668257</v>
      </c>
      <c r="E111" s="68">
        <f t="shared" si="71"/>
        <v>191.68387212818325</v>
      </c>
      <c r="F111" s="68">
        <f t="shared" si="71"/>
        <v>202.66069025456505</v>
      </c>
      <c r="G111" s="68">
        <f t="shared" si="71"/>
        <v>191.68387212818325</v>
      </c>
      <c r="H111" s="68">
        <f t="shared" si="71"/>
        <v>202.66069025456505</v>
      </c>
      <c r="I111" s="68"/>
      <c r="J111" s="18" t="s">
        <v>617</v>
      </c>
      <c r="K111" s="68">
        <f t="shared" ref="K111:P111" si="72">SUMPRODUCT(K101:K110,$AC$22:$AC$31)</f>
        <v>193.60703581557385</v>
      </c>
      <c r="L111" s="68">
        <f t="shared" si="72"/>
        <v>189.77262837624085</v>
      </c>
      <c r="M111" s="68">
        <f t="shared" si="72"/>
        <v>190.71095167398033</v>
      </c>
      <c r="N111" s="68">
        <f t="shared" si="72"/>
        <v>187.4480186556361</v>
      </c>
      <c r="O111" s="68">
        <f t="shared" si="72"/>
        <v>190.71095167398033</v>
      </c>
      <c r="P111" s="68">
        <f t="shared" si="72"/>
        <v>187.4480186556361</v>
      </c>
    </row>
    <row r="113" spans="2:16">
      <c r="B113" s="450">
        <f>'Hypothetical Summary'!D3</f>
        <v>500</v>
      </c>
      <c r="C113" s="545" t="s">
        <v>633</v>
      </c>
      <c r="D113" s="524"/>
      <c r="E113" s="524"/>
      <c r="F113" s="524"/>
      <c r="G113" s="524"/>
      <c r="H113" s="524"/>
      <c r="J113" s="450">
        <f>'Hypothetical Summary'!D3</f>
        <v>500</v>
      </c>
      <c r="K113" s="545" t="s">
        <v>682</v>
      </c>
      <c r="L113" s="524"/>
      <c r="M113" s="524"/>
      <c r="N113" s="524"/>
      <c r="O113" s="524"/>
      <c r="P113" s="524"/>
    </row>
    <row r="114" spans="2:16">
      <c r="B114" s="391"/>
      <c r="C114" s="525">
        <f>$C$27</f>
        <v>46023</v>
      </c>
      <c r="D114" s="526"/>
      <c r="E114" s="525">
        <f>$D$27</f>
        <v>46082</v>
      </c>
      <c r="F114" s="526"/>
      <c r="G114" s="527" t="str">
        <f>$E$21</f>
        <v>Proposed</v>
      </c>
      <c r="H114" s="527"/>
      <c r="I114" s="88"/>
      <c r="J114" s="391"/>
      <c r="K114" s="525">
        <f>$C$27</f>
        <v>46023</v>
      </c>
      <c r="L114" s="526"/>
      <c r="M114" s="525">
        <f>$D$21</f>
        <v>46082</v>
      </c>
      <c r="N114" s="526"/>
      <c r="O114" s="527" t="str">
        <f>$E$21</f>
        <v>Proposed</v>
      </c>
      <c r="P114" s="527"/>
    </row>
    <row r="115" spans="2:16">
      <c r="B115" s="391"/>
      <c r="C115" s="54" t="s">
        <v>594</v>
      </c>
      <c r="D115" s="54" t="s">
        <v>595</v>
      </c>
      <c r="E115" s="54" t="s">
        <v>594</v>
      </c>
      <c r="F115" s="54" t="s">
        <v>595</v>
      </c>
      <c r="G115" s="54" t="s">
        <v>594</v>
      </c>
      <c r="H115" s="54" t="s">
        <v>595</v>
      </c>
      <c r="I115" s="54"/>
      <c r="J115" s="391"/>
      <c r="K115" s="54" t="s">
        <v>594</v>
      </c>
      <c r="L115" s="54" t="s">
        <v>595</v>
      </c>
      <c r="M115" s="54" t="s">
        <v>594</v>
      </c>
      <c r="N115" s="54" t="s">
        <v>595</v>
      </c>
      <c r="O115" s="54" t="s">
        <v>594</v>
      </c>
      <c r="P115" s="54" t="s">
        <v>595</v>
      </c>
    </row>
    <row r="116" spans="2:16">
      <c r="B116" s="18" t="s">
        <v>600</v>
      </c>
      <c r="C116" s="54">
        <f>$C$28*MIN(I22,$B$113)+IF($B$113-I22&gt;0,$C$29*($B$113-I22))+($C$31*365.25/12)</f>
        <v>120.6589584375</v>
      </c>
      <c r="D116" s="54">
        <f>$C$28*MIN(J22,$B$113)+IF($B$113-J22&gt;0,$C$29*($B$113-J22))+($C$25*365.25/12)+($C$31*365.25/12)</f>
        <v>125.389706875</v>
      </c>
      <c r="E116" s="54">
        <f>$D$28*MIN(I22,$B$113)+IF($B$113-I22&gt;0,$D$29*($B$113-I22))+($D$31*365.25/12)</f>
        <v>111.35043948504673</v>
      </c>
      <c r="F116" s="54">
        <f>$D$28*MIN(J22,$B$113)+IF($B$113-J22&gt;0,$D$29*($B$113-J22))+($D$31*365.25/12)</f>
        <v>115.37670693881775</v>
      </c>
      <c r="G116" s="54">
        <f>$E$28*MIN(I22,$B$113)+IF($B$113-I22&gt;0,$E$29*($B$113-I22))+($E$31*365.25/12)</f>
        <v>111.35043948504673</v>
      </c>
      <c r="H116" s="54">
        <f>$E$28*MIN(J22,$B$113)+IF($B$113-J22&gt;0,$E$29*($B$113-J22))+($E$31*365.25/12)</f>
        <v>115.37670693881775</v>
      </c>
      <c r="I116" s="54"/>
      <c r="J116" s="18" t="s">
        <v>600</v>
      </c>
      <c r="K116" s="54">
        <f>$C$28*MIN(M22,$B$113)+IF($B$113-M22&gt;0,$C$29*($B$113-M22))+($C$31*365.25/12)</f>
        <v>117.4420495</v>
      </c>
      <c r="L116" s="54">
        <f>$C$28*MIN(N22,$B$113)+IF($B$113-N22&gt;0,$C$29*($B$113-N22))+($C$31*365.25/12)</f>
        <v>115.12</v>
      </c>
      <c r="M116" s="54">
        <f>$D$28*MIN(M22,$B$113)+IF($B$113-M22&gt;0,$D$29*($B$113-M22))+($D$31*365.25/12)</f>
        <v>108.61257761648245</v>
      </c>
      <c r="N116" s="54">
        <f>$D$28*MIN(N22,$B$113)+IF($B$113-N22&gt;0,$D$29*($B$113-N22))+($D$31*365.25/12)</f>
        <v>106.63631689338303</v>
      </c>
      <c r="O116" s="54">
        <f>$E$28*MIN(M22,$B$113)+IF($B$113-M22&gt;0,$E$29*($B$113-M22))+($E$31*365.25/12)</f>
        <v>108.61257761648245</v>
      </c>
      <c r="P116" s="54">
        <f>$E$28*MIN(N22,$B$113)+IF($B$113-N22&gt;0,$E$29*($B$113-N22))+($E$31*365.25/12)</f>
        <v>106.63631689338303</v>
      </c>
    </row>
    <row r="117" spans="2:16">
      <c r="B117" s="18" t="s">
        <v>602</v>
      </c>
      <c r="C117" s="54">
        <f t="shared" ref="C117:C125" si="73">$C$28*MIN(I23,$B$113)+IF($B$113-I23&gt;0,$C$29*($B$113-I23))+($C$31*365.25/12)</f>
        <v>127.660466125</v>
      </c>
      <c r="D117" s="54">
        <f t="shared" ref="D117:D125" si="74">$C$28*MIN(J23,$B$113)+IF($B$113-J23&gt;0,$C$29*($B$113-J23))+($C$25*365.25/12)+($C$31*365.25/12)</f>
        <v>125.389706875</v>
      </c>
      <c r="E117" s="54">
        <f>$D$28*MIN(I23,$B$113)+IF($B$113-I23&gt;0,$D$29*($B$113-I23))+($D$31*365.25/12)</f>
        <v>117.30931531662785</v>
      </c>
      <c r="F117" s="54">
        <f t="shared" ref="F117:F125" si="75">$D$28*MIN(J23,$B$113)+IF($B$113-J23&gt;0,$D$29*($B$113-J23))+($D$31*365.25/12)</f>
        <v>115.37670693881775</v>
      </c>
      <c r="G117" s="54">
        <f t="shared" ref="G117:G125" si="76">$E$28*MIN(I23,$B$113)+IF($B$113-I23&gt;0,$E$29*($B$113-I23))+($E$31*365.25/12)</f>
        <v>117.30931531662785</v>
      </c>
      <c r="H117" s="54">
        <f t="shared" ref="H117:H125" si="77">$E$28*MIN(J23,$B$113)+IF($B$113-J23&gt;0,$E$29*($B$113-J23))+($E$31*365.25/12)</f>
        <v>115.37670693881775</v>
      </c>
      <c r="I117" s="54"/>
      <c r="J117" s="18" t="s">
        <v>602</v>
      </c>
      <c r="K117" s="54">
        <f t="shared" ref="K117:K125" si="78">$C$28*MIN(M23,$B$113)+IF($B$113-M23&gt;0,$C$29*($B$113-M23))+($C$31*365.25/12)</f>
        <v>130.12045531250001</v>
      </c>
      <c r="L117" s="54">
        <f t="shared" ref="L117:L125" si="79">$C$28*MIN(N23,$B$113)+IF($B$113-N23&gt;0,$C$29*($B$113-N23))+($C$31*365.25/12)</f>
        <v>115.12</v>
      </c>
      <c r="M117" s="54">
        <f t="shared" ref="M117:N125" si="80">$D$28*MIN(M23,$B$113)+IF($B$113-M23&gt;0,$D$29*($B$113-M23))+($D$31*365.25/12)</f>
        <v>119.40297439258876</v>
      </c>
      <c r="N117" s="54">
        <f t="shared" si="80"/>
        <v>106.63631689338303</v>
      </c>
      <c r="O117" s="54">
        <f t="shared" ref="O117:O125" si="81">$E$28*MIN(M23,$B$113)+IF($B$113-M23&gt;0,$E$29*($B$113-M23))+($E$31*365.25/12)</f>
        <v>119.40297439258876</v>
      </c>
      <c r="P117" s="54">
        <f t="shared" ref="P117:P125" si="82">$E$28*MIN(N23,$B$113)+IF($B$113-N23&gt;0,$E$29*($B$113-N23))+($E$31*365.25/12)</f>
        <v>106.63631689338303</v>
      </c>
    </row>
    <row r="118" spans="2:16">
      <c r="B118" s="18" t="s">
        <v>603</v>
      </c>
      <c r="C118" s="54">
        <f t="shared" si="73"/>
        <v>115.12</v>
      </c>
      <c r="D118" s="54">
        <f t="shared" si="74"/>
        <v>126.52508650000001</v>
      </c>
      <c r="E118" s="54">
        <f>$D$28*MIN(I24,$B$113)+IF($B$113-I24&gt;0,$D$29*($B$113-I24))+($D$31*365.25/12)</f>
        <v>106.63631689338303</v>
      </c>
      <c r="F118" s="54">
        <f t="shared" si="75"/>
        <v>116.34301112772279</v>
      </c>
      <c r="G118" s="54">
        <f t="shared" si="76"/>
        <v>106.63631689338303</v>
      </c>
      <c r="H118" s="54">
        <f t="shared" si="77"/>
        <v>116.34301112772279</v>
      </c>
      <c r="I118" s="54"/>
      <c r="J118" s="18" t="s">
        <v>603</v>
      </c>
      <c r="K118" s="54">
        <f t="shared" si="78"/>
        <v>115.12</v>
      </c>
      <c r="L118" s="54">
        <f t="shared" si="79"/>
        <v>115.12</v>
      </c>
      <c r="M118" s="54">
        <f t="shared" si="80"/>
        <v>106.63631689338303</v>
      </c>
      <c r="N118" s="54">
        <f t="shared" si="80"/>
        <v>106.63631689338303</v>
      </c>
      <c r="O118" s="54">
        <f t="shared" si="81"/>
        <v>106.63631689338303</v>
      </c>
      <c r="P118" s="54">
        <f t="shared" si="82"/>
        <v>106.63631689338303</v>
      </c>
    </row>
    <row r="119" spans="2:16">
      <c r="B119" s="18" t="s">
        <v>604</v>
      </c>
      <c r="C119" s="54">
        <f t="shared" si="73"/>
        <v>117.820509375</v>
      </c>
      <c r="D119" s="54">
        <f t="shared" si="74"/>
        <v>126.903546375</v>
      </c>
      <c r="E119" s="54">
        <f t="shared" ref="E119:E125" si="83">$D$28*MIN(I25,$B$113)+IF($B$113-I25&gt;0,$D$29*($B$113-I25))+($D$31*365.25/12)</f>
        <v>108.93467901278413</v>
      </c>
      <c r="F119" s="54">
        <f t="shared" si="75"/>
        <v>116.66511252402448</v>
      </c>
      <c r="G119" s="54">
        <f t="shared" si="76"/>
        <v>108.93467901278413</v>
      </c>
      <c r="H119" s="54">
        <f t="shared" si="77"/>
        <v>116.66511252402448</v>
      </c>
      <c r="I119" s="54"/>
      <c r="J119" s="18" t="s">
        <v>604</v>
      </c>
      <c r="K119" s="54">
        <f t="shared" si="78"/>
        <v>115.12</v>
      </c>
      <c r="L119" s="54">
        <f t="shared" si="79"/>
        <v>115.12</v>
      </c>
      <c r="M119" s="54">
        <f t="shared" si="80"/>
        <v>106.63631689338303</v>
      </c>
      <c r="N119" s="54">
        <f t="shared" si="80"/>
        <v>106.63631689338303</v>
      </c>
      <c r="O119" s="54">
        <f t="shared" si="81"/>
        <v>106.63631689338303</v>
      </c>
      <c r="P119" s="54">
        <f t="shared" si="82"/>
        <v>106.63631689338303</v>
      </c>
    </row>
    <row r="120" spans="2:16">
      <c r="B120" s="18" t="s">
        <v>606</v>
      </c>
      <c r="C120" s="54">
        <f t="shared" si="73"/>
        <v>133.9050540625</v>
      </c>
      <c r="D120" s="54">
        <f t="shared" si="74"/>
        <v>132.01275468750001</v>
      </c>
      <c r="E120" s="54">
        <f t="shared" si="83"/>
        <v>122.62398835560558</v>
      </c>
      <c r="F120" s="54">
        <f>$D$28*MIN(J26,$B$113)+IF($B$113-J26&gt;0,$D$29*($B$113-J26))+($D$31*365.25/12)</f>
        <v>121.01348137409718</v>
      </c>
      <c r="G120" s="54">
        <f t="shared" si="76"/>
        <v>122.62398835560558</v>
      </c>
      <c r="H120" s="54">
        <f t="shared" si="77"/>
        <v>121.01348137409718</v>
      </c>
      <c r="I120" s="54"/>
      <c r="J120" s="18" t="s">
        <v>606</v>
      </c>
      <c r="K120" s="54">
        <f t="shared" si="78"/>
        <v>132.76967443749999</v>
      </c>
      <c r="L120" s="54">
        <f t="shared" si="79"/>
        <v>121.7943380625</v>
      </c>
      <c r="M120" s="54">
        <f t="shared" si="80"/>
        <v>121.65768416670053</v>
      </c>
      <c r="N120" s="54">
        <f t="shared" si="80"/>
        <v>112.31674367395178</v>
      </c>
      <c r="O120" s="54">
        <f t="shared" si="81"/>
        <v>121.65768416670053</v>
      </c>
      <c r="P120" s="54">
        <f t="shared" si="82"/>
        <v>112.31674367395178</v>
      </c>
    </row>
    <row r="121" spans="2:16">
      <c r="B121" s="18" t="s">
        <v>607</v>
      </c>
      <c r="C121" s="54">
        <f t="shared" si="73"/>
        <v>132.76967443749999</v>
      </c>
      <c r="D121" s="54">
        <f t="shared" si="74"/>
        <v>130.87737506249999</v>
      </c>
      <c r="E121" s="54">
        <f t="shared" si="83"/>
        <v>121.65768416670053</v>
      </c>
      <c r="F121" s="54">
        <f t="shared" si="75"/>
        <v>120.04717718519213</v>
      </c>
      <c r="G121" s="54">
        <f t="shared" si="76"/>
        <v>121.65768416670053</v>
      </c>
      <c r="H121" s="54">
        <f t="shared" si="77"/>
        <v>120.04717718519213</v>
      </c>
      <c r="I121" s="54"/>
      <c r="J121" s="18" t="s">
        <v>607</v>
      </c>
      <c r="K121" s="54">
        <f t="shared" si="78"/>
        <v>126.52508650000001</v>
      </c>
      <c r="L121" s="54">
        <f t="shared" si="79"/>
        <v>115.12</v>
      </c>
      <c r="M121" s="54">
        <f t="shared" si="80"/>
        <v>116.34301112772279</v>
      </c>
      <c r="N121" s="54">
        <f t="shared" si="80"/>
        <v>106.63631689338303</v>
      </c>
      <c r="O121" s="54">
        <f t="shared" si="81"/>
        <v>116.34301112772279</v>
      </c>
      <c r="P121" s="54">
        <f t="shared" si="82"/>
        <v>106.63631689338303</v>
      </c>
    </row>
    <row r="122" spans="2:16">
      <c r="B122" s="18" t="s">
        <v>608</v>
      </c>
      <c r="C122" s="54">
        <f t="shared" si="73"/>
        <v>115.12</v>
      </c>
      <c r="D122" s="54">
        <f t="shared" si="74"/>
        <v>127.660466125</v>
      </c>
      <c r="E122" s="54">
        <f t="shared" si="83"/>
        <v>106.63631689338303</v>
      </c>
      <c r="F122" s="54">
        <f t="shared" si="75"/>
        <v>117.30931531662785</v>
      </c>
      <c r="G122" s="54">
        <f t="shared" si="76"/>
        <v>106.63631689338303</v>
      </c>
      <c r="H122" s="54">
        <f t="shared" si="77"/>
        <v>117.30931531662785</v>
      </c>
      <c r="I122" s="54"/>
      <c r="J122" s="18" t="s">
        <v>608</v>
      </c>
      <c r="K122" s="54">
        <f t="shared" si="78"/>
        <v>115.12</v>
      </c>
      <c r="L122" s="54">
        <f t="shared" si="79"/>
        <v>115.12</v>
      </c>
      <c r="M122" s="54">
        <f t="shared" si="80"/>
        <v>106.63631689338303</v>
      </c>
      <c r="N122" s="54">
        <f t="shared" si="80"/>
        <v>106.63631689338303</v>
      </c>
      <c r="O122" s="54">
        <f t="shared" si="81"/>
        <v>106.63631689338303</v>
      </c>
      <c r="P122" s="54">
        <f t="shared" si="82"/>
        <v>106.63631689338303</v>
      </c>
    </row>
    <row r="123" spans="2:16">
      <c r="B123" s="18" t="s">
        <v>118</v>
      </c>
      <c r="C123" s="54">
        <f t="shared" si="73"/>
        <v>127.660466125</v>
      </c>
      <c r="D123" s="54">
        <f t="shared" si="74"/>
        <v>127.84969606249999</v>
      </c>
      <c r="E123" s="54">
        <f t="shared" si="83"/>
        <v>117.30931531662785</v>
      </c>
      <c r="F123" s="54">
        <f t="shared" si="75"/>
        <v>117.47036601477868</v>
      </c>
      <c r="G123" s="54">
        <f t="shared" si="76"/>
        <v>117.30931531662785</v>
      </c>
      <c r="H123" s="54">
        <f t="shared" si="77"/>
        <v>117.47036601477868</v>
      </c>
      <c r="I123" s="54"/>
      <c r="J123" s="18" t="s">
        <v>118</v>
      </c>
      <c r="K123" s="54">
        <f t="shared" si="78"/>
        <v>130.12045531250001</v>
      </c>
      <c r="L123" s="54">
        <f t="shared" si="79"/>
        <v>118.57742912499999</v>
      </c>
      <c r="M123" s="54">
        <f t="shared" si="80"/>
        <v>119.40297439258876</v>
      </c>
      <c r="N123" s="54">
        <f t="shared" si="80"/>
        <v>109.57888180538751</v>
      </c>
      <c r="O123" s="54">
        <f t="shared" si="81"/>
        <v>119.40297439258876</v>
      </c>
      <c r="P123" s="54">
        <f t="shared" si="82"/>
        <v>109.57888180538751</v>
      </c>
    </row>
    <row r="124" spans="2:16">
      <c r="B124" s="18" t="s">
        <v>609</v>
      </c>
      <c r="C124" s="54">
        <f t="shared" si="73"/>
        <v>126.3358565625</v>
      </c>
      <c r="D124" s="54">
        <f t="shared" si="74"/>
        <v>125.2004769375</v>
      </c>
      <c r="E124" s="54">
        <f t="shared" si="83"/>
        <v>116.18196042957194</v>
      </c>
      <c r="F124" s="54">
        <f t="shared" si="75"/>
        <v>115.21565624066692</v>
      </c>
      <c r="G124" s="54">
        <f t="shared" si="76"/>
        <v>116.18196042957194</v>
      </c>
      <c r="H124" s="54">
        <f t="shared" si="77"/>
        <v>115.21565624066692</v>
      </c>
      <c r="I124" s="54"/>
      <c r="J124" s="18" t="s">
        <v>609</v>
      </c>
      <c r="K124" s="54">
        <f t="shared" si="78"/>
        <v>123.49740750000001</v>
      </c>
      <c r="L124" s="54">
        <f t="shared" si="79"/>
        <v>115.12</v>
      </c>
      <c r="M124" s="54">
        <f t="shared" si="80"/>
        <v>113.76619995730934</v>
      </c>
      <c r="N124" s="54">
        <f t="shared" si="80"/>
        <v>106.63631689338303</v>
      </c>
      <c r="O124" s="54">
        <f t="shared" si="81"/>
        <v>113.76619995730934</v>
      </c>
      <c r="P124" s="54">
        <f t="shared" si="82"/>
        <v>106.63631689338303</v>
      </c>
    </row>
    <row r="125" spans="2:16">
      <c r="B125" s="18" t="s">
        <v>610</v>
      </c>
      <c r="C125" s="54">
        <f t="shared" si="73"/>
        <v>135.04043368750001</v>
      </c>
      <c r="D125" s="54">
        <f t="shared" si="74"/>
        <v>131.44506487499999</v>
      </c>
      <c r="E125" s="54">
        <f t="shared" si="83"/>
        <v>123.59029254451062</v>
      </c>
      <c r="F125" s="54">
        <f t="shared" si="75"/>
        <v>120.53032927964463</v>
      </c>
      <c r="G125" s="54">
        <f t="shared" si="76"/>
        <v>123.59029254451062</v>
      </c>
      <c r="H125" s="54">
        <f t="shared" si="77"/>
        <v>120.53032927964463</v>
      </c>
      <c r="I125" s="54"/>
      <c r="J125" s="18" t="s">
        <v>610</v>
      </c>
      <c r="K125" s="54">
        <f t="shared" si="78"/>
        <v>133.5265941875</v>
      </c>
      <c r="L125" s="54">
        <f t="shared" si="79"/>
        <v>116.49589981250001</v>
      </c>
      <c r="M125" s="54">
        <f t="shared" si="80"/>
        <v>122.30188695930391</v>
      </c>
      <c r="N125" s="54">
        <f t="shared" si="80"/>
        <v>107.80732412572826</v>
      </c>
      <c r="O125" s="54">
        <f t="shared" si="81"/>
        <v>122.30188695930391</v>
      </c>
      <c r="P125" s="54">
        <f t="shared" si="82"/>
        <v>107.80732412572826</v>
      </c>
    </row>
    <row r="126" spans="2:16">
      <c r="B126" s="18" t="s">
        <v>617</v>
      </c>
      <c r="C126" s="68">
        <f t="shared" ref="C126:H126" si="84">SUMPRODUCT(C116:C125,$V$22:$V$31)</f>
        <v>116.89178268038819</v>
      </c>
      <c r="D126" s="68">
        <f t="shared" si="84"/>
        <v>127.03188391443483</v>
      </c>
      <c r="E126" s="68">
        <f t="shared" si="84"/>
        <v>108.14425396411255</v>
      </c>
      <c r="F126" s="68">
        <f t="shared" si="84"/>
        <v>116.77433863590721</v>
      </c>
      <c r="G126" s="68">
        <f t="shared" si="84"/>
        <v>108.14425396411255</v>
      </c>
      <c r="H126" s="68">
        <f t="shared" si="84"/>
        <v>116.77433863590721</v>
      </c>
      <c r="I126" s="68"/>
      <c r="J126" s="18" t="s">
        <v>617</v>
      </c>
      <c r="K126" s="68">
        <f t="shared" ref="K126:P126" si="85">SUMPRODUCT(K116:K125,$AD$22:$AD$31)</f>
        <v>116.78719028087056</v>
      </c>
      <c r="L126" s="68">
        <f t="shared" si="85"/>
        <v>115.40736944486729</v>
      </c>
      <c r="M126" s="68">
        <f t="shared" si="85"/>
        <v>108.05523697670496</v>
      </c>
      <c r="N126" s="68">
        <f t="shared" si="85"/>
        <v>106.88089262138115</v>
      </c>
      <c r="O126" s="68">
        <f t="shared" si="85"/>
        <v>108.05523697670496</v>
      </c>
      <c r="P126" s="68">
        <f t="shared" si="85"/>
        <v>106.88089262138115</v>
      </c>
    </row>
  </sheetData>
  <mergeCells count="57">
    <mergeCell ref="K99:L99"/>
    <mergeCell ref="M99:N99"/>
    <mergeCell ref="O99:P99"/>
    <mergeCell ref="K113:P113"/>
    <mergeCell ref="K114:L114"/>
    <mergeCell ref="M114:N114"/>
    <mergeCell ref="O114:P114"/>
    <mergeCell ref="K82:P82"/>
    <mergeCell ref="K83:L83"/>
    <mergeCell ref="M83:N83"/>
    <mergeCell ref="O83:P83"/>
    <mergeCell ref="K98:P98"/>
    <mergeCell ref="K51:L51"/>
    <mergeCell ref="M51:N51"/>
    <mergeCell ref="O51:P51"/>
    <mergeCell ref="K66:P66"/>
    <mergeCell ref="K67:L67"/>
    <mergeCell ref="M67:N67"/>
    <mergeCell ref="O67:P67"/>
    <mergeCell ref="C114:D114"/>
    <mergeCell ref="E114:F114"/>
    <mergeCell ref="G114:H114"/>
    <mergeCell ref="C113:H113"/>
    <mergeCell ref="C99:D99"/>
    <mergeCell ref="E99:F99"/>
    <mergeCell ref="G99:H99"/>
    <mergeCell ref="C98:H98"/>
    <mergeCell ref="C83:D83"/>
    <mergeCell ref="E83:F83"/>
    <mergeCell ref="G83:H83"/>
    <mergeCell ref="C82:H82"/>
    <mergeCell ref="AC20:AD20"/>
    <mergeCell ref="Y21:Z21"/>
    <mergeCell ref="AA21:AB21"/>
    <mergeCell ref="C67:D67"/>
    <mergeCell ref="E67:F67"/>
    <mergeCell ref="G67:H67"/>
    <mergeCell ref="C66:H66"/>
    <mergeCell ref="K34:P34"/>
    <mergeCell ref="K35:L35"/>
    <mergeCell ref="C35:D35"/>
    <mergeCell ref="E35:F35"/>
    <mergeCell ref="G35:H35"/>
    <mergeCell ref="C51:D51"/>
    <mergeCell ref="E51:F51"/>
    <mergeCell ref="G51:H51"/>
    <mergeCell ref="C34:H34"/>
    <mergeCell ref="C50:H50"/>
    <mergeCell ref="B2:D2"/>
    <mergeCell ref="U20:V20"/>
    <mergeCell ref="Q21:R21"/>
    <mergeCell ref="S21:T21"/>
    <mergeCell ref="E3:I3"/>
    <mergeCell ref="P3:T3"/>
    <mergeCell ref="M35:N35"/>
    <mergeCell ref="O35:P35"/>
    <mergeCell ref="K50:P50"/>
  </mergeCells>
  <pageMargins left="0.7" right="0.7" top="0.75" bottom="0.75" header="0.3" footer="0.3"/>
  <pageSetup orientation="portrait" r:id="rId1"/>
  <headerFooter>
    <oddFooter xml:space="preserve">&amp;C_x000D_&amp;1#&amp;"Aptos"&amp;12&amp;K000000 Public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39238-0B17-47C6-B664-48FB6ACB1FA6}">
  <sheetPr codeName="Sheet15">
    <tabColor rgb="FF92D050"/>
    <pageSetUpPr autoPageBreaks="0"/>
  </sheetPr>
  <dimension ref="B1:AB83"/>
  <sheetViews>
    <sheetView zoomScale="70" zoomScaleNormal="70" workbookViewId="0">
      <selection activeCell="AG45" sqref="A1:AG45"/>
    </sheetView>
  </sheetViews>
  <sheetFormatPr defaultColWidth="13.7265625" defaultRowHeight="15.5"/>
  <cols>
    <col min="1" max="1" width="13.7265625" style="124"/>
    <col min="2" max="2" width="24.26953125" style="124" bestFit="1" customWidth="1"/>
    <col min="3" max="15" width="13.7265625" style="124"/>
    <col min="16" max="16" width="18.1796875" style="124" customWidth="1"/>
    <col min="17" max="18" width="13.7265625" style="124"/>
    <col min="19" max="19" width="22.54296875" style="124" bestFit="1" customWidth="1"/>
    <col min="20" max="16384" width="13.7265625" style="124"/>
  </cols>
  <sheetData>
    <row r="1" spans="2:25">
      <c r="B1" s="543"/>
      <c r="C1" s="543"/>
      <c r="D1" s="543"/>
      <c r="E1" s="543"/>
      <c r="F1" s="543"/>
      <c r="G1" s="543"/>
      <c r="H1" s="543"/>
      <c r="I1" s="543"/>
      <c r="J1" s="543"/>
      <c r="K1" s="543"/>
      <c r="L1" s="543"/>
      <c r="M1" s="543"/>
      <c r="N1" s="543"/>
      <c r="O1" s="543"/>
      <c r="P1" s="543"/>
      <c r="Q1" s="543"/>
      <c r="R1" s="543"/>
      <c r="S1" s="543"/>
      <c r="T1" s="543"/>
      <c r="U1" s="543"/>
      <c r="V1" s="543"/>
      <c r="W1" s="543"/>
    </row>
    <row r="2" spans="2:25">
      <c r="B2" s="314"/>
      <c r="C2" s="315"/>
      <c r="D2" s="314"/>
      <c r="E2" s="314"/>
      <c r="F2" s="314"/>
      <c r="G2" s="314"/>
      <c r="H2" s="314"/>
      <c r="I2" s="314"/>
      <c r="J2" s="314"/>
      <c r="K2" s="314"/>
      <c r="L2" s="314"/>
      <c r="M2" s="314"/>
      <c r="N2" s="314"/>
      <c r="O2" s="314"/>
      <c r="P2" s="314"/>
      <c r="Q2" s="314"/>
      <c r="R2" s="314"/>
      <c r="S2" s="314"/>
      <c r="T2" s="314"/>
      <c r="U2" s="314"/>
      <c r="V2" s="314"/>
      <c r="W2" s="314"/>
    </row>
    <row r="3" spans="2:25">
      <c r="B3" s="317"/>
      <c r="C3" s="318" t="s">
        <v>671</v>
      </c>
      <c r="P3" s="319"/>
      <c r="Q3" s="319"/>
      <c r="R3" s="319"/>
      <c r="S3" s="319"/>
      <c r="T3" s="319"/>
      <c r="U3" s="319"/>
      <c r="V3" s="319"/>
      <c r="W3" s="319"/>
    </row>
    <row r="4" spans="2:25">
      <c r="B4" s="320" t="s">
        <v>233</v>
      </c>
      <c r="C4" s="187">
        <f>'Hypothetical Summary'!D7</f>
        <v>0</v>
      </c>
      <c r="F4" s="520" t="s">
        <v>514</v>
      </c>
      <c r="G4" s="520"/>
      <c r="H4" s="520"/>
      <c r="I4" s="520"/>
      <c r="J4" s="520"/>
      <c r="K4" s="520"/>
      <c r="L4" s="520"/>
      <c r="M4" s="520"/>
      <c r="N4" s="520"/>
      <c r="O4" s="520"/>
      <c r="P4" s="520"/>
      <c r="Q4" s="520"/>
      <c r="R4" s="520"/>
      <c r="S4" s="520"/>
      <c r="T4" s="321"/>
      <c r="U4" s="321"/>
      <c r="V4" s="321"/>
      <c r="W4" s="321"/>
      <c r="X4" s="321"/>
      <c r="Y4" s="321"/>
    </row>
    <row r="5" spans="2:25" ht="31">
      <c r="B5" s="320" t="s">
        <v>248</v>
      </c>
      <c r="C5" s="187">
        <f>'Hypothetical Summary'!D8</f>
        <v>0</v>
      </c>
      <c r="E5" s="5"/>
      <c r="F5" s="322" t="s">
        <v>233</v>
      </c>
      <c r="G5" s="322" t="s">
        <v>214</v>
      </c>
      <c r="H5" s="322" t="s">
        <v>259</v>
      </c>
      <c r="I5" s="322" t="s">
        <v>515</v>
      </c>
      <c r="J5" s="322" t="s">
        <v>248</v>
      </c>
      <c r="K5" s="322" t="s">
        <v>421</v>
      </c>
      <c r="L5" s="322" t="s">
        <v>243</v>
      </c>
      <c r="M5" s="322" t="s">
        <v>242</v>
      </c>
      <c r="N5" s="322" t="s">
        <v>425</v>
      </c>
      <c r="O5" s="322" t="s">
        <v>516</v>
      </c>
      <c r="P5" s="323" t="s">
        <v>402</v>
      </c>
      <c r="Q5" s="322" t="s">
        <v>282</v>
      </c>
      <c r="R5" s="323" t="s">
        <v>225</v>
      </c>
      <c r="S5" s="472" t="s">
        <v>217</v>
      </c>
    </row>
    <row r="6" spans="2:25">
      <c r="B6" s="320" t="s">
        <v>214</v>
      </c>
      <c r="C6" s="187">
        <f>'Hypothetical Summary'!D9</f>
        <v>0</v>
      </c>
      <c r="E6" s="5" t="s">
        <v>542</v>
      </c>
      <c r="F6" s="62">
        <f>'SAR and RAR (B-1)'!G35</f>
        <v>6.2387176715901604E-2</v>
      </c>
      <c r="G6" s="62">
        <f>'SAR and RAR (B-1)'!H35</f>
        <v>0.10594202727452035</v>
      </c>
      <c r="H6" s="62">
        <f>'SAR and RAR (B-1)'!I35</f>
        <v>7.1285345053628824E-2</v>
      </c>
      <c r="I6" s="62">
        <f>'SAR and RAR (B-1)'!J35</f>
        <v>8.3024257458251927E-2</v>
      </c>
      <c r="J6" s="62">
        <f>'SAR and RAR (B-1)'!K35</f>
        <v>6.6495184409869068E-2</v>
      </c>
      <c r="K6" s="62">
        <f>'SAR and RAR (B-1)'!L35</f>
        <v>6.7202128263150501E-2</v>
      </c>
      <c r="L6" s="62">
        <f>'SAR and RAR (B-1)'!M35</f>
        <v>7.3803059041629981E-2</v>
      </c>
      <c r="M6" s="62">
        <f>'SAR and RAR (B-1)'!N35</f>
        <v>7.2949875113434787E-2</v>
      </c>
      <c r="N6" s="62">
        <f>'SAR and RAR (B-1)'!O35</f>
        <v>7.395335385981644E-2</v>
      </c>
      <c r="O6" s="62">
        <f>'SAR and RAR (B-1)'!P35</f>
        <v>4.3153356023048754E-2</v>
      </c>
      <c r="P6" s="62">
        <f>'SAR and RAR (B-1)'!Q35</f>
        <v>8.1326918619140431E-2</v>
      </c>
      <c r="Q6" s="62">
        <f>'SAR and RAR (B-1)'!R35</f>
        <v>0.10015456264895582</v>
      </c>
      <c r="R6" s="62">
        <f>'SAR and RAR (B-1)'!S35</f>
        <v>9.305731383769536E-2</v>
      </c>
      <c r="S6" s="62">
        <f>'SAR and RAR (B-1)'!T35</f>
        <v>9.4954102324552689E-2</v>
      </c>
    </row>
    <row r="7" spans="2:25">
      <c r="B7" s="320" t="s">
        <v>336</v>
      </c>
      <c r="C7" s="187">
        <f>'Hypothetical Summary'!D10</f>
        <v>0</v>
      </c>
      <c r="E7" s="5"/>
      <c r="F7" s="70"/>
      <c r="G7" s="70"/>
      <c r="H7" s="70"/>
      <c r="I7" s="70"/>
      <c r="J7" s="70"/>
      <c r="K7" s="70"/>
      <c r="L7" s="70"/>
      <c r="M7" s="70"/>
      <c r="N7" s="70"/>
      <c r="O7" s="70"/>
      <c r="P7" s="70"/>
    </row>
    <row r="8" spans="2:25" ht="15.75" customHeight="1">
      <c r="B8" s="320" t="s">
        <v>243</v>
      </c>
      <c r="C8" s="187">
        <f>'Hypothetical Summary'!D11</f>
        <v>0</v>
      </c>
      <c r="E8" s="321"/>
      <c r="F8" s="520" t="s">
        <v>517</v>
      </c>
      <c r="G8" s="520"/>
      <c r="H8" s="520"/>
      <c r="I8" s="520"/>
      <c r="J8" s="520"/>
      <c r="K8" s="520"/>
      <c r="L8" s="520"/>
      <c r="M8" s="520"/>
      <c r="N8" s="520"/>
      <c r="O8" s="520"/>
      <c r="P8" s="520"/>
      <c r="Q8" s="520"/>
      <c r="R8" s="520"/>
      <c r="S8" s="520"/>
    </row>
    <row r="9" spans="2:25" ht="15.65" customHeight="1">
      <c r="B9" s="320" t="s">
        <v>259</v>
      </c>
      <c r="C9" s="187">
        <f>'Hypothetical Summary'!D12</f>
        <v>0</v>
      </c>
      <c r="E9" s="327"/>
      <c r="F9" s="322" t="s">
        <v>233</v>
      </c>
      <c r="G9" s="322" t="s">
        <v>214</v>
      </c>
      <c r="H9" s="322" t="s">
        <v>259</v>
      </c>
      <c r="I9" s="322" t="s">
        <v>338</v>
      </c>
      <c r="J9" s="322" t="s">
        <v>248</v>
      </c>
      <c r="K9" s="322" t="s">
        <v>421</v>
      </c>
      <c r="L9" s="322" t="s">
        <v>243</v>
      </c>
      <c r="M9" s="322" t="s">
        <v>242</v>
      </c>
      <c r="N9" s="322" t="s">
        <v>425</v>
      </c>
      <c r="O9" s="322" t="s">
        <v>336</v>
      </c>
      <c r="P9" s="41" t="s">
        <v>402</v>
      </c>
      <c r="Q9" s="322" t="s">
        <v>282</v>
      </c>
      <c r="R9" s="323" t="s">
        <v>225</v>
      </c>
      <c r="S9" s="472" t="s">
        <v>217</v>
      </c>
      <c r="T9" s="322" t="s">
        <v>170</v>
      </c>
    </row>
    <row r="10" spans="2:25">
      <c r="B10" s="320" t="s">
        <v>338</v>
      </c>
      <c r="C10" s="187">
        <f>'Hypothetical Summary'!D13</f>
        <v>0</v>
      </c>
      <c r="E10" s="5" t="s">
        <v>542</v>
      </c>
      <c r="F10" s="328">
        <f t="shared" ref="F10:P10" si="0">F6*F11</f>
        <v>0</v>
      </c>
      <c r="G10" s="328">
        <f t="shared" si="0"/>
        <v>0</v>
      </c>
      <c r="H10" s="328">
        <f t="shared" si="0"/>
        <v>0</v>
      </c>
      <c r="I10" s="328">
        <f t="shared" si="0"/>
        <v>0</v>
      </c>
      <c r="J10" s="328">
        <f t="shared" si="0"/>
        <v>0</v>
      </c>
      <c r="K10" s="328">
        <f t="shared" si="0"/>
        <v>0</v>
      </c>
      <c r="L10" s="328">
        <f t="shared" si="0"/>
        <v>0</v>
      </c>
      <c r="M10" s="328">
        <f t="shared" si="0"/>
        <v>0</v>
      </c>
      <c r="N10" s="328">
        <f t="shared" si="0"/>
        <v>0</v>
      </c>
      <c r="O10" s="328">
        <f t="shared" si="0"/>
        <v>0</v>
      </c>
      <c r="P10" s="328">
        <f t="shared" si="0"/>
        <v>0</v>
      </c>
      <c r="Q10" s="328">
        <f>Q6*Q11</f>
        <v>0</v>
      </c>
      <c r="R10" s="328">
        <f>R6*R11</f>
        <v>0</v>
      </c>
      <c r="S10" s="328">
        <f>S6*S11</f>
        <v>0</v>
      </c>
      <c r="T10" s="328">
        <f>SUM(F10:S10)</f>
        <v>0</v>
      </c>
    </row>
    <row r="11" spans="2:25">
      <c r="B11" s="320" t="s">
        <v>402</v>
      </c>
      <c r="C11" s="187">
        <f>'Hypothetical Summary'!D14</f>
        <v>0</v>
      </c>
      <c r="E11" s="5" t="s">
        <v>518</v>
      </c>
      <c r="F11" s="55">
        <f>VLOOKUP(F9,$B$4:$C$17,2,FALSE)</f>
        <v>0</v>
      </c>
      <c r="G11" s="55">
        <f t="shared" ref="G11:S11" si="1">VLOOKUP(G9,$B$4:$C$17,2,FALSE)</f>
        <v>0</v>
      </c>
      <c r="H11" s="55">
        <f t="shared" si="1"/>
        <v>0</v>
      </c>
      <c r="I11" s="55">
        <f t="shared" si="1"/>
        <v>0</v>
      </c>
      <c r="J11" s="55">
        <f t="shared" si="1"/>
        <v>0</v>
      </c>
      <c r="K11" s="55">
        <f t="shared" si="1"/>
        <v>0</v>
      </c>
      <c r="L11" s="55">
        <f t="shared" si="1"/>
        <v>0</v>
      </c>
      <c r="M11" s="55">
        <f t="shared" si="1"/>
        <v>0</v>
      </c>
      <c r="N11" s="55">
        <f t="shared" si="1"/>
        <v>0</v>
      </c>
      <c r="O11" s="55">
        <f t="shared" si="1"/>
        <v>0</v>
      </c>
      <c r="P11" s="55">
        <f t="shared" si="1"/>
        <v>0</v>
      </c>
      <c r="Q11" s="55">
        <f t="shared" si="1"/>
        <v>0</v>
      </c>
      <c r="R11" s="55">
        <f t="shared" si="1"/>
        <v>0</v>
      </c>
      <c r="S11" s="55">
        <f t="shared" si="1"/>
        <v>0</v>
      </c>
      <c r="T11" s="55">
        <f>SUM(F11:S11)</f>
        <v>0</v>
      </c>
    </row>
    <row r="12" spans="2:25">
      <c r="B12" s="320" t="s">
        <v>242</v>
      </c>
      <c r="C12" s="187">
        <f>'Hypothetical Summary'!D15</f>
        <v>0</v>
      </c>
      <c r="E12" s="327"/>
    </row>
    <row r="13" spans="2:25" ht="15.65" customHeight="1">
      <c r="B13" s="320" t="s">
        <v>421</v>
      </c>
      <c r="C13" s="187">
        <f>'Hypothetical Summary'!D16</f>
        <v>0</v>
      </c>
      <c r="E13" s="5"/>
      <c r="F13" s="328"/>
      <c r="G13" s="328"/>
      <c r="H13" s="328"/>
      <c r="I13" s="328"/>
      <c r="J13" s="328"/>
      <c r="K13" s="328"/>
      <c r="L13" s="328"/>
      <c r="M13" s="328"/>
      <c r="N13" s="328"/>
      <c r="O13" s="328"/>
      <c r="P13" s="328"/>
      <c r="Q13" s="328"/>
    </row>
    <row r="14" spans="2:25" ht="15.65" customHeight="1">
      <c r="B14" s="320" t="s">
        <v>425</v>
      </c>
      <c r="C14" s="187">
        <f>'Hypothetical Summary'!D17</f>
        <v>0</v>
      </c>
      <c r="E14" s="5"/>
      <c r="F14" s="55"/>
      <c r="G14" s="55"/>
      <c r="H14" s="55"/>
      <c r="I14" s="55"/>
      <c r="J14" s="55"/>
      <c r="K14" s="55"/>
      <c r="L14" s="55"/>
      <c r="M14" s="55"/>
      <c r="N14" s="55"/>
      <c r="O14" s="55"/>
      <c r="P14" s="55"/>
      <c r="Q14" s="55"/>
      <c r="R14" s="330"/>
      <c r="S14" s="330"/>
    </row>
    <row r="15" spans="2:25">
      <c r="B15" s="320" t="s">
        <v>225</v>
      </c>
      <c r="C15" s="187">
        <f>'Hypothetical Summary'!D18</f>
        <v>0</v>
      </c>
      <c r="E15" s="199"/>
      <c r="F15" s="331"/>
      <c r="G15" s="331"/>
      <c r="H15" s="331"/>
      <c r="I15" s="321"/>
      <c r="V15" s="5"/>
      <c r="W15" s="332"/>
      <c r="X15" s="332"/>
    </row>
    <row r="16" spans="2:25">
      <c r="B16" s="320" t="s">
        <v>282</v>
      </c>
      <c r="C16" s="187">
        <f>'Hypothetical Summary'!D19</f>
        <v>0</v>
      </c>
      <c r="X16" s="72" t="s">
        <v>520</v>
      </c>
      <c r="Y16" s="73">
        <v>0.27045122760591062</v>
      </c>
    </row>
    <row r="17" spans="2:28">
      <c r="B17" s="124" t="s">
        <v>217</v>
      </c>
      <c r="C17" s="200">
        <f>'Hypothetical Summary'!D20</f>
        <v>0</v>
      </c>
      <c r="X17" s="72"/>
      <c r="Y17" s="73"/>
    </row>
    <row r="18" spans="2:28">
      <c r="B18" s="320" t="s">
        <v>170</v>
      </c>
      <c r="C18" s="201">
        <f>SUM(C4:C17)</f>
        <v>0</v>
      </c>
      <c r="E18" s="321"/>
      <c r="F18" s="521" t="s">
        <v>521</v>
      </c>
      <c r="G18" s="521"/>
      <c r="H18" s="521"/>
      <c r="I18" s="521"/>
      <c r="J18" s="521"/>
      <c r="K18" s="521"/>
      <c r="L18" s="521"/>
      <c r="M18" s="521"/>
      <c r="N18" s="521"/>
      <c r="O18" s="521"/>
      <c r="P18" s="521"/>
      <c r="Q18" s="521"/>
      <c r="R18" s="521"/>
      <c r="S18" s="519"/>
      <c r="T18" s="518" t="s">
        <v>522</v>
      </c>
      <c r="U18" s="519"/>
      <c r="V18" s="473"/>
      <c r="X18" s="72" t="s">
        <v>523</v>
      </c>
      <c r="Y18" s="73">
        <v>0.35</v>
      </c>
    </row>
    <row r="19" spans="2:28" ht="31">
      <c r="B19" s="6"/>
      <c r="C19" s="187"/>
      <c r="D19" s="321"/>
      <c r="F19" s="323" t="s">
        <v>233</v>
      </c>
      <c r="G19" s="322" t="s">
        <v>214</v>
      </c>
      <c r="H19" s="322" t="s">
        <v>259</v>
      </c>
      <c r="I19" s="322" t="s">
        <v>515</v>
      </c>
      <c r="J19" s="322" t="s">
        <v>248</v>
      </c>
      <c r="K19" s="322" t="s">
        <v>421</v>
      </c>
      <c r="L19" s="322" t="s">
        <v>243</v>
      </c>
      <c r="M19" s="322" t="s">
        <v>242</v>
      </c>
      <c r="N19" s="322" t="s">
        <v>425</v>
      </c>
      <c r="O19" s="322" t="s">
        <v>516</v>
      </c>
      <c r="P19" s="322" t="s">
        <v>402</v>
      </c>
      <c r="Q19" s="322" t="s">
        <v>282</v>
      </c>
      <c r="R19" s="323" t="s">
        <v>225</v>
      </c>
      <c r="S19" s="472" t="s">
        <v>217</v>
      </c>
      <c r="T19" s="475" t="s">
        <v>170</v>
      </c>
      <c r="U19" s="41" t="s">
        <v>524</v>
      </c>
      <c r="V19" s="473"/>
      <c r="X19" s="72" t="s">
        <v>525</v>
      </c>
      <c r="Y19" s="55">
        <f>'Hypothetical SAR and RAR'!Y19</f>
        <v>0</v>
      </c>
    </row>
    <row r="20" spans="2:28">
      <c r="B20" s="6"/>
      <c r="C20" s="187"/>
      <c r="E20" s="5" t="s">
        <v>542</v>
      </c>
      <c r="F20" s="62">
        <v>1</v>
      </c>
      <c r="G20" s="62">
        <f>$E29/$O29</f>
        <v>0.27744948825880661</v>
      </c>
      <c r="H20" s="62">
        <f t="shared" ref="H20:S21" si="2">$E29/$O29</f>
        <v>0.27744948825880661</v>
      </c>
      <c r="I20" s="62">
        <f t="shared" si="2"/>
        <v>0.27744948825880661</v>
      </c>
      <c r="J20" s="62">
        <f t="shared" si="2"/>
        <v>0.27744948825880661</v>
      </c>
      <c r="K20" s="62">
        <f t="shared" si="2"/>
        <v>0.27744948825880661</v>
      </c>
      <c r="L20" s="62">
        <f t="shared" si="2"/>
        <v>0.27744948825880661</v>
      </c>
      <c r="M20" s="62">
        <f t="shared" si="2"/>
        <v>0.27744948825880661</v>
      </c>
      <c r="N20" s="62">
        <f t="shared" si="2"/>
        <v>0.27744948825880661</v>
      </c>
      <c r="O20" s="62">
        <f t="shared" si="2"/>
        <v>0.27744948825880661</v>
      </c>
      <c r="P20" s="62">
        <f t="shared" si="2"/>
        <v>0.27744948825880661</v>
      </c>
      <c r="Q20" s="62">
        <f t="shared" si="2"/>
        <v>0.27744948825880661</v>
      </c>
      <c r="R20" s="62">
        <f t="shared" si="2"/>
        <v>0.27744948825880661</v>
      </c>
      <c r="S20" s="62">
        <f t="shared" si="2"/>
        <v>0.27744948825880661</v>
      </c>
      <c r="T20" s="74">
        <f>SUMPRODUCT(F10:S10,F20:S20)</f>
        <v>0</v>
      </c>
      <c r="U20" s="56">
        <f>T20+Y22*G20</f>
        <v>0</v>
      </c>
      <c r="V20" s="74"/>
      <c r="X20" s="72" t="s">
        <v>672</v>
      </c>
      <c r="Y20" s="98">
        <v>0</v>
      </c>
    </row>
    <row r="21" spans="2:28">
      <c r="B21" s="6"/>
      <c r="C21" s="6"/>
      <c r="E21" s="5" t="s">
        <v>518</v>
      </c>
      <c r="F21" s="62">
        <v>1</v>
      </c>
      <c r="G21" s="62">
        <f>$E30/$O30</f>
        <v>0.32886186544742674</v>
      </c>
      <c r="H21" s="62">
        <f t="shared" si="2"/>
        <v>0.32886186544742674</v>
      </c>
      <c r="I21" s="62">
        <f t="shared" si="2"/>
        <v>0.32886186544742674</v>
      </c>
      <c r="J21" s="62">
        <f t="shared" si="2"/>
        <v>0.32886186544742674</v>
      </c>
      <c r="K21" s="62">
        <f t="shared" si="2"/>
        <v>0.32886186544742674</v>
      </c>
      <c r="L21" s="62">
        <f t="shared" si="2"/>
        <v>0.32886186544742674</v>
      </c>
      <c r="M21" s="62">
        <f t="shared" si="2"/>
        <v>0.32886186544742674</v>
      </c>
      <c r="N21" s="62">
        <f t="shared" si="2"/>
        <v>0.32886186544742674</v>
      </c>
      <c r="O21" s="62">
        <f t="shared" si="2"/>
        <v>0.32886186544742674</v>
      </c>
      <c r="P21" s="62">
        <f t="shared" si="2"/>
        <v>0.32886186544742674</v>
      </c>
      <c r="Q21" s="62">
        <f t="shared" si="2"/>
        <v>0.32886186544742674</v>
      </c>
      <c r="R21" s="62">
        <f t="shared" si="2"/>
        <v>0.32886186544742674</v>
      </c>
      <c r="S21" s="62">
        <f t="shared" si="2"/>
        <v>0.32886186544742674</v>
      </c>
      <c r="T21" s="74">
        <f>SUMPRODUCT(F11:S11,F21:S21)</f>
        <v>0</v>
      </c>
      <c r="U21" s="56">
        <f>T21</f>
        <v>0</v>
      </c>
      <c r="V21" s="74"/>
      <c r="X21" s="72" t="s">
        <v>527</v>
      </c>
      <c r="Y21" s="328">
        <v>67795755.926224142</v>
      </c>
      <c r="AA21" s="5"/>
    </row>
    <row r="22" spans="2:28">
      <c r="B22" s="6"/>
      <c r="C22" s="6"/>
      <c r="F22" s="316"/>
      <c r="G22" s="316"/>
      <c r="H22" s="316"/>
      <c r="I22" s="316"/>
      <c r="J22" s="316"/>
      <c r="K22" s="316"/>
      <c r="L22" s="316"/>
      <c r="M22" s="316"/>
      <c r="N22" s="316"/>
      <c r="O22" s="316"/>
      <c r="P22" s="316"/>
      <c r="U22" s="5"/>
      <c r="X22" s="72" t="s">
        <v>636</v>
      </c>
      <c r="Y22" s="55">
        <f>Y19*Y20/Y21</f>
        <v>0</v>
      </c>
      <c r="AA22" s="5"/>
    </row>
    <row r="23" spans="2:28">
      <c r="B23" s="6"/>
      <c r="C23" s="6"/>
      <c r="E23" s="321" t="str">
        <f>"Notes: Allocation and bundled/unbundled split based on "&amp;'Hypothetical Summary'!L4&amp;" sales forecast"</f>
        <v>Notes: Allocation and bundled/unbundled split based on 2026 sales forecast</v>
      </c>
      <c r="R23" s="322"/>
      <c r="S23" s="322"/>
      <c r="T23" s="5"/>
      <c r="Y23" s="338"/>
    </row>
    <row r="24" spans="2:28">
      <c r="B24" s="6"/>
      <c r="C24" s="6"/>
      <c r="D24" s="5"/>
      <c r="E24" s="5"/>
      <c r="F24" s="6"/>
      <c r="G24" s="6"/>
      <c r="H24" s="6"/>
      <c r="I24" s="6"/>
      <c r="J24" s="6"/>
      <c r="K24" s="6"/>
      <c r="L24" s="6"/>
      <c r="M24" s="6"/>
      <c r="N24" s="6"/>
      <c r="O24" s="6"/>
      <c r="P24" s="6"/>
      <c r="Q24" s="5"/>
      <c r="R24" s="9"/>
      <c r="S24" s="9"/>
      <c r="T24" s="9"/>
      <c r="U24" s="5"/>
      <c r="V24" s="124" t="s">
        <v>637</v>
      </c>
      <c r="W24" s="330">
        <f>O10*O20</f>
        <v>0</v>
      </c>
      <c r="X24" s="330"/>
      <c r="Y24" s="5"/>
    </row>
    <row r="25" spans="2:28">
      <c r="B25" s="6"/>
      <c r="C25" s="6"/>
      <c r="D25" s="41"/>
      <c r="E25" s="41"/>
      <c r="F25" s="341"/>
      <c r="G25" s="41"/>
      <c r="H25" s="41"/>
      <c r="I25" s="41"/>
      <c r="J25" s="41"/>
      <c r="K25" s="41"/>
      <c r="L25" s="41"/>
      <c r="M25" s="41"/>
      <c r="N25" s="41"/>
      <c r="O25" s="41"/>
      <c r="P25" s="41"/>
      <c r="Q25" s="41"/>
      <c r="R25" s="9"/>
      <c r="S25" s="9"/>
      <c r="T25" s="9"/>
      <c r="U25" s="189"/>
      <c r="V25" s="339" t="s">
        <v>530</v>
      </c>
      <c r="W25" s="330">
        <f>O11*O21</f>
        <v>0</v>
      </c>
      <c r="X25" s="340"/>
      <c r="Y25" s="5"/>
    </row>
    <row r="26" spans="2:28">
      <c r="B26" s="6"/>
      <c r="C26" s="6"/>
      <c r="D26" s="41"/>
      <c r="E26" s="41"/>
      <c r="F26" s="41"/>
      <c r="G26" s="41"/>
      <c r="H26" s="41"/>
      <c r="I26" s="41"/>
      <c r="J26" s="41"/>
      <c r="K26" s="41"/>
      <c r="L26" s="41"/>
      <c r="M26" s="41"/>
      <c r="N26" s="41"/>
      <c r="O26" s="41"/>
      <c r="P26" s="41"/>
      <c r="Q26" s="41"/>
      <c r="R26" s="190"/>
      <c r="S26" s="190"/>
      <c r="T26" s="9"/>
      <c r="U26" s="189"/>
      <c r="V26" s="5"/>
      <c r="X26" s="5"/>
      <c r="Y26" s="5"/>
    </row>
    <row r="27" spans="2:28">
      <c r="B27" s="6"/>
      <c r="C27" s="6"/>
      <c r="D27" s="5"/>
      <c r="E27" s="512" t="s">
        <v>531</v>
      </c>
      <c r="F27" s="513"/>
      <c r="G27" s="513"/>
      <c r="H27" s="514"/>
      <c r="I27" s="41"/>
      <c r="J27" s="41"/>
      <c r="N27" s="5"/>
      <c r="O27" s="512" t="s">
        <v>532</v>
      </c>
      <c r="P27" s="513"/>
      <c r="Q27" s="513"/>
      <c r="R27" s="514"/>
      <c r="S27" s="41"/>
      <c r="T27" s="9"/>
      <c r="U27" s="189"/>
      <c r="V27" s="191"/>
      <c r="Z27" s="5"/>
      <c r="AA27" s="5"/>
    </row>
    <row r="28" spans="2:28" ht="31">
      <c r="B28" s="6"/>
      <c r="C28" s="6"/>
      <c r="D28" s="5"/>
      <c r="E28" s="322" t="str">
        <f>'Hypothetical Summary'!L4&amp;" Sales"</f>
        <v>2026 Sales</v>
      </c>
      <c r="F28" s="322" t="str">
        <f>TEXT(Summary!L3,"mm/dd/yyyy")&amp;" Avg Rates"</f>
        <v>03/01/2026 Avg Rates</v>
      </c>
      <c r="G28" s="322" t="s">
        <v>673</v>
      </c>
      <c r="H28" s="322" t="s">
        <v>674</v>
      </c>
      <c r="J28" s="322"/>
      <c r="N28" s="5"/>
      <c r="O28" s="322" t="str">
        <f>'Hypothetical Summary'!L4&amp;" Sales"</f>
        <v>2026 Sales</v>
      </c>
      <c r="P28" s="322" t="str">
        <f>F28</f>
        <v>03/01/2026 Avg Rates</v>
      </c>
      <c r="Q28" s="322" t="s">
        <v>673</v>
      </c>
      <c r="R28" s="322" t="s">
        <v>674</v>
      </c>
      <c r="S28" s="322"/>
      <c r="T28" s="9"/>
      <c r="U28" s="189"/>
      <c r="V28" s="191"/>
      <c r="Z28" s="5"/>
      <c r="AA28" s="5"/>
    </row>
    <row r="29" spans="2:28" ht="46.5">
      <c r="B29" s="6"/>
      <c r="C29" s="6"/>
      <c r="D29" s="348" t="s">
        <v>542</v>
      </c>
      <c r="E29" s="98">
        <v>1530615.6099066611</v>
      </c>
      <c r="F29" s="341">
        <f>IF('Hypothetical Summary'!D5="Y",X36,Y36)</f>
        <v>40.73713053702604</v>
      </c>
      <c r="G29" s="9">
        <f>IF('Hypothetical Summary'!D5="Y", U20/E29*100+F29, SUM(U20-W24)/$E$29*100+F29)</f>
        <v>40.73713053702604</v>
      </c>
      <c r="H29" s="112">
        <f>G29/F29-1</f>
        <v>0</v>
      </c>
      <c r="J29" s="112"/>
      <c r="N29" s="348" t="s">
        <v>542</v>
      </c>
      <c r="O29" s="328">
        <v>5516736.1075789528</v>
      </c>
      <c r="P29" s="341">
        <f>IF('Hypothetical Summary'!D5="Y",AA36,AB36)</f>
        <v>34.868791397863305</v>
      </c>
      <c r="Q29" s="9">
        <f>IF('Hypothetical Summary'!D5="Y", T10/O29*100+P29, SUM(T10-O10)/O29*100+P29)</f>
        <v>34.868791397863305</v>
      </c>
      <c r="R29" s="112">
        <f>Q29/P29-1</f>
        <v>0</v>
      </c>
      <c r="S29" s="112"/>
      <c r="T29" s="112"/>
      <c r="U29" s="112"/>
      <c r="V29" s="191"/>
      <c r="W29" s="138"/>
      <c r="X29" s="213" t="str">
        <f>'SAR and RAR'!AB43</f>
        <v>1/1/26  Bundled
w/Credit</v>
      </c>
      <c r="Y29" s="213" t="str">
        <f>'SAR and RAR'!AC43</f>
        <v>1/1/26  Bundled
w/out Credit</v>
      </c>
      <c r="Z29" s="213">
        <f>'SAR and RAR'!AD43</f>
        <v>0</v>
      </c>
      <c r="AA29" s="213" t="str">
        <f>'SAR and RAR'!AE43</f>
        <v>1/1/26  System
w/Credit</v>
      </c>
      <c r="AB29" s="213" t="str">
        <f>'SAR and RAR'!AF43</f>
        <v>1/1/26  System
w/out Credit</v>
      </c>
    </row>
    <row r="30" spans="2:28">
      <c r="D30" s="348" t="s">
        <v>518</v>
      </c>
      <c r="E30" s="98">
        <f>'SAR and RAR'!K55</f>
        <v>24784494.935273737</v>
      </c>
      <c r="F30" s="341">
        <f>IF('Hypothetical Summary'!D5="Y",X37,Y37)</f>
        <v>32.596708001946226</v>
      </c>
      <c r="G30" s="9">
        <f>IF('Hypothetical Summary'!D5="Y", U21/E30*100+F30, SUM(U21-W25)/$E$30*100+F30)</f>
        <v>32.596708001946226</v>
      </c>
      <c r="H30" s="112">
        <f>G30/F30-1</f>
        <v>0</v>
      </c>
      <c r="J30" s="112"/>
      <c r="N30" s="348" t="s">
        <v>518</v>
      </c>
      <c r="O30" s="328">
        <f>'SAR and RAR'!O55</f>
        <v>75364454.013400629</v>
      </c>
      <c r="P30" s="341">
        <f>IF('Hypothetical Summary'!D5="Y",AA37,AB37)</f>
        <v>26.65073540105055</v>
      </c>
      <c r="Q30" s="9">
        <f>IF('Hypothetical Summary'!D5="Y", T11/O30*100+P30, SUM(T11-O11)/O30*100+P30)</f>
        <v>26.65073540105055</v>
      </c>
      <c r="R30" s="112">
        <f>Q30/P30-1</f>
        <v>0</v>
      </c>
      <c r="S30" s="112"/>
      <c r="T30" s="112"/>
      <c r="U30" s="112"/>
      <c r="V30" s="194"/>
      <c r="W30" s="139"/>
      <c r="X30" s="148"/>
      <c r="Y30" s="148"/>
      <c r="Z30" s="149"/>
      <c r="AA30" s="148"/>
      <c r="AB30" s="148"/>
    </row>
    <row r="31" spans="2:28">
      <c r="E31" s="322"/>
      <c r="F31" s="322"/>
      <c r="G31" s="322"/>
      <c r="P31" s="5"/>
      <c r="Q31" s="5"/>
      <c r="R31" s="190"/>
      <c r="S31" s="190"/>
      <c r="T31" s="5"/>
      <c r="U31" s="190"/>
      <c r="V31" s="191"/>
      <c r="W31" s="139" t="s">
        <v>542</v>
      </c>
      <c r="X31" s="217">
        <f>'SAR and RAR (B-1)'!AB47</f>
        <v>41.443190323578825</v>
      </c>
      <c r="Y31" s="217">
        <f>'SAR and RAR (B-1)'!AC47</f>
        <v>41.448292903006582</v>
      </c>
      <c r="Z31" s="217" t="str">
        <f>'SAR and RAR (B-1)'!AD47</f>
        <v>B-1</v>
      </c>
      <c r="AA31" s="217">
        <f>'SAR and RAR (B-1)'!AE47</f>
        <v>35.574773392062006</v>
      </c>
      <c r="AB31" s="217">
        <f>'SAR and RAR (B-1)'!AF47</f>
        <v>35.578867266548578</v>
      </c>
    </row>
    <row r="32" spans="2:28">
      <c r="E32" s="322"/>
      <c r="F32" s="322"/>
      <c r="G32" s="322"/>
      <c r="P32" s="5"/>
      <c r="Q32" s="5"/>
      <c r="R32" s="190"/>
      <c r="S32" s="190"/>
      <c r="T32" s="5"/>
      <c r="U32" s="190"/>
      <c r="V32" s="194"/>
      <c r="W32" s="139" t="s">
        <v>166</v>
      </c>
      <c r="X32" s="217">
        <f>'SAR and RAR (B-1)'!AB48</f>
        <v>33.416008222733581</v>
      </c>
      <c r="Y32" s="217">
        <f>'SAR and RAR (B-1)'!AC48</f>
        <v>34.072433607860397</v>
      </c>
      <c r="Z32" s="217" t="str">
        <f>'SAR and RAR (B-1)'!AD48</f>
        <v>Total System</v>
      </c>
      <c r="AA32" s="217">
        <f>'SAR and RAR (B-1)'!AE48</f>
        <v>27.143640625458705</v>
      </c>
      <c r="AB32" s="217">
        <f>'SAR and RAR (B-1)'!AF48</f>
        <v>27.73770240701548</v>
      </c>
    </row>
    <row r="33" spans="2:28">
      <c r="B33" s="6"/>
      <c r="C33" s="6"/>
      <c r="D33" s="5"/>
      <c r="E33" s="544"/>
      <c r="F33" s="544"/>
      <c r="G33" s="544"/>
      <c r="H33" s="41"/>
      <c r="I33" s="41"/>
      <c r="J33" s="41"/>
      <c r="K33" s="5"/>
      <c r="L33" s="5"/>
      <c r="M33" s="5"/>
      <c r="N33" s="5"/>
      <c r="O33" s="5"/>
      <c r="P33" s="5"/>
      <c r="Q33" s="5"/>
      <c r="R33" s="190"/>
      <c r="S33" s="190"/>
      <c r="T33" s="5"/>
      <c r="U33" s="190"/>
      <c r="V33" s="194"/>
      <c r="W33" s="140"/>
      <c r="X33" s="150"/>
      <c r="Y33" s="150"/>
      <c r="Z33" s="150"/>
      <c r="AA33" s="150"/>
      <c r="AB33" s="151"/>
    </row>
    <row r="34" spans="2:28" ht="46.5">
      <c r="B34" s="6"/>
      <c r="C34" s="6"/>
      <c r="D34" s="41"/>
      <c r="E34" s="322"/>
      <c r="F34" s="322"/>
      <c r="G34" s="322"/>
      <c r="H34" s="41"/>
      <c r="I34" s="41"/>
      <c r="J34" s="41"/>
      <c r="K34" s="5"/>
      <c r="L34" s="5"/>
      <c r="M34" s="5"/>
      <c r="N34" s="5"/>
      <c r="O34" s="5"/>
      <c r="P34" s="5"/>
      <c r="Q34" s="5"/>
      <c r="R34" s="190"/>
      <c r="S34" s="190"/>
      <c r="T34" s="5"/>
      <c r="U34" s="190"/>
      <c r="V34" s="191"/>
      <c r="W34" s="138"/>
      <c r="X34" s="209" t="str">
        <f>'SAR and RAR'!AB48</f>
        <v>3/1/26 Bundled
w/Credit</v>
      </c>
      <c r="Y34" s="209" t="str">
        <f>'SAR and RAR'!AC48</f>
        <v>3/1/26 Bundled
w/out Credit</v>
      </c>
      <c r="Z34" s="209"/>
      <c r="AA34" s="209" t="str">
        <f>'SAR and RAR'!AE48</f>
        <v>3/1/26 System
w/Credit</v>
      </c>
      <c r="AB34" s="209" t="str">
        <f>'SAR and RAR'!AF48</f>
        <v>3/1/26 System
w/out Credit</v>
      </c>
    </row>
    <row r="35" spans="2:28">
      <c r="B35" s="6"/>
      <c r="C35" s="6"/>
      <c r="D35" s="5"/>
      <c r="E35" s="7"/>
      <c r="F35" s="8"/>
      <c r="G35" s="113"/>
      <c r="H35" s="41"/>
      <c r="I35" s="41"/>
      <c r="J35" s="41"/>
      <c r="K35" s="5"/>
      <c r="L35" s="5"/>
      <c r="M35" s="5"/>
      <c r="N35" s="5"/>
      <c r="O35" s="5"/>
      <c r="P35" s="5"/>
      <c r="Q35" s="5"/>
      <c r="R35" s="190"/>
      <c r="S35" s="190"/>
      <c r="T35" s="5"/>
      <c r="U35" s="5"/>
      <c r="V35" s="189"/>
      <c r="W35" s="139"/>
      <c r="X35" s="148"/>
      <c r="Y35" s="148"/>
      <c r="Z35" s="149"/>
      <c r="AA35" s="148"/>
      <c r="AB35" s="148"/>
    </row>
    <row r="36" spans="2:28">
      <c r="D36" s="5"/>
      <c r="E36" s="7"/>
      <c r="F36" s="8"/>
      <c r="G36" s="113"/>
      <c r="H36" s="41"/>
      <c r="I36" s="41"/>
      <c r="J36" s="41"/>
      <c r="K36" s="5"/>
      <c r="L36" s="5"/>
      <c r="M36" s="5"/>
      <c r="N36" s="5"/>
      <c r="O36" s="5"/>
      <c r="P36" s="5"/>
      <c r="Q36" s="5"/>
      <c r="R36" s="190"/>
      <c r="S36" s="190"/>
      <c r="T36" s="5"/>
      <c r="U36" s="190"/>
      <c r="V36" s="191"/>
      <c r="W36" s="139" t="s">
        <v>542</v>
      </c>
      <c r="X36" s="217">
        <f>'SAR and RAR (B-1)'!AB52</f>
        <v>40.73713053702604</v>
      </c>
      <c r="Y36" s="217">
        <f>'SAR and RAR (B-1)'!AC52</f>
        <v>40.742233116453797</v>
      </c>
      <c r="Z36" s="217" t="str">
        <f>'SAR and RAR (B-1)'!AD52</f>
        <v>B-1</v>
      </c>
      <c r="AA36" s="217">
        <f>'SAR and RAR (B-1)'!AE52</f>
        <v>34.868791397863305</v>
      </c>
      <c r="AB36" s="217">
        <f>'SAR and RAR (B-1)'!AF52</f>
        <v>34.872885272349876</v>
      </c>
    </row>
    <row r="37" spans="2:28">
      <c r="D37" s="5"/>
      <c r="E37" s="7"/>
      <c r="F37" s="8"/>
      <c r="G37" s="113"/>
      <c r="H37" s="41"/>
      <c r="I37" s="41"/>
      <c r="J37" s="41"/>
      <c r="K37" s="5"/>
      <c r="L37" s="5"/>
      <c r="M37" s="5"/>
      <c r="N37" s="5"/>
      <c r="O37" s="5"/>
      <c r="P37" s="5"/>
      <c r="Q37" s="5"/>
      <c r="R37" s="190"/>
      <c r="S37" s="190"/>
      <c r="T37" s="5"/>
      <c r="U37" s="5"/>
      <c r="V37" s="5"/>
      <c r="W37" s="139" t="s">
        <v>166</v>
      </c>
      <c r="X37" s="217">
        <f>'SAR and RAR (B-1)'!AB53</f>
        <v>32.596708001946226</v>
      </c>
      <c r="Y37" s="217">
        <f>'SAR and RAR (B-1)'!AC53</f>
        <v>33.253133387073035</v>
      </c>
      <c r="Z37" s="217" t="str">
        <f>'SAR and RAR (B-1)'!AD53</f>
        <v>Total System</v>
      </c>
      <c r="AA37" s="217">
        <f>'SAR and RAR (B-1)'!AE53</f>
        <v>26.65073540105055</v>
      </c>
      <c r="AB37" s="217">
        <f>'SAR and RAR (B-1)'!AF53</f>
        <v>27.244797182607329</v>
      </c>
    </row>
    <row r="38" spans="2:28">
      <c r="D38" s="5"/>
      <c r="E38" s="7"/>
      <c r="F38" s="8"/>
      <c r="G38" s="113"/>
      <c r="H38" s="41"/>
      <c r="I38" s="41"/>
      <c r="J38" s="41"/>
      <c r="K38" s="5"/>
      <c r="L38" s="5"/>
      <c r="M38" s="5"/>
      <c r="N38" s="5"/>
      <c r="O38" s="5"/>
      <c r="P38" s="5"/>
      <c r="Q38" s="5"/>
      <c r="R38" s="190"/>
      <c r="S38" s="190"/>
      <c r="T38" s="511"/>
      <c r="U38" s="511"/>
      <c r="V38" s="5"/>
      <c r="W38" s="5"/>
      <c r="X38" s="5"/>
    </row>
    <row r="39" spans="2:28">
      <c r="B39" s="6"/>
      <c r="C39" s="6"/>
      <c r="D39" s="5"/>
      <c r="E39" s="7"/>
      <c r="F39" s="8"/>
      <c r="G39" s="113"/>
      <c r="H39" s="41"/>
      <c r="I39" s="41"/>
      <c r="J39" s="41"/>
      <c r="K39" s="5"/>
      <c r="L39" s="5"/>
      <c r="M39" s="5"/>
      <c r="N39" s="5"/>
      <c r="O39" s="5"/>
      <c r="P39" s="5"/>
      <c r="Q39" s="5"/>
      <c r="R39" s="190"/>
      <c r="S39" s="190"/>
      <c r="T39" s="5"/>
      <c r="U39" s="190"/>
      <c r="V39" s="194"/>
      <c r="W39" s="194"/>
      <c r="X39" s="191"/>
    </row>
    <row r="40" spans="2:28">
      <c r="B40" s="6"/>
      <c r="C40" s="6"/>
      <c r="D40" s="5"/>
      <c r="E40" s="7"/>
      <c r="F40" s="8"/>
      <c r="G40" s="113"/>
      <c r="H40" s="41"/>
      <c r="I40" s="41"/>
      <c r="J40" s="41"/>
      <c r="K40" s="5"/>
      <c r="L40" s="5"/>
      <c r="M40" s="5"/>
      <c r="N40" s="5"/>
      <c r="O40" s="5"/>
      <c r="P40" s="5"/>
      <c r="Q40" s="5"/>
      <c r="R40" s="190"/>
      <c r="S40" s="190"/>
      <c r="T40" s="5"/>
      <c r="U40" s="190"/>
      <c r="V40" s="194"/>
      <c r="W40" s="191"/>
      <c r="X40" s="191"/>
    </row>
    <row r="41" spans="2:28">
      <c r="B41" s="6"/>
      <c r="C41" s="6"/>
      <c r="D41" s="5"/>
      <c r="E41" s="7"/>
      <c r="F41" s="8"/>
      <c r="G41" s="113"/>
      <c r="H41" s="41"/>
      <c r="I41" s="41"/>
      <c r="J41" s="41"/>
      <c r="K41" s="5"/>
      <c r="L41" s="5"/>
      <c r="M41" s="5"/>
      <c r="N41" s="5"/>
      <c r="O41" s="5"/>
      <c r="P41" s="5"/>
      <c r="Q41" s="5"/>
      <c r="R41" s="190"/>
      <c r="S41" s="190"/>
      <c r="T41" s="5"/>
      <c r="U41" s="190"/>
      <c r="V41" s="5"/>
      <c r="W41" s="5"/>
      <c r="X41" s="5"/>
      <c r="Y41" s="5"/>
      <c r="Z41" s="5"/>
      <c r="AA41" s="5"/>
      <c r="AB41" s="5"/>
    </row>
    <row r="42" spans="2:28">
      <c r="B42" s="6"/>
      <c r="C42" s="6"/>
      <c r="D42" s="5"/>
      <c r="E42" s="41"/>
      <c r="F42" s="41"/>
      <c r="G42" s="41"/>
      <c r="H42" s="41"/>
      <c r="I42" s="41"/>
      <c r="J42" s="41"/>
      <c r="K42" s="5"/>
      <c r="L42" s="5"/>
      <c r="M42" s="5"/>
      <c r="N42" s="5"/>
      <c r="O42" s="5"/>
      <c r="P42" s="5"/>
      <c r="Q42" s="5"/>
      <c r="R42" s="190"/>
      <c r="S42" s="190"/>
      <c r="T42" s="5"/>
      <c r="U42" s="190"/>
      <c r="V42" s="5"/>
      <c r="W42" s="5"/>
      <c r="X42" s="5"/>
      <c r="Y42" s="5"/>
      <c r="Z42" s="5"/>
      <c r="AA42" s="5"/>
      <c r="AB42" s="5"/>
    </row>
    <row r="43" spans="2:28">
      <c r="B43" s="6"/>
      <c r="C43" s="6"/>
      <c r="D43" s="5"/>
      <c r="E43" s="8"/>
      <c r="F43" s="41"/>
      <c r="G43" s="41"/>
      <c r="H43" s="41"/>
      <c r="I43" s="41"/>
      <c r="J43" s="41"/>
      <c r="K43" s="8"/>
      <c r="L43" s="5"/>
      <c r="M43" s="5"/>
      <c r="N43" s="5"/>
      <c r="O43" s="5"/>
      <c r="P43" s="5"/>
      <c r="Q43" s="5"/>
      <c r="R43" s="190"/>
      <c r="S43" s="190"/>
      <c r="T43" s="5"/>
      <c r="U43" s="190"/>
      <c r="V43" s="5"/>
      <c r="W43" s="5"/>
      <c r="X43" s="5"/>
      <c r="Y43" s="5"/>
      <c r="Z43" s="5"/>
      <c r="AA43" s="5"/>
      <c r="AB43" s="5"/>
    </row>
    <row r="44" spans="2:28">
      <c r="B44" s="6"/>
      <c r="C44" s="6"/>
      <c r="D44" s="5"/>
      <c r="E44" s="41"/>
      <c r="F44" s="41"/>
      <c r="G44" s="41"/>
      <c r="H44" s="41"/>
      <c r="I44" s="41"/>
      <c r="J44" s="41"/>
      <c r="K44" s="5"/>
      <c r="L44" s="5"/>
      <c r="M44" s="5"/>
      <c r="N44" s="5"/>
      <c r="O44" s="5"/>
      <c r="P44" s="5"/>
      <c r="Q44" s="5"/>
      <c r="R44" s="190"/>
      <c r="S44" s="190"/>
      <c r="T44" s="5"/>
      <c r="U44" s="190"/>
      <c r="V44" s="5"/>
      <c r="W44" s="5"/>
      <c r="X44" s="5"/>
      <c r="Y44" s="5"/>
      <c r="Z44" s="5"/>
      <c r="AA44" s="5"/>
      <c r="AB44" s="5"/>
    </row>
    <row r="45" spans="2:28">
      <c r="B45" s="6"/>
      <c r="C45" s="6"/>
      <c r="D45" s="5"/>
      <c r="E45" s="41"/>
      <c r="F45" s="41"/>
      <c r="G45" s="41"/>
      <c r="H45" s="41"/>
      <c r="I45" s="41"/>
      <c r="J45" s="41"/>
      <c r="K45" s="5"/>
      <c r="L45" s="5"/>
      <c r="M45" s="5"/>
      <c r="N45" s="5"/>
      <c r="O45" s="5"/>
      <c r="P45" s="5"/>
      <c r="Q45" s="5"/>
      <c r="R45" s="190"/>
      <c r="S45" s="190"/>
      <c r="T45" s="5"/>
      <c r="U45" s="5"/>
      <c r="V45" s="5"/>
      <c r="W45" s="5"/>
      <c r="X45" s="5"/>
      <c r="Y45" s="5"/>
      <c r="Z45" s="5"/>
      <c r="AA45" s="5"/>
      <c r="AB45" s="5"/>
    </row>
    <row r="46" spans="2:28">
      <c r="B46" s="6"/>
      <c r="C46" s="6"/>
      <c r="D46" s="5"/>
      <c r="E46" s="8"/>
      <c r="F46" s="41"/>
      <c r="G46" s="41"/>
      <c r="H46" s="41"/>
      <c r="I46" s="41"/>
      <c r="J46" s="41"/>
      <c r="K46" s="8"/>
      <c r="L46" s="5"/>
      <c r="M46" s="5"/>
      <c r="N46" s="5"/>
      <c r="O46" s="5"/>
      <c r="P46" s="5"/>
      <c r="Q46" s="5"/>
      <c r="R46" s="190"/>
      <c r="S46" s="190"/>
      <c r="T46" s="5"/>
      <c r="U46" s="190"/>
      <c r="V46" s="5"/>
      <c r="W46" s="5"/>
      <c r="X46" s="5"/>
      <c r="Y46" s="5"/>
      <c r="Z46" s="5"/>
      <c r="AA46" s="5"/>
      <c r="AB46" s="5"/>
    </row>
    <row r="47" spans="2:28">
      <c r="B47" s="6"/>
      <c r="C47" s="6"/>
      <c r="D47" s="5"/>
      <c r="E47" s="41"/>
      <c r="F47" s="41"/>
      <c r="G47" s="41"/>
      <c r="H47" s="41"/>
      <c r="I47" s="41"/>
      <c r="J47" s="41"/>
      <c r="K47" s="5"/>
      <c r="L47" s="5"/>
      <c r="M47" s="5"/>
      <c r="N47" s="5"/>
      <c r="O47" s="5"/>
      <c r="P47" s="5"/>
      <c r="Q47" s="5"/>
      <c r="R47" s="190"/>
      <c r="S47" s="190"/>
      <c r="T47" s="5"/>
      <c r="U47" s="5"/>
      <c r="V47" s="5"/>
      <c r="W47" s="5"/>
      <c r="X47" s="5"/>
      <c r="Y47" s="5"/>
      <c r="Z47" s="5"/>
      <c r="AA47" s="5"/>
      <c r="AB47" s="5"/>
    </row>
    <row r="48" spans="2:28">
      <c r="B48" s="6"/>
      <c r="C48" s="6"/>
      <c r="D48" s="5"/>
      <c r="E48" s="41"/>
      <c r="F48" s="41"/>
      <c r="G48" s="41"/>
      <c r="H48" s="41"/>
      <c r="I48" s="41"/>
      <c r="J48" s="41"/>
      <c r="K48" s="5"/>
      <c r="L48" s="5"/>
      <c r="M48" s="5"/>
      <c r="N48" s="5"/>
      <c r="O48" s="5"/>
      <c r="P48" s="5"/>
      <c r="Q48" s="5"/>
      <c r="R48" s="190"/>
      <c r="S48" s="190"/>
      <c r="T48" s="511"/>
      <c r="U48" s="511"/>
      <c r="V48" s="5"/>
      <c r="W48" s="5"/>
      <c r="X48" s="5"/>
      <c r="Y48" s="5"/>
      <c r="Z48" s="5"/>
      <c r="AA48" s="5"/>
      <c r="AB48" s="5"/>
    </row>
    <row r="49" spans="2:24">
      <c r="B49" s="6"/>
      <c r="C49" s="6"/>
      <c r="D49" s="5"/>
      <c r="E49" s="41"/>
      <c r="F49" s="41"/>
      <c r="G49" s="41"/>
      <c r="H49" s="41"/>
      <c r="I49" s="41"/>
      <c r="J49" s="41"/>
      <c r="K49" s="5"/>
      <c r="L49" s="5"/>
      <c r="M49" s="5"/>
      <c r="N49" s="5"/>
      <c r="O49" s="5"/>
      <c r="P49" s="5"/>
      <c r="Q49" s="5"/>
      <c r="R49" s="190"/>
      <c r="S49" s="190"/>
      <c r="T49" s="5"/>
      <c r="U49" s="190"/>
      <c r="V49" s="194"/>
      <c r="W49" s="191"/>
      <c r="X49" s="191"/>
    </row>
    <row r="50" spans="2:24">
      <c r="B50" s="6"/>
      <c r="C50" s="6"/>
      <c r="D50" s="5"/>
      <c r="E50" s="41"/>
      <c r="F50" s="41"/>
      <c r="G50" s="41"/>
      <c r="H50" s="41"/>
      <c r="I50" s="41"/>
      <c r="J50" s="41"/>
      <c r="K50" s="5"/>
      <c r="L50" s="5"/>
      <c r="M50" s="5"/>
      <c r="N50" s="5"/>
      <c r="O50" s="5"/>
      <c r="P50" s="5"/>
      <c r="Q50" s="5"/>
      <c r="R50" s="190"/>
      <c r="S50" s="190"/>
      <c r="T50" s="5"/>
      <c r="U50" s="190"/>
      <c r="V50" s="194"/>
      <c r="W50" s="191"/>
      <c r="X50" s="191"/>
    </row>
    <row r="51" spans="2:24">
      <c r="B51" s="6"/>
      <c r="C51" s="6"/>
      <c r="D51" s="5"/>
      <c r="E51" s="41"/>
      <c r="F51" s="41"/>
      <c r="G51" s="41"/>
      <c r="H51" s="41"/>
      <c r="I51" s="41"/>
      <c r="J51" s="41"/>
      <c r="K51" s="5"/>
      <c r="L51" s="5"/>
      <c r="M51" s="5"/>
      <c r="N51" s="5"/>
      <c r="O51" s="5"/>
      <c r="P51" s="5"/>
      <c r="Q51" s="5"/>
      <c r="R51" s="190"/>
      <c r="S51" s="190"/>
      <c r="T51" s="5"/>
      <c r="U51" s="5"/>
      <c r="V51" s="189"/>
      <c r="W51" s="194"/>
      <c r="X51" s="191"/>
    </row>
    <row r="52" spans="2:24">
      <c r="B52" s="6"/>
      <c r="C52" s="6"/>
      <c r="D52" s="5"/>
      <c r="E52" s="41"/>
      <c r="F52" s="41"/>
      <c r="G52" s="41"/>
      <c r="H52" s="41"/>
      <c r="I52" s="41"/>
      <c r="J52" s="41"/>
      <c r="K52" s="5"/>
      <c r="L52" s="5"/>
      <c r="M52" s="5"/>
      <c r="N52" s="5"/>
      <c r="O52" s="5"/>
      <c r="P52" s="5"/>
      <c r="Q52" s="5"/>
      <c r="R52" s="190"/>
      <c r="S52" s="190"/>
      <c r="T52" s="5"/>
      <c r="U52" s="190"/>
      <c r="V52" s="194"/>
      <c r="W52" s="194"/>
      <c r="X52" s="191"/>
    </row>
    <row r="53" spans="2:24">
      <c r="B53" s="6"/>
      <c r="C53" s="6"/>
      <c r="D53" s="5"/>
      <c r="E53" s="41"/>
      <c r="F53" s="41"/>
      <c r="G53" s="41"/>
      <c r="H53" s="41"/>
      <c r="I53" s="41"/>
      <c r="J53" s="41"/>
      <c r="K53" s="5"/>
      <c r="L53" s="5"/>
      <c r="M53" s="5"/>
      <c r="N53" s="5"/>
      <c r="O53" s="5"/>
      <c r="P53" s="5"/>
      <c r="Q53" s="5"/>
      <c r="R53" s="190"/>
      <c r="S53" s="190"/>
      <c r="T53" s="5"/>
      <c r="U53" s="5"/>
      <c r="V53" s="5"/>
      <c r="W53" s="191"/>
      <c r="X53" s="191"/>
    </row>
    <row r="54" spans="2:24">
      <c r="B54" s="6"/>
      <c r="C54" s="6"/>
      <c r="D54" s="5"/>
      <c r="E54" s="41"/>
      <c r="F54" s="41"/>
      <c r="G54" s="41"/>
      <c r="H54" s="41"/>
      <c r="I54" s="41"/>
      <c r="J54" s="41"/>
      <c r="K54" s="5"/>
      <c r="L54" s="5"/>
      <c r="M54" s="5"/>
      <c r="N54" s="5"/>
      <c r="O54" s="5"/>
      <c r="P54" s="5"/>
      <c r="Q54" s="5"/>
      <c r="R54" s="190"/>
      <c r="S54" s="190"/>
      <c r="T54" s="511"/>
      <c r="U54" s="511"/>
      <c r="V54" s="5"/>
      <c r="W54" s="189"/>
      <c r="X54" s="189"/>
    </row>
    <row r="55" spans="2:24">
      <c r="B55" s="5"/>
      <c r="C55" s="5"/>
      <c r="D55" s="5"/>
      <c r="E55" s="41"/>
      <c r="F55" s="41"/>
      <c r="G55" s="41"/>
      <c r="H55" s="41"/>
      <c r="I55" s="41"/>
      <c r="J55" s="41"/>
      <c r="K55" s="5"/>
      <c r="L55" s="5"/>
      <c r="M55" s="5"/>
      <c r="N55" s="5"/>
      <c r="O55" s="5"/>
      <c r="P55" s="5"/>
      <c r="Q55" s="5"/>
      <c r="R55" s="190"/>
      <c r="S55" s="190"/>
      <c r="T55" s="5"/>
      <c r="U55" s="190"/>
      <c r="V55" s="194"/>
      <c r="W55" s="191"/>
      <c r="X55" s="191"/>
    </row>
    <row r="56" spans="2:24">
      <c r="B56" s="5"/>
      <c r="C56" s="5"/>
      <c r="D56" s="5"/>
      <c r="E56" s="41"/>
      <c r="F56" s="41"/>
      <c r="G56" s="41"/>
      <c r="H56" s="41"/>
      <c r="I56" s="41"/>
      <c r="J56" s="41"/>
      <c r="K56" s="5"/>
      <c r="L56" s="5"/>
      <c r="M56" s="5"/>
      <c r="N56" s="5"/>
      <c r="O56" s="5"/>
      <c r="P56" s="5"/>
      <c r="Q56" s="5"/>
      <c r="R56" s="190"/>
      <c r="S56" s="190"/>
      <c r="T56" s="5"/>
      <c r="U56" s="190"/>
      <c r="V56" s="194"/>
      <c r="W56" s="5"/>
      <c r="X56" s="5"/>
    </row>
    <row r="57" spans="2:24">
      <c r="B57" s="5"/>
      <c r="C57" s="5"/>
      <c r="D57" s="5"/>
      <c r="E57" s="41"/>
      <c r="F57" s="41"/>
      <c r="G57" s="41"/>
      <c r="H57" s="41"/>
      <c r="I57" s="41"/>
      <c r="J57" s="41"/>
      <c r="K57" s="5"/>
      <c r="L57" s="5"/>
      <c r="M57" s="5"/>
      <c r="N57" s="5"/>
      <c r="O57" s="5"/>
      <c r="P57" s="5"/>
      <c r="Q57" s="5"/>
      <c r="R57" s="190"/>
      <c r="S57" s="190"/>
      <c r="T57" s="5"/>
      <c r="U57" s="190"/>
      <c r="V57" s="191"/>
      <c r="W57" s="5"/>
      <c r="X57" s="5"/>
    </row>
    <row r="58" spans="2:24">
      <c r="B58" s="5"/>
      <c r="C58" s="5"/>
      <c r="D58" s="5"/>
      <c r="E58" s="41"/>
      <c r="F58" s="41"/>
      <c r="G58" s="41"/>
      <c r="H58" s="41"/>
      <c r="I58" s="41"/>
      <c r="J58" s="41"/>
      <c r="K58" s="5"/>
      <c r="L58" s="5"/>
      <c r="M58" s="5"/>
      <c r="N58" s="5"/>
      <c r="O58" s="5"/>
      <c r="P58" s="5"/>
      <c r="Q58" s="5"/>
      <c r="R58" s="190"/>
      <c r="S58" s="190"/>
      <c r="T58" s="5"/>
      <c r="U58" s="190"/>
      <c r="V58" s="194"/>
      <c r="W58" s="194"/>
      <c r="X58" s="191"/>
    </row>
    <row r="59" spans="2:24">
      <c r="B59" s="5"/>
      <c r="C59" s="5"/>
      <c r="D59" s="5"/>
      <c r="E59" s="41"/>
      <c r="F59" s="41"/>
      <c r="G59" s="41"/>
      <c r="H59" s="41"/>
      <c r="I59" s="41"/>
      <c r="J59" s="41"/>
      <c r="K59" s="5"/>
      <c r="L59" s="5"/>
      <c r="M59" s="5"/>
      <c r="N59" s="5"/>
      <c r="O59" s="5"/>
      <c r="P59" s="5"/>
      <c r="Q59" s="5"/>
      <c r="R59" s="190"/>
      <c r="S59" s="190"/>
      <c r="T59" s="5"/>
      <c r="U59" s="190"/>
      <c r="V59" s="194"/>
      <c r="W59" s="194"/>
      <c r="X59" s="191"/>
    </row>
    <row r="60" spans="2:24">
      <c r="B60" s="5"/>
      <c r="C60" s="5"/>
      <c r="D60" s="5"/>
      <c r="E60" s="41"/>
      <c r="F60" s="41"/>
      <c r="G60" s="41"/>
      <c r="H60" s="41"/>
      <c r="I60" s="41"/>
      <c r="J60" s="41"/>
      <c r="K60" s="5"/>
      <c r="L60" s="5"/>
      <c r="M60" s="5"/>
      <c r="N60" s="5"/>
      <c r="O60" s="5"/>
      <c r="P60" s="5"/>
      <c r="Q60" s="5"/>
      <c r="R60" s="190"/>
      <c r="S60" s="190"/>
      <c r="T60" s="5"/>
      <c r="U60" s="5"/>
      <c r="V60" s="189"/>
      <c r="W60" s="189"/>
      <c r="X60" s="189"/>
    </row>
    <row r="61" spans="2:24">
      <c r="B61" s="5"/>
      <c r="C61" s="5"/>
      <c r="D61" s="5"/>
      <c r="E61" s="41"/>
      <c r="F61" s="41"/>
      <c r="G61" s="41"/>
      <c r="H61" s="41"/>
      <c r="I61" s="41"/>
      <c r="J61" s="41"/>
      <c r="K61" s="5"/>
      <c r="L61" s="5"/>
      <c r="M61" s="5"/>
      <c r="N61" s="5"/>
      <c r="O61" s="5"/>
      <c r="P61" s="5"/>
      <c r="Q61" s="5"/>
      <c r="R61" s="190"/>
      <c r="S61" s="190"/>
      <c r="T61" s="5"/>
      <c r="U61" s="190"/>
      <c r="V61" s="191"/>
      <c r="W61" s="194"/>
      <c r="X61" s="191"/>
    </row>
    <row r="62" spans="2:24">
      <c r="B62" s="5"/>
      <c r="C62" s="5"/>
      <c r="D62" s="5"/>
      <c r="E62" s="41"/>
      <c r="F62" s="41"/>
      <c r="G62" s="41"/>
      <c r="H62" s="41"/>
      <c r="I62" s="41"/>
      <c r="J62" s="41"/>
      <c r="K62" s="5"/>
      <c r="L62" s="5"/>
      <c r="M62" s="5"/>
      <c r="N62" s="5"/>
      <c r="O62" s="5"/>
      <c r="P62" s="5"/>
      <c r="Q62" s="5"/>
      <c r="R62" s="190"/>
      <c r="S62" s="190"/>
      <c r="T62" s="5"/>
      <c r="U62" s="5"/>
      <c r="V62" s="5"/>
      <c r="W62" s="5"/>
      <c r="X62" s="5"/>
    </row>
    <row r="63" spans="2:24">
      <c r="B63" s="5"/>
      <c r="C63" s="5"/>
      <c r="D63" s="5"/>
      <c r="E63" s="41"/>
      <c r="F63" s="41"/>
      <c r="G63" s="41"/>
      <c r="H63" s="41"/>
      <c r="I63" s="41"/>
      <c r="J63" s="41"/>
      <c r="K63" s="5"/>
      <c r="L63" s="5"/>
      <c r="M63" s="5"/>
      <c r="N63" s="5"/>
      <c r="O63" s="5"/>
      <c r="P63" s="5"/>
      <c r="Q63" s="5"/>
      <c r="R63" s="190"/>
      <c r="S63" s="190"/>
      <c r="T63" s="5"/>
      <c r="U63" s="5"/>
      <c r="V63" s="5"/>
      <c r="W63" s="5"/>
      <c r="X63" s="5"/>
    </row>
    <row r="64" spans="2:24">
      <c r="B64" s="5"/>
      <c r="C64" s="5"/>
      <c r="D64" s="5"/>
      <c r="E64" s="41"/>
      <c r="F64" s="41"/>
      <c r="G64" s="41"/>
      <c r="H64" s="41"/>
      <c r="I64" s="41"/>
      <c r="J64" s="41"/>
      <c r="K64" s="5"/>
      <c r="L64" s="5"/>
      <c r="M64" s="5"/>
      <c r="N64" s="5"/>
      <c r="O64" s="5"/>
      <c r="P64" s="5"/>
      <c r="Q64" s="5"/>
      <c r="R64" s="190"/>
      <c r="S64" s="190"/>
      <c r="T64" s="5"/>
      <c r="U64" s="190"/>
      <c r="V64" s="191"/>
      <c r="W64" s="194"/>
      <c r="X64" s="191"/>
    </row>
    <row r="65" spans="2:24">
      <c r="B65" s="5"/>
      <c r="C65" s="5"/>
      <c r="D65" s="5"/>
      <c r="E65" s="41"/>
      <c r="F65" s="41"/>
      <c r="G65" s="41"/>
      <c r="H65" s="41"/>
      <c r="I65" s="41"/>
      <c r="J65" s="41"/>
      <c r="K65" s="5"/>
      <c r="L65" s="5"/>
      <c r="M65" s="5"/>
      <c r="N65" s="5"/>
      <c r="O65" s="5"/>
      <c r="P65" s="5"/>
      <c r="Q65" s="5"/>
      <c r="R65" s="190"/>
      <c r="S65" s="190"/>
      <c r="T65" s="5"/>
      <c r="U65" s="5"/>
      <c r="V65" s="189"/>
      <c r="W65" s="194"/>
      <c r="X65" s="191"/>
    </row>
    <row r="66" spans="2:24">
      <c r="B66" s="5"/>
      <c r="C66" s="5"/>
      <c r="D66" s="5"/>
      <c r="E66" s="41"/>
      <c r="F66" s="41"/>
      <c r="G66" s="41"/>
      <c r="H66" s="41"/>
      <c r="I66" s="41"/>
      <c r="J66" s="41"/>
      <c r="K66" s="5"/>
      <c r="L66" s="5"/>
      <c r="M66" s="5"/>
      <c r="N66" s="5"/>
      <c r="O66" s="5"/>
      <c r="P66" s="5"/>
      <c r="Q66" s="5"/>
      <c r="R66" s="190"/>
      <c r="S66" s="190"/>
      <c r="T66" s="511"/>
      <c r="U66" s="511"/>
      <c r="V66" s="5"/>
      <c r="W66" s="194"/>
      <c r="X66" s="191"/>
    </row>
    <row r="67" spans="2:24">
      <c r="B67" s="5"/>
      <c r="C67" s="5"/>
      <c r="D67" s="5"/>
      <c r="E67" s="41"/>
      <c r="F67" s="41"/>
      <c r="G67" s="41"/>
      <c r="H67" s="41"/>
      <c r="I67" s="41"/>
      <c r="J67" s="41"/>
      <c r="K67" s="5"/>
      <c r="L67" s="5"/>
      <c r="M67" s="5"/>
      <c r="N67" s="5"/>
      <c r="O67" s="5"/>
      <c r="P67" s="5"/>
      <c r="Q67" s="5"/>
      <c r="R67" s="190"/>
      <c r="S67" s="190"/>
      <c r="T67" s="5"/>
      <c r="U67" s="5"/>
      <c r="V67" s="5"/>
      <c r="W67" s="194"/>
      <c r="X67" s="194"/>
    </row>
    <row r="68" spans="2:24">
      <c r="B68" s="5"/>
      <c r="C68" s="5"/>
      <c r="D68" s="5"/>
      <c r="E68" s="41"/>
      <c r="F68" s="41"/>
      <c r="G68" s="41"/>
      <c r="H68" s="41"/>
      <c r="I68" s="41"/>
      <c r="J68" s="41"/>
      <c r="K68" s="5"/>
      <c r="L68" s="5"/>
      <c r="M68" s="5"/>
      <c r="N68" s="5"/>
      <c r="O68" s="5"/>
      <c r="P68" s="5"/>
      <c r="Q68" s="5"/>
      <c r="R68" s="190"/>
      <c r="S68" s="190"/>
      <c r="T68" s="5"/>
      <c r="U68" s="190"/>
      <c r="V68" s="5"/>
      <c r="W68" s="194"/>
      <c r="X68" s="194"/>
    </row>
    <row r="69" spans="2:24">
      <c r="B69" s="5"/>
      <c r="C69" s="5"/>
      <c r="D69" s="5"/>
      <c r="E69" s="41"/>
      <c r="F69" s="41"/>
      <c r="G69" s="41"/>
      <c r="H69" s="41"/>
      <c r="I69" s="41"/>
      <c r="J69" s="41"/>
      <c r="K69" s="5"/>
      <c r="L69" s="5"/>
      <c r="M69" s="5"/>
      <c r="N69" s="5"/>
      <c r="O69" s="5"/>
      <c r="P69" s="5"/>
      <c r="Q69" s="5"/>
      <c r="R69" s="190"/>
      <c r="S69" s="190"/>
      <c r="T69" s="5"/>
      <c r="U69" s="5"/>
      <c r="V69" s="189"/>
      <c r="W69" s="189"/>
      <c r="X69" s="189"/>
    </row>
    <row r="70" spans="2:24">
      <c r="B70" s="5"/>
      <c r="C70" s="5"/>
      <c r="D70" s="5"/>
      <c r="E70" s="41"/>
      <c r="F70" s="41"/>
      <c r="G70" s="41"/>
      <c r="H70" s="41"/>
      <c r="I70" s="41"/>
      <c r="J70" s="41"/>
      <c r="K70" s="5"/>
      <c r="L70" s="5"/>
      <c r="M70" s="5"/>
      <c r="N70" s="5"/>
      <c r="O70" s="5"/>
      <c r="P70" s="5"/>
      <c r="Q70" s="5"/>
      <c r="R70" s="190"/>
      <c r="S70" s="190"/>
      <c r="T70" s="5"/>
      <c r="U70" s="190"/>
      <c r="V70" s="5"/>
      <c r="W70" s="194"/>
      <c r="X70" s="191"/>
    </row>
    <row r="71" spans="2:24">
      <c r="B71" s="5"/>
      <c r="C71" s="5"/>
      <c r="D71" s="5"/>
      <c r="E71" s="41"/>
      <c r="F71" s="41"/>
      <c r="G71" s="41"/>
      <c r="H71" s="41"/>
      <c r="I71" s="41"/>
      <c r="J71" s="41"/>
      <c r="K71" s="5"/>
      <c r="L71" s="5"/>
      <c r="M71" s="5"/>
      <c r="N71" s="5"/>
      <c r="O71" s="5"/>
      <c r="P71" s="5"/>
      <c r="Q71" s="5"/>
      <c r="R71" s="190"/>
      <c r="S71" s="190"/>
      <c r="T71" s="5"/>
      <c r="U71" s="5"/>
      <c r="V71" s="5"/>
      <c r="W71" s="5"/>
      <c r="X71" s="5"/>
    </row>
    <row r="72" spans="2:24">
      <c r="B72" s="5"/>
      <c r="C72" s="5"/>
      <c r="D72" s="5"/>
      <c r="E72" s="41"/>
      <c r="F72" s="41"/>
      <c r="G72" s="41"/>
      <c r="H72" s="41"/>
      <c r="I72" s="41"/>
      <c r="J72" s="41"/>
      <c r="K72" s="5"/>
      <c r="L72" s="5"/>
      <c r="M72" s="5"/>
      <c r="N72" s="5"/>
      <c r="O72" s="5"/>
      <c r="P72" s="5"/>
      <c r="Q72" s="5"/>
      <c r="R72" s="190"/>
      <c r="S72" s="190"/>
      <c r="T72" s="5"/>
      <c r="U72" s="5"/>
      <c r="V72" s="189"/>
      <c r="W72" s="5"/>
      <c r="X72" s="5"/>
    </row>
    <row r="73" spans="2:24">
      <c r="B73" s="5"/>
      <c r="C73" s="5"/>
      <c r="D73" s="5"/>
      <c r="E73" s="41"/>
      <c r="F73" s="41"/>
      <c r="G73" s="41"/>
      <c r="H73" s="41"/>
      <c r="I73" s="41"/>
      <c r="J73" s="41"/>
      <c r="K73" s="5"/>
      <c r="L73" s="5"/>
      <c r="M73" s="5"/>
      <c r="N73" s="5"/>
      <c r="O73" s="5"/>
      <c r="P73" s="5"/>
      <c r="Q73" s="5"/>
      <c r="R73" s="190"/>
      <c r="S73" s="190"/>
      <c r="T73" s="511"/>
      <c r="U73" s="511"/>
      <c r="V73" s="191"/>
      <c r="W73" s="191"/>
      <c r="X73" s="191"/>
    </row>
    <row r="74" spans="2:24">
      <c r="B74" s="5"/>
      <c r="C74" s="5"/>
      <c r="D74" s="5"/>
      <c r="E74" s="41"/>
      <c r="F74" s="41"/>
      <c r="G74" s="41"/>
      <c r="H74" s="41"/>
      <c r="I74" s="41"/>
      <c r="J74" s="41"/>
      <c r="K74" s="5"/>
      <c r="L74" s="5"/>
      <c r="M74" s="5"/>
      <c r="N74" s="5"/>
      <c r="O74" s="5"/>
      <c r="P74" s="5"/>
      <c r="Q74" s="5"/>
      <c r="R74" s="5"/>
      <c r="S74" s="5"/>
      <c r="T74" s="5"/>
      <c r="U74" s="5"/>
      <c r="V74" s="5"/>
      <c r="W74" s="189"/>
      <c r="X74" s="189"/>
    </row>
    <row r="75" spans="2:24">
      <c r="B75" s="5"/>
      <c r="C75" s="5"/>
      <c r="W75" s="5"/>
      <c r="X75" s="5"/>
    </row>
    <row r="76" spans="2:24">
      <c r="B76" s="5"/>
      <c r="C76" s="5"/>
      <c r="W76" s="5"/>
      <c r="X76" s="5"/>
    </row>
    <row r="77" spans="2:24">
      <c r="B77" s="5"/>
      <c r="C77" s="5"/>
      <c r="W77" s="5"/>
      <c r="X77" s="5"/>
    </row>
    <row r="78" spans="2:24">
      <c r="B78" s="5"/>
      <c r="C78" s="5"/>
      <c r="W78" s="189"/>
      <c r="X78" s="189"/>
    </row>
    <row r="79" spans="2:24">
      <c r="B79" s="5"/>
      <c r="C79" s="5"/>
      <c r="W79" s="5"/>
      <c r="X79" s="5"/>
    </row>
    <row r="80" spans="2:24">
      <c r="B80" s="5"/>
      <c r="C80" s="5"/>
      <c r="W80" s="5"/>
      <c r="X80" s="5"/>
    </row>
    <row r="81" spans="2:24">
      <c r="B81" s="5"/>
      <c r="C81" s="5"/>
      <c r="W81" s="189"/>
      <c r="X81" s="189"/>
    </row>
    <row r="82" spans="2:24">
      <c r="B82" s="5"/>
      <c r="C82" s="5"/>
      <c r="W82" s="191"/>
      <c r="X82" s="191"/>
    </row>
    <row r="83" spans="2:24">
      <c r="B83" s="5"/>
      <c r="C83" s="5"/>
      <c r="W83" s="5"/>
      <c r="X83" s="5"/>
    </row>
  </sheetData>
  <mergeCells count="13">
    <mergeCell ref="T66:U66"/>
    <mergeCell ref="T73:U73"/>
    <mergeCell ref="E27:H27"/>
    <mergeCell ref="O27:R27"/>
    <mergeCell ref="E33:G33"/>
    <mergeCell ref="T38:U38"/>
    <mergeCell ref="T48:U48"/>
    <mergeCell ref="T54:U54"/>
    <mergeCell ref="B1:W1"/>
    <mergeCell ref="T18:U18"/>
    <mergeCell ref="F4:S4"/>
    <mergeCell ref="F8:S8"/>
    <mergeCell ref="F18:S18"/>
  </mergeCells>
  <pageMargins left="0.7" right="0.7" top="0.75" bottom="0.75" header="0.3" footer="0.3"/>
  <pageSetup orientation="portrait" r:id="rId1"/>
  <headerFooter>
    <oddFooter xml:space="preserve">&amp;C_x000D_&amp;1#&amp;"Aptos"&amp;12&amp;K000000 Public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3F45A-901C-48E5-9095-64F704AD7F41}">
  <sheetPr codeName="Sheet16">
    <tabColor rgb="FF92D050"/>
  </sheetPr>
  <dimension ref="A1:AD41"/>
  <sheetViews>
    <sheetView topLeftCell="A4" zoomScale="85" zoomScaleNormal="85" workbookViewId="0">
      <selection activeCell="K51" sqref="K51"/>
    </sheetView>
  </sheetViews>
  <sheetFormatPr defaultColWidth="8.81640625" defaultRowHeight="14.5"/>
  <cols>
    <col min="1" max="1" width="7.453125" style="18" customWidth="1"/>
    <col min="2" max="2" width="14.453125" style="18" customWidth="1"/>
    <col min="3" max="4" width="13" style="18" customWidth="1"/>
    <col min="5" max="5" width="18" style="18" bestFit="1" customWidth="1"/>
    <col min="6" max="6" width="13.54296875" style="18" customWidth="1"/>
    <col min="7" max="7" width="18.54296875" style="18" bestFit="1" customWidth="1"/>
    <col min="8" max="8" width="14.1796875" style="18" customWidth="1"/>
    <col min="9" max="9" width="17" style="18" bestFit="1" customWidth="1"/>
    <col min="10" max="10" width="14" style="18" customWidth="1"/>
    <col min="11" max="11" width="15" style="18" bestFit="1" customWidth="1"/>
    <col min="12" max="12" width="13" style="18" customWidth="1"/>
    <col min="13" max="14" width="14.1796875" style="18" customWidth="1"/>
    <col min="15" max="15" width="14.54296875" style="18" customWidth="1"/>
    <col min="16" max="16" width="14.26953125" style="18" customWidth="1"/>
    <col min="17" max="17" width="9.1796875" style="18" customWidth="1"/>
    <col min="18" max="18" width="11.1796875" style="18" bestFit="1" customWidth="1"/>
    <col min="19" max="19" width="10.1796875" style="18" bestFit="1" customWidth="1"/>
    <col min="20" max="20" width="11.1796875" style="18" bestFit="1" customWidth="1"/>
    <col min="21" max="21" width="10.1796875" style="18" bestFit="1" customWidth="1"/>
    <col min="22" max="22" width="14.1796875" style="18" bestFit="1" customWidth="1"/>
    <col min="23" max="23" width="14" style="18" customWidth="1"/>
    <col min="24" max="24" width="9.453125" style="18" hidden="1" customWidth="1"/>
    <col min="25" max="28" width="15.7265625" style="18" bestFit="1" customWidth="1"/>
    <col min="29" max="29" width="12.26953125" style="18" customWidth="1"/>
    <col min="30" max="30" width="18.26953125" style="18" customWidth="1"/>
    <col min="31" max="32" width="8.81640625" style="18"/>
    <col min="33" max="33" width="28.54296875" style="18" customWidth="1"/>
    <col min="34" max="16384" width="8.81640625" style="18"/>
  </cols>
  <sheetData>
    <row r="1" spans="1:25">
      <c r="A1" s="368"/>
      <c r="B1" s="368"/>
      <c r="C1" s="368"/>
      <c r="D1" s="368"/>
      <c r="E1" s="368"/>
      <c r="F1" s="368"/>
      <c r="G1" s="368"/>
      <c r="H1" s="368"/>
      <c r="I1" s="368"/>
    </row>
    <row r="2" spans="1:25">
      <c r="A2" s="370"/>
      <c r="B2" s="532"/>
      <c r="C2" s="532"/>
      <c r="D2" s="532"/>
      <c r="F2" s="370"/>
    </row>
    <row r="3" spans="1:25">
      <c r="E3" s="533" t="s">
        <v>640</v>
      </c>
      <c r="F3" s="533"/>
      <c r="G3" s="533"/>
      <c r="H3" s="533"/>
      <c r="I3" s="533"/>
      <c r="J3" s="533"/>
      <c r="K3" s="533"/>
      <c r="M3" s="43"/>
      <c r="N3" s="43"/>
      <c r="O3" s="43"/>
      <c r="P3" s="454"/>
      <c r="Q3" s="454"/>
      <c r="R3" s="454"/>
      <c r="S3" s="454"/>
      <c r="T3" s="454"/>
      <c r="U3" s="454"/>
      <c r="V3" s="454"/>
    </row>
    <row r="4" spans="1:25" ht="15.75" customHeight="1">
      <c r="D4" s="5"/>
      <c r="E4" s="371">
        <f>'Hypothetical Summary'!L4</f>
        <v>2026</v>
      </c>
      <c r="F4" s="372">
        <f>Summary!L3</f>
        <v>46082</v>
      </c>
      <c r="G4" s="373">
        <f>Summary!L3</f>
        <v>46082</v>
      </c>
      <c r="H4" s="374" t="s">
        <v>570</v>
      </c>
      <c r="I4" s="374" t="s">
        <v>570</v>
      </c>
      <c r="J4"/>
      <c r="K4"/>
      <c r="L4" s="41"/>
      <c r="O4" s="5"/>
      <c r="P4" s="371"/>
      <c r="Q4" s="372"/>
      <c r="R4" s="373"/>
      <c r="S4" s="374"/>
      <c r="T4" s="374"/>
      <c r="U4" s="374"/>
      <c r="V4" s="374"/>
    </row>
    <row r="5" spans="1:25" ht="30.65" customHeight="1">
      <c r="D5" s="5"/>
      <c r="E5" s="374" t="s">
        <v>120</v>
      </c>
      <c r="F5" s="374" t="s">
        <v>571</v>
      </c>
      <c r="G5" s="374" t="s">
        <v>33</v>
      </c>
      <c r="H5" s="374" t="s">
        <v>571</v>
      </c>
      <c r="I5" s="374" t="s">
        <v>33</v>
      </c>
      <c r="J5"/>
      <c r="K5"/>
      <c r="L5" s="322"/>
      <c r="M5" s="225"/>
      <c r="N5" s="225"/>
      <c r="O5" s="322"/>
      <c r="P5" s="374"/>
      <c r="Q5" s="374"/>
      <c r="R5" s="374"/>
      <c r="S5" s="374"/>
      <c r="T5" s="374"/>
      <c r="U5" s="374"/>
      <c r="V5" s="374"/>
    </row>
    <row r="6" spans="1:25" ht="42" customHeight="1">
      <c r="B6" s="375"/>
      <c r="D6" s="375"/>
      <c r="E6" s="5"/>
      <c r="F6" s="5"/>
      <c r="G6" s="5"/>
      <c r="J6"/>
      <c r="K6"/>
      <c r="L6" s="41"/>
      <c r="O6" s="375"/>
      <c r="P6" s="5"/>
      <c r="Q6" s="5"/>
      <c r="R6" s="5"/>
      <c r="U6" s="41"/>
      <c r="V6" s="41"/>
    </row>
    <row r="7" spans="1:25" ht="15.5">
      <c r="D7" s="455" t="s">
        <v>641</v>
      </c>
      <c r="E7" s="66">
        <f>HLOOKUP($E$4,$Y$33:$AB$41,2,FALSE)</f>
        <v>148431.96953137699</v>
      </c>
      <c r="F7" s="377">
        <v>0.47087000000000007</v>
      </c>
      <c r="G7" s="116">
        <f t="shared" ref="G7:G12" si="0">F7*E7</f>
        <v>69892.161493239488</v>
      </c>
      <c r="H7" s="378">
        <f t="shared" ref="H7:H12" si="1">F7+I$15/SUM($E$7:$E$12)</f>
        <v>0.47087000000000007</v>
      </c>
      <c r="I7" s="116">
        <f t="shared" ref="I7:I12" si="2">H7*E7</f>
        <v>69892.161493239488</v>
      </c>
      <c r="J7"/>
      <c r="K7"/>
      <c r="L7" s="456"/>
      <c r="O7" s="376"/>
      <c r="P7" s="101"/>
      <c r="Q7" s="377"/>
      <c r="R7" s="100"/>
      <c r="S7" s="378"/>
      <c r="T7" s="100"/>
      <c r="U7" s="378"/>
      <c r="V7" s="100"/>
      <c r="W7" s="19"/>
    </row>
    <row r="8" spans="1:25" ht="15.5">
      <c r="D8" s="380" t="s">
        <v>642</v>
      </c>
      <c r="E8" s="66">
        <f>HLOOKUP($E$4,$Y$33:$AB$41,3,FALSE)</f>
        <v>102276.79442666098</v>
      </c>
      <c r="F8" s="377">
        <v>0.42164000000000007</v>
      </c>
      <c r="G8" s="116">
        <f t="shared" si="0"/>
        <v>43123.987602057343</v>
      </c>
      <c r="H8" s="378">
        <f t="shared" si="1"/>
        <v>0.42164000000000007</v>
      </c>
      <c r="I8" s="116">
        <f t="shared" si="2"/>
        <v>43123.987602057343</v>
      </c>
      <c r="J8"/>
      <c r="K8"/>
      <c r="L8" s="456"/>
      <c r="O8" s="380"/>
      <c r="P8" s="101"/>
      <c r="Q8" s="377"/>
      <c r="R8" s="100"/>
      <c r="S8" s="378"/>
      <c r="T8" s="100"/>
      <c r="U8" s="378"/>
      <c r="V8" s="100"/>
      <c r="W8" s="19"/>
      <c r="Y8" s="381"/>
    </row>
    <row r="9" spans="1:25" ht="15.5">
      <c r="D9" s="455" t="s">
        <v>643</v>
      </c>
      <c r="E9" s="66">
        <f>HLOOKUP($E$4,$Y$33:$AB$41,4,FALSE)</f>
        <v>331735.01479594107</v>
      </c>
      <c r="F9" s="377">
        <v>0.40083000000000002</v>
      </c>
      <c r="G9" s="116">
        <f t="shared" si="0"/>
        <v>132969.34598065706</v>
      </c>
      <c r="H9" s="378">
        <f t="shared" si="1"/>
        <v>0.40083000000000002</v>
      </c>
      <c r="I9" s="116">
        <f t="shared" si="2"/>
        <v>132969.34598065706</v>
      </c>
      <c r="J9"/>
      <c r="K9"/>
      <c r="L9" s="456"/>
      <c r="O9" s="376"/>
      <c r="P9" s="101"/>
      <c r="Q9" s="377"/>
      <c r="R9" s="100"/>
      <c r="S9" s="378"/>
      <c r="T9" s="100"/>
      <c r="U9" s="378"/>
      <c r="V9" s="100"/>
      <c r="W9" s="19"/>
      <c r="Y9" s="381"/>
    </row>
    <row r="10" spans="1:25" ht="15.5">
      <c r="D10" s="380" t="s">
        <v>644</v>
      </c>
      <c r="E10" s="66">
        <f>HLOOKUP($E$4,$Y$33:$AB$41,5,FALSE)</f>
        <v>224629.25731840497</v>
      </c>
      <c r="F10" s="377">
        <v>0.39545000000000002</v>
      </c>
      <c r="G10" s="116">
        <f t="shared" si="0"/>
        <v>88829.639806563253</v>
      </c>
      <c r="H10" s="378">
        <f t="shared" si="1"/>
        <v>0.39545000000000002</v>
      </c>
      <c r="I10" s="116">
        <f t="shared" si="2"/>
        <v>88829.639806563253</v>
      </c>
      <c r="J10"/>
      <c r="K10"/>
      <c r="L10" s="456"/>
      <c r="O10" s="380"/>
      <c r="P10" s="101"/>
      <c r="Q10" s="377"/>
      <c r="R10" s="100"/>
      <c r="S10" s="378"/>
      <c r="T10" s="100"/>
      <c r="U10" s="378"/>
      <c r="V10" s="100"/>
      <c r="W10" s="19"/>
      <c r="Y10" s="381"/>
    </row>
    <row r="11" spans="1:25" ht="15.5">
      <c r="D11" s="455" t="s">
        <v>645</v>
      </c>
      <c r="E11" s="66">
        <f>HLOOKUP($E$4,$Y$33:$AB$41,6,FALSE)</f>
        <v>650611.21810376388</v>
      </c>
      <c r="F11" s="377">
        <v>0.37933</v>
      </c>
      <c r="G11" s="116">
        <f t="shared" si="0"/>
        <v>246796.35336330076</v>
      </c>
      <c r="H11" s="378">
        <f t="shared" si="1"/>
        <v>0.37933</v>
      </c>
      <c r="I11" s="116">
        <f t="shared" si="2"/>
        <v>246796.35336330076</v>
      </c>
      <c r="J11"/>
      <c r="K11"/>
      <c r="L11" s="456"/>
      <c r="O11" s="376"/>
      <c r="P11" s="101"/>
      <c r="Q11" s="377"/>
      <c r="R11" s="100"/>
      <c r="S11" s="378"/>
      <c r="T11" s="100"/>
      <c r="U11" s="378"/>
      <c r="V11" s="100"/>
      <c r="W11" s="379"/>
      <c r="Y11" s="381"/>
    </row>
    <row r="12" spans="1:25" ht="15.5">
      <c r="D12" s="455" t="s">
        <v>646</v>
      </c>
      <c r="E12" s="66">
        <f>HLOOKUP($E$4,$Y$33:$AB$41,7,FALSE)</f>
        <v>69528.629811378007</v>
      </c>
      <c r="F12" s="377">
        <v>0.36291000000000001</v>
      </c>
      <c r="G12" s="116">
        <f t="shared" si="0"/>
        <v>25232.635044847193</v>
      </c>
      <c r="H12" s="378">
        <f t="shared" si="1"/>
        <v>0.36291000000000001</v>
      </c>
      <c r="I12" s="116">
        <f t="shared" si="2"/>
        <v>25232.635044847193</v>
      </c>
      <c r="J12"/>
      <c r="K12"/>
      <c r="L12" s="456"/>
      <c r="O12" s="380"/>
      <c r="P12" s="101"/>
      <c r="Q12" s="377"/>
      <c r="R12" s="100"/>
      <c r="S12" s="378"/>
      <c r="T12" s="100"/>
      <c r="U12" s="378"/>
      <c r="V12" s="100"/>
      <c r="W12" s="379"/>
      <c r="Y12" s="381"/>
    </row>
    <row r="13" spans="1:25" ht="15.5">
      <c r="F13" s="377"/>
      <c r="J13"/>
      <c r="K13"/>
      <c r="L13" s="379"/>
      <c r="O13" s="380"/>
      <c r="P13" s="384"/>
      <c r="Q13" s="377"/>
      <c r="R13" s="116"/>
      <c r="S13" s="390"/>
      <c r="T13" s="383"/>
      <c r="U13" s="5"/>
      <c r="V13" s="383"/>
      <c r="X13" s="381"/>
      <c r="Y13" s="381"/>
    </row>
    <row r="14" spans="1:25" ht="15.5">
      <c r="D14" s="380" t="s">
        <v>647</v>
      </c>
      <c r="E14" s="66">
        <f>HLOOKUP($E$4,$Y$33:$AB$41,9,FALSE)</f>
        <v>824.49997799000005</v>
      </c>
      <c r="F14" s="377">
        <v>0.32854</v>
      </c>
      <c r="G14" s="116">
        <f>F14*E14*365/12</f>
        <v>8239.3038592187204</v>
      </c>
      <c r="H14" s="377">
        <f>F14</f>
        <v>0.32854</v>
      </c>
      <c r="I14" s="116">
        <f>H14*E14*365/12</f>
        <v>8239.3038592187204</v>
      </c>
      <c r="J14"/>
      <c r="K14"/>
      <c r="L14" s="379"/>
      <c r="O14" s="380"/>
      <c r="P14" s="384"/>
      <c r="Q14" s="377"/>
      <c r="R14" s="384"/>
      <c r="S14" s="390"/>
      <c r="T14" s="384"/>
      <c r="U14" s="384"/>
      <c r="V14" s="384"/>
      <c r="Y14" s="381"/>
    </row>
    <row r="15" spans="1:25" ht="15.5">
      <c r="D15" s="385" t="s">
        <v>648</v>
      </c>
      <c r="E15" s="386"/>
      <c r="F15" s="377"/>
      <c r="G15" s="116">
        <f>SUM(G7:G14)</f>
        <v>615083.42714988382</v>
      </c>
      <c r="H15" s="384"/>
      <c r="I15" s="116">
        <f>'Hypothetical SAR and RAR (B-1)'!U20</f>
        <v>0</v>
      </c>
      <c r="J15"/>
      <c r="K15"/>
      <c r="L15" s="379"/>
      <c r="O15" s="457"/>
      <c r="P15" s="384"/>
      <c r="Q15" s="377"/>
      <c r="R15" s="384"/>
      <c r="S15" s="390"/>
      <c r="T15" s="384"/>
      <c r="U15" s="384"/>
      <c r="V15" s="384"/>
    </row>
    <row r="16" spans="1:25" ht="15.5">
      <c r="P16" s="384"/>
      <c r="Q16" s="377"/>
      <c r="S16" s="390"/>
    </row>
    <row r="17" spans="2:30" ht="15.5">
      <c r="O17" s="389"/>
      <c r="S17" s="390"/>
    </row>
    <row r="18" spans="2:30" ht="15.5">
      <c r="S18" s="390"/>
    </row>
    <row r="19" spans="2:30">
      <c r="B19" s="391"/>
      <c r="E19" s="388"/>
      <c r="P19" s="18" t="str">
        <f>'Bill Impact (B-1)'!P19</f>
        <v>2025 Recorded Data</v>
      </c>
    </row>
    <row r="20" spans="2:30">
      <c r="B20" s="392" t="s">
        <v>650</v>
      </c>
      <c r="C20" s="392"/>
      <c r="E20" s="393"/>
      <c r="F20" s="393"/>
      <c r="H20" s="392"/>
      <c r="I20" s="392"/>
      <c r="J20" s="392"/>
      <c r="K20" s="392"/>
      <c r="L20" s="392"/>
      <c r="M20" s="392"/>
      <c r="N20" s="392"/>
      <c r="P20" s="394" t="s">
        <v>651</v>
      </c>
      <c r="Q20" s="537" t="s">
        <v>594</v>
      </c>
      <c r="R20" s="538"/>
      <c r="S20" s="539"/>
      <c r="T20" s="537" t="s">
        <v>595</v>
      </c>
      <c r="U20" s="538"/>
      <c r="V20" s="539"/>
      <c r="X20" s="80"/>
      <c r="Y20" s="458"/>
      <c r="Z20" s="458"/>
      <c r="AA20" s="458"/>
      <c r="AB20" s="458"/>
      <c r="AC20" s="524"/>
      <c r="AD20" s="524"/>
    </row>
    <row r="21" spans="2:30">
      <c r="B21" s="398" t="s">
        <v>571</v>
      </c>
      <c r="C21" s="399">
        <v>46023</v>
      </c>
      <c r="D21" s="399">
        <f>Summary!L3</f>
        <v>46082</v>
      </c>
      <c r="E21" s="400" t="s">
        <v>570</v>
      </c>
      <c r="F21"/>
      <c r="P21" s="459" t="s">
        <v>652</v>
      </c>
      <c r="Q21" s="460" t="s">
        <v>653</v>
      </c>
      <c r="R21" s="461" t="s">
        <v>654</v>
      </c>
      <c r="S21" s="460" t="s">
        <v>655</v>
      </c>
      <c r="T21" s="461" t="s">
        <v>654</v>
      </c>
      <c r="U21" s="460" t="s">
        <v>655</v>
      </c>
      <c r="V21" s="460" t="s">
        <v>656</v>
      </c>
      <c r="W21" s="460" t="s">
        <v>170</v>
      </c>
      <c r="Y21" s="524"/>
      <c r="Z21" s="524"/>
      <c r="AA21" s="524"/>
      <c r="AB21" s="524"/>
      <c r="AC21" s="38"/>
      <c r="AD21" s="38"/>
    </row>
    <row r="22" spans="2:30">
      <c r="B22" s="455" t="s">
        <v>641</v>
      </c>
      <c r="C22" s="52">
        <v>0.47794000000000003</v>
      </c>
      <c r="D22" s="52">
        <f t="shared" ref="D22:D27" si="3">F7</f>
        <v>0.47087000000000007</v>
      </c>
      <c r="E22" s="52">
        <f t="shared" ref="E22:E27" si="4">H7</f>
        <v>0.47087000000000007</v>
      </c>
      <c r="F22"/>
      <c r="I22" s="381"/>
      <c r="J22" s="381"/>
      <c r="M22" s="381"/>
      <c r="N22" s="381"/>
      <c r="P22" s="462" t="s">
        <v>63</v>
      </c>
      <c r="Q22" s="117">
        <f>'Bill Impact (B-1)'!Q22</f>
        <v>228</v>
      </c>
      <c r="R22" s="117">
        <f>'Bill Impact (B-1)'!R22</f>
        <v>180</v>
      </c>
      <c r="S22" s="117">
        <f>'Bill Impact (B-1)'!S22</f>
        <v>530</v>
      </c>
      <c r="T22" s="117">
        <f>'Bill Impact (B-1)'!T22</f>
        <v>174</v>
      </c>
      <c r="U22" s="117">
        <f>'Bill Impact (B-1)'!U22</f>
        <v>535</v>
      </c>
      <c r="V22" s="202">
        <f>'Bill Impact (B-1)'!V22</f>
        <v>49</v>
      </c>
      <c r="W22" s="202">
        <f>'Bill Impact (B-1)'!W22</f>
        <v>1696</v>
      </c>
      <c r="Y22" s="465"/>
      <c r="Z22" s="465"/>
      <c r="AA22" s="465"/>
      <c r="AB22" s="465"/>
      <c r="AC22" s="97"/>
      <c r="AD22" s="97"/>
    </row>
    <row r="23" spans="2:30">
      <c r="B23" s="380" t="s">
        <v>642</v>
      </c>
      <c r="C23" s="52">
        <v>0.42871000000000004</v>
      </c>
      <c r="D23" s="52">
        <f t="shared" si="3"/>
        <v>0.42164000000000007</v>
      </c>
      <c r="E23" s="52">
        <f t="shared" si="4"/>
        <v>0.42164000000000007</v>
      </c>
      <c r="F23"/>
      <c r="I23" s="381"/>
      <c r="J23" s="381"/>
      <c r="M23" s="381"/>
      <c r="N23" s="381"/>
      <c r="P23" s="462" t="s">
        <v>64</v>
      </c>
      <c r="Q23" s="117">
        <f>'Bill Impact (B-1)'!Q23</f>
        <v>408</v>
      </c>
      <c r="R23" s="117">
        <f>'Bill Impact (B-1)'!R23</f>
        <v>343</v>
      </c>
      <c r="S23" s="117">
        <f>'Bill Impact (B-1)'!S23</f>
        <v>957</v>
      </c>
      <c r="T23" s="117">
        <f>'Bill Impact (B-1)'!T23</f>
        <v>238</v>
      </c>
      <c r="U23" s="117">
        <f>'Bill Impact (B-1)'!U23</f>
        <v>780</v>
      </c>
      <c r="V23" s="117">
        <f>'Bill Impact (B-1)'!V23</f>
        <v>123</v>
      </c>
      <c r="W23" s="117">
        <f>'Bill Impact (B-1)'!W23</f>
        <v>2849</v>
      </c>
      <c r="Y23" s="465"/>
      <c r="Z23" s="465"/>
      <c r="AA23" s="465"/>
      <c r="AB23" s="465"/>
      <c r="AC23" s="97"/>
      <c r="AD23" s="97"/>
    </row>
    <row r="24" spans="2:30">
      <c r="B24" s="455" t="s">
        <v>643</v>
      </c>
      <c r="C24" s="52">
        <v>0.40789999999999998</v>
      </c>
      <c r="D24" s="52">
        <f t="shared" si="3"/>
        <v>0.40083000000000002</v>
      </c>
      <c r="E24" s="52">
        <f t="shared" si="4"/>
        <v>0.40083000000000002</v>
      </c>
      <c r="F24"/>
      <c r="I24" s="381"/>
      <c r="J24" s="381"/>
      <c r="M24" s="381"/>
      <c r="N24" s="381"/>
      <c r="P24" s="467" t="s">
        <v>65</v>
      </c>
      <c r="Q24" s="117">
        <f>'Bill Impact (B-1)'!Q24</f>
        <v>1111</v>
      </c>
      <c r="R24" s="117">
        <f>'Bill Impact (B-1)'!R24</f>
        <v>732</v>
      </c>
      <c r="S24" s="117">
        <f>'Bill Impact (B-1)'!S24</f>
        <v>1927</v>
      </c>
      <c r="T24" s="117">
        <f>'Bill Impact (B-1)'!T24</f>
        <v>722</v>
      </c>
      <c r="U24" s="117">
        <f>'Bill Impact (B-1)'!U24</f>
        <v>1607</v>
      </c>
      <c r="V24" s="154">
        <f>'Bill Impact (B-1)'!V24</f>
        <v>265</v>
      </c>
      <c r="W24" s="154">
        <f>'Bill Impact (B-1)'!W24</f>
        <v>6364</v>
      </c>
      <c r="Y24" s="465"/>
      <c r="Z24" s="465"/>
      <c r="AA24" s="465"/>
      <c r="AB24" s="465"/>
      <c r="AC24" s="97"/>
      <c r="AD24" s="97"/>
    </row>
    <row r="25" spans="2:30">
      <c r="B25" s="380" t="s">
        <v>644</v>
      </c>
      <c r="C25" s="52">
        <v>0.40251999999999999</v>
      </c>
      <c r="D25" s="52">
        <f t="shared" si="3"/>
        <v>0.39545000000000002</v>
      </c>
      <c r="E25" s="52">
        <f t="shared" si="4"/>
        <v>0.39545000000000002</v>
      </c>
      <c r="F25"/>
      <c r="I25" s="381"/>
      <c r="J25" s="381"/>
      <c r="M25" s="381"/>
      <c r="N25" s="381"/>
      <c r="P25" s="468"/>
      <c r="Q25" s="469"/>
      <c r="R25" s="469"/>
      <c r="S25" s="469"/>
      <c r="T25" s="469"/>
      <c r="U25" s="99"/>
      <c r="V25" s="99"/>
      <c r="Y25" s="465"/>
      <c r="Z25" s="465"/>
      <c r="AA25" s="465"/>
      <c r="AB25" s="465"/>
      <c r="AC25" s="97"/>
      <c r="AD25" s="97"/>
    </row>
    <row r="26" spans="2:30">
      <c r="B26" s="455" t="s">
        <v>645</v>
      </c>
      <c r="C26" s="52">
        <v>0.38639999999999997</v>
      </c>
      <c r="D26" s="52">
        <f t="shared" si="3"/>
        <v>0.37933</v>
      </c>
      <c r="E26" s="52">
        <f t="shared" si="4"/>
        <v>0.37933</v>
      </c>
      <c r="F26"/>
      <c r="I26" s="381"/>
      <c r="J26" s="381"/>
      <c r="M26" s="381"/>
      <c r="N26" s="381"/>
      <c r="Q26" s="465"/>
      <c r="R26" s="465"/>
      <c r="S26" s="465"/>
      <c r="T26" s="465"/>
      <c r="U26" s="97"/>
      <c r="V26" s="97"/>
      <c r="Y26" s="465"/>
      <c r="Z26" s="465"/>
      <c r="AA26" s="465"/>
      <c r="AB26" s="465"/>
      <c r="AC26" s="97"/>
      <c r="AD26" s="97"/>
    </row>
    <row r="27" spans="2:30">
      <c r="B27" s="455" t="s">
        <v>646</v>
      </c>
      <c r="C27" s="52">
        <v>0.36997999999999998</v>
      </c>
      <c r="D27" s="52">
        <f t="shared" si="3"/>
        <v>0.36291000000000001</v>
      </c>
      <c r="E27" s="52">
        <f t="shared" si="4"/>
        <v>0.36291000000000001</v>
      </c>
      <c r="F27"/>
      <c r="I27" s="381"/>
      <c r="J27" s="381"/>
      <c r="M27" s="381"/>
      <c r="N27" s="381"/>
      <c r="Q27" s="465"/>
      <c r="R27" s="465"/>
      <c r="S27" s="465"/>
      <c r="T27" s="465"/>
      <c r="U27" s="97"/>
      <c r="V27" s="97"/>
      <c r="Y27" s="465"/>
      <c r="Z27" s="465"/>
      <c r="AA27" s="465"/>
      <c r="AB27" s="465"/>
      <c r="AC27" s="97"/>
      <c r="AD27" s="97"/>
    </row>
    <row r="28" spans="2:30">
      <c r="B28" s="380" t="s">
        <v>647</v>
      </c>
      <c r="C28" s="52">
        <v>0.32854</v>
      </c>
      <c r="D28" s="52">
        <f>F14</f>
        <v>0.32854</v>
      </c>
      <c r="E28" s="52">
        <f>H14</f>
        <v>0.32854</v>
      </c>
      <c r="F28"/>
      <c r="Q28" s="19"/>
    </row>
    <row r="29" spans="2:30">
      <c r="B29" s="391"/>
      <c r="C29" s="54"/>
      <c r="D29" s="52"/>
      <c r="E29" s="69"/>
      <c r="F29" s="69"/>
      <c r="N29" s="19"/>
    </row>
    <row r="30" spans="2:30">
      <c r="B30" s="391"/>
      <c r="C30" s="524" t="s">
        <v>542</v>
      </c>
      <c r="D30" s="524"/>
      <c r="E30" s="524"/>
      <c r="F30" s="524"/>
      <c r="G30" s="524"/>
      <c r="H30" s="524"/>
      <c r="I30" s="524"/>
      <c r="J30" s="524"/>
      <c r="L30" s="391"/>
    </row>
    <row r="31" spans="2:30">
      <c r="B31" s="391"/>
      <c r="C31" s="525">
        <f>C21</f>
        <v>46023</v>
      </c>
      <c r="D31" s="526"/>
      <c r="E31" s="525">
        <f>D21</f>
        <v>46082</v>
      </c>
      <c r="F31" s="526"/>
      <c r="G31" s="527" t="s">
        <v>570</v>
      </c>
      <c r="H31" s="527"/>
      <c r="I31"/>
      <c r="J31"/>
      <c r="L31" s="391"/>
      <c r="M31" s="102"/>
      <c r="N31" s="103"/>
      <c r="O31" s="102"/>
      <c r="P31" s="103"/>
      <c r="Q31" s="104"/>
      <c r="R31" s="104"/>
      <c r="S31" s="88"/>
      <c r="T31" s="104"/>
    </row>
    <row r="32" spans="2:30">
      <c r="B32" s="391"/>
      <c r="C32" s="54" t="s">
        <v>594</v>
      </c>
      <c r="D32" s="54" t="s">
        <v>595</v>
      </c>
      <c r="E32" s="54" t="s">
        <v>594</v>
      </c>
      <c r="F32" s="54" t="s">
        <v>595</v>
      </c>
      <c r="G32" s="54" t="s">
        <v>594</v>
      </c>
      <c r="H32" s="54" t="s">
        <v>595</v>
      </c>
      <c r="I32"/>
      <c r="J32"/>
      <c r="L32" s="391"/>
      <c r="M32" s="54"/>
      <c r="N32" s="54"/>
      <c r="O32" s="54"/>
      <c r="P32" s="54"/>
      <c r="Q32" s="54"/>
      <c r="R32" s="54"/>
      <c r="S32" s="54"/>
      <c r="T32" s="54"/>
    </row>
    <row r="33" spans="2:28">
      <c r="B33" s="18" t="s">
        <v>63</v>
      </c>
      <c r="C33" s="54">
        <f>SUM(SUM($C$22*$Q22,$C$23*$R22,$C$24*$S22),($C$28*365.25/12))</f>
        <v>412.32505624999999</v>
      </c>
      <c r="D33" s="54">
        <f>SUM(SUM($C$25*$T22,$C$26*$U22,$C$27*$V22),($C$28*365.25/12))</f>
        <v>304.89143624999997</v>
      </c>
      <c r="E33" s="54">
        <f>SUM(SUM($D$22*$Q22,$D$23*$R22,$D$24*$S22),($D$28*365.25/12))</f>
        <v>405.69339625000009</v>
      </c>
      <c r="F33" s="54">
        <f>SUM(SUM($D$25*$T22,$D$26*$U22,$D$27*$V22),($D$28*365.25/12))</f>
        <v>299.53237625000008</v>
      </c>
      <c r="G33" s="54">
        <f>SUM(SUM($E$22*$Q22,$E$23*$R22,$E$24*$S22),($E$28*365.25/12))</f>
        <v>405.69339625000009</v>
      </c>
      <c r="H33" s="54">
        <f>SUM(SUM($E$25*$T22,$E$26*$U22,$E$27*$V22),($E$28*365.25/12))</f>
        <v>299.53237625000008</v>
      </c>
      <c r="I33"/>
      <c r="J33"/>
      <c r="M33" s="54"/>
      <c r="N33" s="54"/>
      <c r="O33" s="54"/>
      <c r="P33" s="54"/>
      <c r="Q33" s="54"/>
      <c r="R33" s="54"/>
      <c r="S33" s="54"/>
      <c r="T33" s="54"/>
      <c r="W33" s="18" t="s">
        <v>561</v>
      </c>
      <c r="X33" s="18" t="s">
        <v>542</v>
      </c>
      <c r="Y33" s="18">
        <f>'Bill Impact (B-1)'!Y33</f>
        <v>2026</v>
      </c>
      <c r="Z33" s="18">
        <f>'Bill Impact (B-1)'!Z33</f>
        <v>2027</v>
      </c>
      <c r="AA33" s="18">
        <f>'Bill Impact (B-1)'!AA33</f>
        <v>2028</v>
      </c>
      <c r="AB33" s="18">
        <f>'Bill Impact (B-1)'!AB33</f>
        <v>2029</v>
      </c>
    </row>
    <row r="34" spans="2:28" ht="15.5">
      <c r="B34" s="18" t="s">
        <v>64</v>
      </c>
      <c r="C34" s="54">
        <f>SUM(SUM($C$22*$Q23,$C$23*$R23,$C$24*$S23),($C$28*365.25/12))</f>
        <v>742.40728624999997</v>
      </c>
      <c r="D34" s="54">
        <f>SUM(SUM($C$25*$T23,$C$26*$U23,$C$27*$V23),($C$28*365.25/12))</f>
        <v>452.69923625000001</v>
      </c>
      <c r="E34" s="54">
        <f>SUM(SUM($D$22*$Q23,$D$23*$R23,$D$24*$S23),($D$28*365.25/12))</f>
        <v>730.33172625000009</v>
      </c>
      <c r="F34" s="54">
        <f>SUM(SUM($D$25*$T23,$D$26*$U23,$D$27*$V23),($D$28*365.25/12))</f>
        <v>444.63236625000002</v>
      </c>
      <c r="G34" s="54">
        <f>SUM(SUM($E$22*$Q23,$E$23*$R23,$E$24*$S23),($E$28*365.25/12))</f>
        <v>730.33172625000009</v>
      </c>
      <c r="H34" s="54">
        <f>SUM(SUM($E$25*$T23,$E$26*$U23,$E$27*$V23),($E$28*365.25/12))</f>
        <v>444.63236625000002</v>
      </c>
      <c r="I34"/>
      <c r="J34"/>
      <c r="M34" s="54"/>
      <c r="N34" s="54"/>
      <c r="O34" s="54"/>
      <c r="P34" s="54"/>
      <c r="Q34" s="54"/>
      <c r="R34" s="54"/>
      <c r="S34" s="54"/>
      <c r="T34" s="54"/>
      <c r="V34" s="19" t="s">
        <v>594</v>
      </c>
      <c r="W34" s="19" t="s">
        <v>653</v>
      </c>
      <c r="X34" s="19" t="s">
        <v>653</v>
      </c>
      <c r="Y34" s="66">
        <v>148431.96953137699</v>
      </c>
      <c r="Z34" s="66">
        <f>'Bill Impact (B-1)'!Z34</f>
        <v>148431.96953137699</v>
      </c>
      <c r="AA34" s="66">
        <f>$Z34</f>
        <v>148431.96953137699</v>
      </c>
      <c r="AB34" s="66">
        <f>$Z34</f>
        <v>148431.96953137699</v>
      </c>
    </row>
    <row r="35" spans="2:28" ht="15.5">
      <c r="B35" s="18" t="s">
        <v>65</v>
      </c>
      <c r="C35" s="54">
        <f>SUM(SUM($C$22*$Q24,$C$23*$R24,$C$24*$S24),($C$28*365.25/12))</f>
        <v>1640.8302962499999</v>
      </c>
      <c r="D35" s="54">
        <f>SUM(SUM($C$25*$T24,$C$26*$U24,$C$27*$V24),($C$28*365.25/12))</f>
        <v>1019.60887625</v>
      </c>
      <c r="E35" s="54">
        <f>SUM(SUM($D$22*$Q24,$D$23*$R24,$D$24*$S24),($D$28*365.25/12))</f>
        <v>1614.1763962500002</v>
      </c>
      <c r="F35" s="54">
        <f>SUM(SUM($D$25*$T24,$D$26*$U24,$D$27*$V24),($D$28*365.25/12))</f>
        <v>1001.26929625</v>
      </c>
      <c r="G35" s="54">
        <f>SUM(SUM($E$22*$Q24,$E$23*$R24,$E$24*$S24),($E$28*365.25/12))</f>
        <v>1614.1763962500002</v>
      </c>
      <c r="H35" s="54">
        <f>SUM(SUM($E$25*$T24,$E$26*$U24,$E$27*$V24),($E$28*365.25/12))</f>
        <v>1001.26929625</v>
      </c>
      <c r="I35"/>
      <c r="J35"/>
      <c r="M35" s="54"/>
      <c r="N35" s="54"/>
      <c r="O35" s="54"/>
      <c r="P35" s="54"/>
      <c r="Q35" s="54"/>
      <c r="R35" s="54"/>
      <c r="S35" s="54"/>
      <c r="T35" s="54"/>
      <c r="V35" s="19" t="s">
        <v>594</v>
      </c>
      <c r="W35" s="19" t="s">
        <v>657</v>
      </c>
      <c r="X35" s="19" t="s">
        <v>657</v>
      </c>
      <c r="Y35" s="66">
        <v>102276.79442666098</v>
      </c>
      <c r="Z35" s="66">
        <f>'Bill Impact (B-1)'!Z35</f>
        <v>102276.79442666098</v>
      </c>
      <c r="AA35" s="66">
        <f t="shared" ref="AA35:AB39" si="5">$Z35</f>
        <v>102276.79442666098</v>
      </c>
      <c r="AB35" s="66">
        <f t="shared" si="5"/>
        <v>102276.79442666098</v>
      </c>
    </row>
    <row r="36" spans="2:28" ht="15.5">
      <c r="C36" s="54"/>
      <c r="D36" s="54"/>
      <c r="E36" s="54"/>
      <c r="F36" s="54"/>
      <c r="G36" s="54"/>
      <c r="H36" s="54"/>
      <c r="I36" s="54"/>
      <c r="J36" s="54"/>
      <c r="M36" s="54"/>
      <c r="N36" s="54"/>
      <c r="O36" s="54"/>
      <c r="P36" s="54"/>
      <c r="Q36" s="54"/>
      <c r="R36" s="54"/>
      <c r="S36" s="54"/>
      <c r="T36" s="54"/>
      <c r="V36" s="19" t="s">
        <v>594</v>
      </c>
      <c r="W36" s="19" t="s">
        <v>658</v>
      </c>
      <c r="X36" s="19" t="s">
        <v>658</v>
      </c>
      <c r="Y36" s="66">
        <v>331735.01479594107</v>
      </c>
      <c r="Z36" s="66">
        <f>'Bill Impact (B-1)'!Z36</f>
        <v>331735.01479594107</v>
      </c>
      <c r="AA36" s="66">
        <f t="shared" si="5"/>
        <v>331735.01479594107</v>
      </c>
      <c r="AB36" s="66">
        <f t="shared" si="5"/>
        <v>331735.01479594107</v>
      </c>
    </row>
    <row r="37" spans="2:28" ht="15.5">
      <c r="C37" s="54"/>
      <c r="D37" s="54"/>
      <c r="E37" s="54"/>
      <c r="F37" s="54"/>
      <c r="G37" s="111"/>
      <c r="H37" s="111"/>
      <c r="I37" s="54"/>
      <c r="J37" s="54"/>
      <c r="M37" s="54"/>
      <c r="N37" s="54"/>
      <c r="O37" s="54"/>
      <c r="P37" s="54"/>
      <c r="Q37" s="54"/>
      <c r="R37" s="54"/>
      <c r="S37" s="54"/>
      <c r="T37" s="54"/>
      <c r="V37" s="19" t="s">
        <v>595</v>
      </c>
      <c r="W37" s="19" t="s">
        <v>653</v>
      </c>
      <c r="X37" s="19" t="s">
        <v>657</v>
      </c>
      <c r="Y37" s="66">
        <v>224629.25731840497</v>
      </c>
      <c r="Z37" s="66">
        <f>'Bill Impact (B-1)'!Z37</f>
        <v>224629.25731840497</v>
      </c>
      <c r="AA37" s="66">
        <f t="shared" si="5"/>
        <v>224629.25731840497</v>
      </c>
      <c r="AB37" s="66">
        <f t="shared" si="5"/>
        <v>224629.25731840497</v>
      </c>
    </row>
    <row r="38" spans="2:28" ht="15" customHeight="1">
      <c r="C38" s="54"/>
      <c r="D38" s="54"/>
      <c r="E38" s="54"/>
      <c r="F38" s="54"/>
      <c r="G38" s="111"/>
      <c r="H38" s="111"/>
      <c r="I38" s="54"/>
      <c r="J38" s="54"/>
      <c r="M38" s="54"/>
      <c r="N38" s="54"/>
      <c r="O38" s="54"/>
      <c r="P38" s="54"/>
      <c r="Q38" s="54"/>
      <c r="R38" s="54"/>
      <c r="S38" s="54"/>
      <c r="T38" s="54"/>
      <c r="V38" s="19" t="s">
        <v>595</v>
      </c>
      <c r="W38" s="19" t="s">
        <v>658</v>
      </c>
      <c r="X38" s="19" t="s">
        <v>658</v>
      </c>
      <c r="Y38" s="66">
        <v>650611.21810376388</v>
      </c>
      <c r="Z38" s="66">
        <f>'Bill Impact (B-1)'!Z38</f>
        <v>650611.21810376388</v>
      </c>
      <c r="AA38" s="66">
        <f t="shared" si="5"/>
        <v>650611.21810376388</v>
      </c>
      <c r="AB38" s="66">
        <f t="shared" si="5"/>
        <v>650611.21810376388</v>
      </c>
    </row>
    <row r="39" spans="2:28" ht="15" customHeight="1">
      <c r="C39" s="54"/>
      <c r="D39" s="54"/>
      <c r="E39" s="54"/>
      <c r="F39" s="54"/>
      <c r="G39" s="111"/>
      <c r="H39" s="111"/>
      <c r="I39" s="54"/>
      <c r="J39" s="54"/>
      <c r="M39" s="54"/>
      <c r="N39" s="54"/>
      <c r="O39" s="54"/>
      <c r="P39" s="54"/>
      <c r="Q39" s="54"/>
      <c r="R39" s="54"/>
      <c r="S39" s="54"/>
      <c r="T39" s="54"/>
      <c r="V39" s="19" t="s">
        <v>595</v>
      </c>
      <c r="W39" s="19" t="s">
        <v>659</v>
      </c>
      <c r="X39" s="19" t="s">
        <v>660</v>
      </c>
      <c r="Y39" s="66">
        <v>69528.629811378007</v>
      </c>
      <c r="Z39" s="66">
        <f>'Bill Impact (B-1)'!Z39</f>
        <v>69528.629811378007</v>
      </c>
      <c r="AA39" s="66">
        <f t="shared" si="5"/>
        <v>69528.629811378007</v>
      </c>
      <c r="AB39" s="66">
        <f t="shared" si="5"/>
        <v>69528.629811378007</v>
      </c>
    </row>
    <row r="40" spans="2:28" ht="15" customHeight="1">
      <c r="C40" s="54"/>
      <c r="D40" s="54"/>
      <c r="E40" s="54"/>
      <c r="F40" s="54"/>
      <c r="G40" s="54"/>
      <c r="H40" s="54"/>
      <c r="I40" s="54"/>
      <c r="J40" s="54"/>
      <c r="M40" s="54"/>
      <c r="N40" s="54"/>
      <c r="O40" s="54"/>
      <c r="P40" s="54"/>
      <c r="Q40" s="54"/>
      <c r="R40" s="54"/>
      <c r="S40" s="54"/>
      <c r="T40" s="54"/>
      <c r="Y40" s="18">
        <v>0</v>
      </c>
      <c r="Z40" s="66">
        <f>'Bill Impact (B-1)'!Z40</f>
        <v>0</v>
      </c>
    </row>
    <row r="41" spans="2:28" ht="15.5">
      <c r="V41" s="18" t="s">
        <v>661</v>
      </c>
      <c r="W41" s="18" t="s">
        <v>662</v>
      </c>
      <c r="Y41" s="66">
        <v>824.49997799000005</v>
      </c>
      <c r="Z41" s="66">
        <f>'Bill Impact (B-1)'!Z41</f>
        <v>824.49997799000005</v>
      </c>
      <c r="AA41" s="66">
        <f>$Z41</f>
        <v>824.49997799000005</v>
      </c>
      <c r="AB41" s="66">
        <f>$Z41</f>
        <v>824.49997799000005</v>
      </c>
    </row>
  </sheetData>
  <mergeCells count="11">
    <mergeCell ref="C30:J30"/>
    <mergeCell ref="C31:D31"/>
    <mergeCell ref="E31:F31"/>
    <mergeCell ref="G31:H31"/>
    <mergeCell ref="B2:D2"/>
    <mergeCell ref="E3:K3"/>
    <mergeCell ref="Q20:S20"/>
    <mergeCell ref="T20:V20"/>
    <mergeCell ref="AC20:AD20"/>
    <mergeCell ref="Y21:Z21"/>
    <mergeCell ref="AA21:AB21"/>
  </mergeCells>
  <pageMargins left="0.7" right="0.7" top="0.75" bottom="0.75" header="0.3" footer="0.3"/>
  <pageSetup orientation="portrait" r:id="rId1"/>
  <headerFooter>
    <oddFooter xml:space="preserve">&amp;C_x000D_&amp;1#&amp;"Aptos"&amp;12&amp;K000000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ACBB4-8781-43BB-9FA5-206F860E16C8}">
  <sheetPr codeName="Sheet10"/>
  <dimension ref="A1:AU52"/>
  <sheetViews>
    <sheetView tabSelected="1" zoomScale="90" zoomScaleNormal="90" workbookViewId="0">
      <selection activeCell="E20" sqref="E20"/>
    </sheetView>
  </sheetViews>
  <sheetFormatPr defaultColWidth="8.7265625" defaultRowHeight="15.5"/>
  <cols>
    <col min="1" max="1" width="3.81640625" style="197" customWidth="1"/>
    <col min="2" max="2" width="5.26953125" style="197" customWidth="1"/>
    <col min="3" max="3" width="17.26953125" style="197" customWidth="1"/>
    <col min="4" max="4" width="8.7265625" style="197" customWidth="1"/>
    <col min="5" max="16" width="8.7265625" style="197"/>
    <col min="17" max="17" width="15.453125" style="197" bestFit="1" customWidth="1"/>
    <col min="18" max="18" width="10.7265625" style="197" bestFit="1" customWidth="1"/>
    <col min="19" max="19" width="10.1796875" style="197" bestFit="1" customWidth="1"/>
    <col min="20" max="20" width="9.7265625" style="197" bestFit="1" customWidth="1"/>
    <col min="21" max="21" width="11.54296875" style="197" bestFit="1" customWidth="1"/>
    <col min="22" max="23" width="9.81640625" style="197" customWidth="1"/>
    <col min="24" max="24" width="9.453125" style="197" customWidth="1"/>
    <col min="25" max="25" width="11.54296875" style="197" bestFit="1" customWidth="1"/>
    <col min="26" max="26" width="9.54296875" style="197" bestFit="1" customWidth="1"/>
    <col min="27" max="27" width="11.26953125" style="197" customWidth="1"/>
    <col min="28" max="42" width="8.7265625" style="197"/>
    <col min="43" max="43" width="14.54296875" style="197" bestFit="1" customWidth="1"/>
    <col min="44" max="16384" width="8.7265625" style="197"/>
  </cols>
  <sheetData>
    <row r="1" spans="1:43">
      <c r="A1" s="197" t="s">
        <v>32</v>
      </c>
      <c r="Q1" s="243"/>
    </row>
    <row r="2" spans="1:43">
      <c r="Q2" s="243" t="s">
        <v>33</v>
      </c>
    </row>
    <row r="3" spans="1:43">
      <c r="Q3" s="243" t="s">
        <v>34</v>
      </c>
    </row>
    <row r="4" spans="1:43">
      <c r="Q4" s="244" t="s">
        <v>35</v>
      </c>
      <c r="Y4"/>
      <c r="AQ4" s="204"/>
    </row>
    <row r="5" spans="1:43">
      <c r="A5" s="197">
        <v>1</v>
      </c>
      <c r="B5" s="245" t="s">
        <v>36</v>
      </c>
      <c r="Q5" s="205">
        <f>'Incremental Rev Req'!C5</f>
        <v>20085486.222601481</v>
      </c>
      <c r="AQ5" s="206"/>
    </row>
    <row r="6" spans="1:43">
      <c r="B6" s="246" t="s">
        <v>37</v>
      </c>
      <c r="C6" s="197" t="s">
        <v>38</v>
      </c>
      <c r="Q6" s="207">
        <f>Q5*0.01</f>
        <v>200854.86222601481</v>
      </c>
      <c r="AQ6" s="206"/>
    </row>
    <row r="7" spans="1:43">
      <c r="B7" s="246"/>
      <c r="Q7" s="207"/>
    </row>
    <row r="8" spans="1:43" ht="16.5">
      <c r="A8" s="197">
        <v>2</v>
      </c>
      <c r="B8" s="247" t="s">
        <v>39</v>
      </c>
      <c r="Q8" s="212"/>
      <c r="AQ8" s="204"/>
    </row>
    <row r="9" spans="1:43">
      <c r="B9" s="248" t="s">
        <v>37</v>
      </c>
      <c r="C9" s="197" t="str">
        <f>'Incremental Rev Req'!C113</f>
        <v>A.25-11-001</v>
      </c>
      <c r="D9" s="249" t="s">
        <v>40</v>
      </c>
      <c r="Q9" s="211">
        <f>'Incremental Rev Req'!I113+'Incremental Rev Req'!I114</f>
        <v>8341.0367506859202</v>
      </c>
    </row>
    <row r="10" spans="1:43">
      <c r="B10" s="248" t="s">
        <v>41</v>
      </c>
      <c r="C10" s="197" t="s">
        <v>42</v>
      </c>
      <c r="D10" s="197" t="s">
        <v>43</v>
      </c>
      <c r="Q10" s="211">
        <f>SUM('Incremental Rev Req'!H$107:H$109)</f>
        <v>31568.520632103515</v>
      </c>
      <c r="AQ10" s="204"/>
    </row>
    <row r="11" spans="1:43">
      <c r="B11" s="246" t="s">
        <v>44</v>
      </c>
      <c r="C11" s="197" t="s">
        <v>45</v>
      </c>
      <c r="D11" s="197" t="s">
        <v>46</v>
      </c>
      <c r="Q11" s="211">
        <f>SUM('Incremental Rev Req'!$I$110:$I$112)</f>
        <v>11716450.542978782</v>
      </c>
      <c r="AQ11" s="204"/>
    </row>
    <row r="12" spans="1:43">
      <c r="B12" s="246"/>
      <c r="Q12" s="250"/>
      <c r="AQ12" s="204"/>
    </row>
    <row r="13" spans="1:43">
      <c r="B13" s="246"/>
      <c r="Q13" s="207"/>
      <c r="AQ13" s="204"/>
    </row>
    <row r="14" spans="1:43" ht="15" customHeight="1">
      <c r="A14" s="197">
        <v>3</v>
      </c>
      <c r="B14" s="482" t="s">
        <v>47</v>
      </c>
      <c r="C14" s="482"/>
      <c r="D14" s="482"/>
      <c r="E14" s="482"/>
      <c r="F14" s="482"/>
      <c r="G14" s="482"/>
      <c r="H14" s="482"/>
      <c r="I14" s="482"/>
      <c r="J14" s="482"/>
      <c r="K14" s="482"/>
      <c r="L14" s="482"/>
      <c r="M14" s="482"/>
      <c r="N14" s="482"/>
      <c r="O14" s="482"/>
      <c r="P14" s="482"/>
      <c r="Q14" s="207"/>
      <c r="AQ14" s="204"/>
    </row>
    <row r="15" spans="1:43" ht="15" customHeight="1">
      <c r="B15" s="248" t="s">
        <v>37</v>
      </c>
      <c r="C15" s="248" t="s">
        <v>48</v>
      </c>
      <c r="D15" s="251"/>
      <c r="E15" s="251"/>
      <c r="F15" s="251"/>
      <c r="G15" s="251"/>
      <c r="H15" s="251"/>
      <c r="I15" s="251"/>
      <c r="J15" s="251"/>
      <c r="K15" s="251"/>
      <c r="L15" s="251"/>
      <c r="M15" s="251"/>
      <c r="N15" s="251"/>
      <c r="O15" s="251"/>
      <c r="P15" s="251"/>
      <c r="Q15" s="207">
        <f>'Incremental Rev Req'!C5</f>
        <v>20085486.222601481</v>
      </c>
      <c r="AQ15" s="204"/>
    </row>
    <row r="16" spans="1:43">
      <c r="B16" s="248" t="s">
        <v>49</v>
      </c>
      <c r="C16" s="248" t="s">
        <v>50</v>
      </c>
      <c r="Q16" s="207">
        <f>'Incremental Rev Req'!S116</f>
        <v>20316314.647528559</v>
      </c>
      <c r="AQ16" s="204"/>
    </row>
    <row r="17" spans="1:43">
      <c r="B17" s="248" t="s">
        <v>51</v>
      </c>
      <c r="C17" s="248" t="s">
        <v>52</v>
      </c>
      <c r="Q17" s="207">
        <f>'Incremental Rev Req'!T116</f>
        <v>19004948.241238263</v>
      </c>
    </row>
    <row r="18" spans="1:43">
      <c r="B18" s="248" t="s">
        <v>53</v>
      </c>
      <c r="C18" s="248" t="s">
        <v>54</v>
      </c>
      <c r="Q18" s="207">
        <f>'Incremental Rev Req'!U116</f>
        <v>19622235.693160202</v>
      </c>
    </row>
    <row r="19" spans="1:43">
      <c r="B19" s="248" t="s">
        <v>41</v>
      </c>
      <c r="C19" s="248" t="s">
        <v>55</v>
      </c>
      <c r="Q19" s="207">
        <f>'Incremental Rev Req'!V116</f>
        <v>20434221.255405836</v>
      </c>
    </row>
    <row r="20" spans="1:43">
      <c r="R20" s="252"/>
      <c r="S20" s="252"/>
      <c r="T20" s="252"/>
      <c r="AB20" s="251"/>
    </row>
    <row r="21" spans="1:43">
      <c r="A21" s="197">
        <v>4</v>
      </c>
      <c r="B21" s="483" t="s">
        <v>56</v>
      </c>
      <c r="C21" s="483"/>
      <c r="D21" s="483"/>
      <c r="E21" s="483"/>
      <c r="F21" s="483"/>
      <c r="G21" s="483"/>
      <c r="H21" s="483"/>
      <c r="I21" s="483"/>
      <c r="J21" s="483"/>
      <c r="K21" s="483"/>
      <c r="L21" s="483"/>
      <c r="M21" s="483"/>
      <c r="N21" s="483"/>
      <c r="O21" s="483"/>
      <c r="R21" s="254" t="s">
        <v>57</v>
      </c>
      <c r="S21" s="243"/>
      <c r="AQ21" s="206"/>
    </row>
    <row r="22" spans="1:43">
      <c r="B22" s="248" t="s">
        <v>37</v>
      </c>
      <c r="C22" s="248" t="str">
        <f>C15</f>
        <v>Current 2026</v>
      </c>
      <c r="D22" s="253"/>
      <c r="E22" s="253"/>
      <c r="F22" s="253"/>
      <c r="G22" s="253"/>
      <c r="H22" s="253"/>
      <c r="I22" s="253"/>
      <c r="J22" s="253"/>
      <c r="K22" s="253"/>
      <c r="L22" s="253"/>
      <c r="M22" s="253"/>
      <c r="N22" s="253"/>
      <c r="O22" s="253"/>
      <c r="R22" s="255">
        <v>32.340654762006949</v>
      </c>
      <c r="S22" s="243"/>
      <c r="AQ22" s="206"/>
    </row>
    <row r="23" spans="1:43">
      <c r="B23" s="248" t="s">
        <v>49</v>
      </c>
      <c r="C23" s="248" t="str">
        <f>C16</f>
        <v>YE 2026</v>
      </c>
      <c r="R23" s="255">
        <v>32.883287423998006</v>
      </c>
      <c r="S23" s="255"/>
      <c r="AQ23" s="206"/>
    </row>
    <row r="24" spans="1:43">
      <c r="B24" s="248" t="s">
        <v>51</v>
      </c>
      <c r="C24" s="248" t="str">
        <f>C17</f>
        <v>YE 2027</v>
      </c>
      <c r="R24" s="255">
        <v>33.724419281952635</v>
      </c>
      <c r="S24" s="255"/>
      <c r="AQ24" s="206"/>
    </row>
    <row r="25" spans="1:43">
      <c r="B25" s="248" t="s">
        <v>53</v>
      </c>
      <c r="C25" s="248" t="str">
        <f>C18</f>
        <v>YE 2028</v>
      </c>
      <c r="R25" s="255">
        <v>34.533093347266913</v>
      </c>
      <c r="S25" s="255"/>
      <c r="AQ25" s="206"/>
    </row>
    <row r="26" spans="1:43">
      <c r="B26" s="248" t="s">
        <v>41</v>
      </c>
      <c r="C26" s="248" t="str">
        <f>C19</f>
        <v>YE 2029</v>
      </c>
      <c r="R26" s="255">
        <v>35.665647584652262</v>
      </c>
      <c r="S26" s="255"/>
    </row>
    <row r="28" spans="1:43">
      <c r="A28" s="197">
        <v>5</v>
      </c>
      <c r="B28" s="253" t="s">
        <v>58</v>
      </c>
      <c r="S28" s="254" t="s">
        <v>59</v>
      </c>
      <c r="T28" s="254" t="s">
        <v>60</v>
      </c>
    </row>
    <row r="29" spans="1:43">
      <c r="B29" s="248" t="s">
        <v>37</v>
      </c>
      <c r="C29" s="248" t="str">
        <f>C22</f>
        <v>Current 2026</v>
      </c>
      <c r="S29" s="256">
        <v>197.51206594561299</v>
      </c>
      <c r="T29" s="256">
        <v>111.38709145750688</v>
      </c>
      <c r="V29" s="257"/>
      <c r="W29" s="257"/>
    </row>
    <row r="30" spans="1:43">
      <c r="B30" s="248" t="s">
        <v>49</v>
      </c>
      <c r="C30" s="248" t="str">
        <f>C16</f>
        <v>YE 2026</v>
      </c>
      <c r="D30" s="248"/>
      <c r="E30" s="248"/>
      <c r="F30" s="248"/>
      <c r="G30" s="248"/>
      <c r="H30" s="248"/>
      <c r="S30" s="256">
        <v>202.58596543521764</v>
      </c>
      <c r="T30" s="256">
        <v>114.53839212478989</v>
      </c>
      <c r="V30" s="257"/>
      <c r="W30" s="257"/>
      <c r="X30" s="257"/>
      <c r="Y30" s="257"/>
    </row>
    <row r="31" spans="1:43">
      <c r="B31" s="248" t="s">
        <v>51</v>
      </c>
      <c r="C31" s="248" t="str">
        <f>C17</f>
        <v>YE 2027</v>
      </c>
      <c r="D31" s="248"/>
      <c r="E31" s="248"/>
      <c r="F31" s="248"/>
      <c r="G31" s="248"/>
      <c r="H31" s="248"/>
      <c r="S31" s="256">
        <v>207.54411802442814</v>
      </c>
      <c r="T31" s="256">
        <v>117.61780463480937</v>
      </c>
    </row>
    <row r="32" spans="1:43">
      <c r="B32" s="248" t="s">
        <v>53</v>
      </c>
      <c r="C32" s="248" t="str">
        <f>C18</f>
        <v>YE 2028</v>
      </c>
      <c r="D32" s="248"/>
      <c r="E32" s="248"/>
      <c r="F32" s="248"/>
      <c r="G32" s="248"/>
      <c r="H32" s="248"/>
      <c r="S32" s="256">
        <v>212.31094426320047</v>
      </c>
      <c r="T32" s="256">
        <v>120.57838805547851</v>
      </c>
    </row>
    <row r="33" spans="1:46">
      <c r="B33" s="248" t="s">
        <v>41</v>
      </c>
      <c r="C33" s="248" t="str">
        <f>C19</f>
        <v>YE 2029</v>
      </c>
      <c r="D33" s="248"/>
      <c r="E33" s="248"/>
      <c r="F33" s="248"/>
      <c r="G33" s="248"/>
      <c r="H33" s="248"/>
      <c r="S33" s="256">
        <v>218.98692100978144</v>
      </c>
      <c r="T33" s="256">
        <v>124.72470786716747</v>
      </c>
    </row>
    <row r="35" spans="1:46">
      <c r="A35" s="197">
        <v>6</v>
      </c>
      <c r="B35" s="253" t="s">
        <v>61</v>
      </c>
      <c r="C35" s="253"/>
      <c r="D35" s="253"/>
      <c r="E35" s="253"/>
      <c r="F35" s="253"/>
      <c r="G35" s="253"/>
      <c r="H35" s="253"/>
      <c r="I35" s="253"/>
      <c r="J35" s="253"/>
      <c r="K35" s="253"/>
      <c r="R35" s="254" t="s">
        <v>57</v>
      </c>
      <c r="S35" s="243"/>
      <c r="AS35" s="208"/>
      <c r="AT35" s="208"/>
    </row>
    <row r="36" spans="1:46">
      <c r="B36" s="248" t="s">
        <v>37</v>
      </c>
      <c r="C36" s="248" t="str">
        <f>C15</f>
        <v>Current 2026</v>
      </c>
      <c r="D36" s="253"/>
      <c r="E36" s="253"/>
      <c r="F36" s="253"/>
      <c r="G36" s="253"/>
      <c r="H36" s="253"/>
      <c r="I36" s="253"/>
      <c r="J36" s="253"/>
      <c r="K36" s="253"/>
      <c r="L36" s="253"/>
      <c r="M36" s="253"/>
      <c r="N36" s="253"/>
      <c r="O36" s="253"/>
      <c r="R36" s="255">
        <v>40.73713053702604</v>
      </c>
      <c r="S36" s="243"/>
      <c r="T36" s="258"/>
      <c r="AQ36" s="206"/>
    </row>
    <row r="37" spans="1:46">
      <c r="B37" s="248" t="s">
        <v>49</v>
      </c>
      <c r="C37" s="248" t="str">
        <f>C16</f>
        <v>YE 2026</v>
      </c>
      <c r="R37" s="255">
        <v>40.755483708034461</v>
      </c>
      <c r="S37" s="255"/>
      <c r="AS37" s="208"/>
      <c r="AT37" s="208"/>
    </row>
    <row r="38" spans="1:46">
      <c r="B38" s="248" t="s">
        <v>51</v>
      </c>
      <c r="C38" s="248" t="str">
        <f>C17</f>
        <v>YE 2027</v>
      </c>
      <c r="R38" s="255">
        <v>41.605156806919013</v>
      </c>
      <c r="S38" s="255"/>
      <c r="AS38" s="208"/>
      <c r="AT38" s="208"/>
    </row>
    <row r="39" spans="1:46">
      <c r="B39" s="248" t="s">
        <v>53</v>
      </c>
      <c r="C39" s="248" t="str">
        <f>C18</f>
        <v>YE 2028</v>
      </c>
      <c r="R39" s="255">
        <v>42.731983025656504</v>
      </c>
      <c r="S39" s="255"/>
      <c r="AS39" s="208"/>
      <c r="AT39" s="208"/>
    </row>
    <row r="40" spans="1:46">
      <c r="B40" s="248" t="s">
        <v>41</v>
      </c>
      <c r="C40" s="248" t="str">
        <f>C19</f>
        <v>YE 2029</v>
      </c>
      <c r="R40" s="255">
        <v>44.288047063442328</v>
      </c>
      <c r="S40" s="255"/>
    </row>
    <row r="42" spans="1:46">
      <c r="A42" s="197">
        <v>7</v>
      </c>
      <c r="B42" s="253" t="s">
        <v>62</v>
      </c>
      <c r="S42" s="259" t="s">
        <v>63</v>
      </c>
      <c r="T42" s="259" t="s">
        <v>64</v>
      </c>
      <c r="U42" s="259" t="s">
        <v>65</v>
      </c>
    </row>
    <row r="43" spans="1:46">
      <c r="B43" s="248" t="s">
        <v>37</v>
      </c>
      <c r="C43" s="248" t="str">
        <f>C15</f>
        <v>Current 2026</v>
      </c>
      <c r="D43" s="253"/>
      <c r="E43" s="253"/>
      <c r="F43" s="253"/>
      <c r="G43" s="253"/>
      <c r="H43" s="253"/>
      <c r="I43" s="253"/>
      <c r="J43" s="253"/>
      <c r="K43" s="253"/>
      <c r="L43" s="253"/>
      <c r="M43" s="253"/>
      <c r="N43" s="253"/>
      <c r="O43" s="253"/>
      <c r="R43" s="243"/>
      <c r="S43" s="256">
        <v>334.91938291666673</v>
      </c>
      <c r="T43" s="256">
        <v>539.86548625000012</v>
      </c>
      <c r="U43" s="256">
        <v>1205.5716629166666</v>
      </c>
      <c r="W43" s="257"/>
      <c r="X43" s="257"/>
      <c r="Y43" s="257"/>
      <c r="AQ43" s="206"/>
    </row>
    <row r="44" spans="1:46">
      <c r="B44" s="248" t="s">
        <v>49</v>
      </c>
      <c r="C44" s="248" t="str">
        <f>C16</f>
        <v>YE 2026</v>
      </c>
      <c r="S44" s="256">
        <v>339.59336740714394</v>
      </c>
      <c r="T44" s="256">
        <v>547.46499648512815</v>
      </c>
      <c r="U44" s="256">
        <v>1222.6334204821499</v>
      </c>
      <c r="X44" s="257"/>
      <c r="Y44" s="257"/>
      <c r="Z44" s="257"/>
    </row>
    <row r="45" spans="1:46">
      <c r="B45" s="248" t="s">
        <v>51</v>
      </c>
      <c r="C45" s="248" t="str">
        <f>C17</f>
        <v>YE 2027</v>
      </c>
      <c r="S45" s="256">
        <v>346.55917911736998</v>
      </c>
      <c r="T45" s="256">
        <v>558.79082726092349</v>
      </c>
      <c r="U45" s="256">
        <v>1248.0611879231462</v>
      </c>
    </row>
    <row r="46" spans="1:46">
      <c r="B46" s="248" t="s">
        <v>53</v>
      </c>
      <c r="C46" s="248" t="str">
        <f>C18</f>
        <v>YE 2028</v>
      </c>
      <c r="S46" s="256">
        <v>355.79715461662482</v>
      </c>
      <c r="T46" s="256">
        <v>573.81100747364826</v>
      </c>
      <c r="U46" s="256">
        <v>1281.7831865060004</v>
      </c>
    </row>
    <row r="47" spans="1:46">
      <c r="B47" s="248" t="s">
        <v>41</v>
      </c>
      <c r="C47" s="248" t="str">
        <f>C19</f>
        <v>YE 2029</v>
      </c>
      <c r="S47" s="256">
        <v>368.55411857193866</v>
      </c>
      <c r="T47" s="256">
        <v>594.55277038387749</v>
      </c>
      <c r="U47" s="256">
        <v>1328.3507835360335</v>
      </c>
    </row>
    <row r="49" spans="2:47">
      <c r="AS49" s="208"/>
      <c r="AT49" s="208"/>
      <c r="AU49" s="208"/>
    </row>
    <row r="50" spans="2:47">
      <c r="AS50" s="208"/>
      <c r="AT50" s="208"/>
      <c r="AU50" s="208"/>
    </row>
    <row r="51" spans="2:47">
      <c r="B51" t="s">
        <v>66</v>
      </c>
      <c r="AS51" s="208"/>
      <c r="AT51" s="208"/>
      <c r="AU51" s="208"/>
    </row>
    <row r="52" spans="2:47">
      <c r="AS52" s="208"/>
      <c r="AT52" s="208"/>
      <c r="AU52" s="208"/>
    </row>
  </sheetData>
  <mergeCells count="2">
    <mergeCell ref="B14:P14"/>
    <mergeCell ref="B21:O21"/>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ignoredErrors>
    <ignoredError sqref="Q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14A5-23CA-4D29-8133-0310149FE819}">
  <sheetPr codeName="Sheet11"/>
  <dimension ref="A1:B22"/>
  <sheetViews>
    <sheetView showGridLines="0" tabSelected="1" workbookViewId="0">
      <selection activeCell="E20" sqref="E20"/>
    </sheetView>
  </sheetViews>
  <sheetFormatPr defaultColWidth="0" defaultRowHeight="14.5" zeroHeight="1"/>
  <cols>
    <col min="1" max="1" width="150.54296875" customWidth="1"/>
    <col min="2" max="2" width="9.1796875" customWidth="1"/>
    <col min="3" max="16384" width="9.1796875" hidden="1"/>
  </cols>
  <sheetData>
    <row r="1" spans="1:1"/>
    <row r="2" spans="1:1" ht="18.5">
      <c r="A2" s="132" t="s">
        <v>67</v>
      </c>
    </row>
    <row r="3" spans="1:1">
      <c r="A3" s="133" t="s">
        <v>68</v>
      </c>
    </row>
    <row r="4" spans="1:1">
      <c r="A4" s="133" t="s">
        <v>69</v>
      </c>
    </row>
    <row r="5" spans="1:1">
      <c r="A5" s="133" t="s">
        <v>70</v>
      </c>
    </row>
    <row r="6" spans="1:1">
      <c r="A6" s="133" t="s">
        <v>71</v>
      </c>
    </row>
    <row r="7" spans="1:1"/>
    <row r="8" spans="1:1"/>
    <row r="9" spans="1:1"/>
    <row r="10" spans="1:1"/>
    <row r="11" spans="1:1"/>
    <row r="12" spans="1:1"/>
    <row r="13" spans="1:1"/>
    <row r="14" spans="1:1"/>
    <row r="15" spans="1:1"/>
    <row r="16" spans="1:1"/>
    <row r="17"/>
    <row r="18"/>
    <row r="19"/>
    <row r="20"/>
    <row r="21"/>
    <row r="22"/>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25A53-4286-4165-B034-9FBB5A476044}">
  <sheetPr codeName="Sheet12"/>
  <dimension ref="A1:T196"/>
  <sheetViews>
    <sheetView showGridLines="0" tabSelected="1" workbookViewId="0">
      <selection activeCell="E20" sqref="E20"/>
    </sheetView>
  </sheetViews>
  <sheetFormatPr defaultColWidth="0" defaultRowHeight="14.5" zeroHeight="1"/>
  <cols>
    <col min="1" max="6" width="9.1796875" customWidth="1"/>
    <col min="7" max="7" width="13.81640625" customWidth="1"/>
    <col min="8" max="8" width="14" customWidth="1"/>
    <col min="9" max="9" width="11.26953125" customWidth="1"/>
    <col min="10" max="16" width="9.1796875" customWidth="1"/>
    <col min="17" max="17" width="11.26953125" customWidth="1"/>
    <col min="18" max="18" width="52.81640625" customWidth="1"/>
    <col min="19" max="20" width="0" hidden="1" customWidth="1"/>
    <col min="21" max="16384" width="9.1796875" hidden="1"/>
  </cols>
  <sheetData>
    <row r="1" spans="1:12" ht="21">
      <c r="A1" s="155" t="s">
        <v>72</v>
      </c>
      <c r="B1" s="156"/>
      <c r="C1" s="156"/>
      <c r="D1" s="156"/>
      <c r="E1" s="156"/>
      <c r="F1" s="156"/>
      <c r="G1" s="156"/>
      <c r="H1" s="156"/>
      <c r="I1" s="156"/>
      <c r="J1" s="156"/>
      <c r="K1" s="156"/>
      <c r="L1" s="156"/>
    </row>
    <row r="2" spans="1:12">
      <c r="A2" s="156"/>
      <c r="B2" s="156"/>
      <c r="C2" s="156"/>
      <c r="D2" s="156"/>
      <c r="E2" s="156"/>
      <c r="F2" s="156"/>
      <c r="G2" s="156"/>
      <c r="H2" s="156"/>
      <c r="I2" s="156"/>
      <c r="J2" s="156"/>
      <c r="K2" s="156"/>
      <c r="L2" s="156"/>
    </row>
    <row r="3" spans="1:12">
      <c r="A3" s="156"/>
      <c r="B3" s="156"/>
      <c r="C3" s="156"/>
      <c r="D3" s="156"/>
      <c r="E3" s="156"/>
      <c r="F3" s="156"/>
      <c r="G3" s="156"/>
      <c r="H3" s="156"/>
      <c r="I3" s="156"/>
      <c r="J3" s="156"/>
      <c r="K3" s="156"/>
      <c r="L3" s="156"/>
    </row>
    <row r="4" spans="1:12">
      <c r="A4" s="156"/>
      <c r="B4" s="156" t="s">
        <v>73</v>
      </c>
      <c r="C4" s="156"/>
      <c r="D4" s="156"/>
      <c r="E4" s="156"/>
      <c r="F4" s="156"/>
      <c r="G4" s="156"/>
      <c r="H4" s="156"/>
      <c r="I4" s="156"/>
      <c r="J4" s="156"/>
      <c r="K4" s="156"/>
      <c r="L4" s="156"/>
    </row>
    <row r="5" spans="1:12">
      <c r="A5" s="156"/>
      <c r="B5" s="157" t="s">
        <v>74</v>
      </c>
      <c r="C5" s="156"/>
      <c r="D5" s="156"/>
      <c r="E5" s="156"/>
      <c r="F5" s="156"/>
      <c r="G5" s="156"/>
      <c r="H5" s="156"/>
      <c r="I5" s="156"/>
      <c r="J5" s="156"/>
      <c r="K5" s="156"/>
      <c r="L5" s="156"/>
    </row>
    <row r="6" spans="1:12">
      <c r="A6" s="156"/>
      <c r="B6" s="156" t="s">
        <v>75</v>
      </c>
      <c r="C6" s="156"/>
      <c r="D6" s="156"/>
      <c r="E6" s="156"/>
      <c r="F6" s="156"/>
      <c r="G6" s="156"/>
      <c r="H6" s="156"/>
      <c r="I6" s="156"/>
      <c r="J6" s="156"/>
      <c r="K6" s="156"/>
      <c r="L6" s="156"/>
    </row>
    <row r="7" spans="1:12">
      <c r="A7" s="156"/>
      <c r="B7" s="156"/>
      <c r="C7" s="156"/>
      <c r="D7" s="156"/>
      <c r="E7" s="156"/>
      <c r="F7" s="156"/>
      <c r="G7" s="156"/>
      <c r="H7" s="156"/>
      <c r="I7" s="156"/>
      <c r="J7" s="156"/>
      <c r="K7" s="156"/>
      <c r="L7" s="156"/>
    </row>
    <row r="8" spans="1:12">
      <c r="A8" s="156"/>
      <c r="B8" s="167" t="s">
        <v>76</v>
      </c>
      <c r="C8" s="156" t="s">
        <v>77</v>
      </c>
      <c r="D8" s="156"/>
      <c r="E8" s="156"/>
      <c r="F8" s="156"/>
      <c r="G8" s="156"/>
      <c r="H8" s="156"/>
      <c r="I8" s="156"/>
      <c r="J8" s="156"/>
      <c r="K8" s="156"/>
      <c r="L8" s="156"/>
    </row>
    <row r="9" spans="1:12">
      <c r="A9" s="156"/>
      <c r="B9" s="167" t="s">
        <v>78</v>
      </c>
      <c r="C9" s="156" t="s">
        <v>79</v>
      </c>
      <c r="D9" s="156"/>
      <c r="E9" s="156"/>
      <c r="F9" s="156"/>
      <c r="G9" s="156"/>
      <c r="H9" s="156"/>
      <c r="I9" s="156"/>
      <c r="J9" s="156"/>
      <c r="K9" s="156"/>
      <c r="L9" s="156"/>
    </row>
    <row r="10" spans="1:12">
      <c r="A10" s="156"/>
      <c r="B10" s="167" t="s">
        <v>80</v>
      </c>
      <c r="C10" s="156" t="s">
        <v>81</v>
      </c>
      <c r="D10" s="156"/>
      <c r="E10" s="156"/>
      <c r="F10" s="156"/>
      <c r="G10" s="156"/>
      <c r="H10" s="156"/>
      <c r="I10" s="156"/>
      <c r="J10" s="156"/>
      <c r="K10" s="156"/>
      <c r="L10" s="156"/>
    </row>
    <row r="11" spans="1:12">
      <c r="A11" s="156"/>
      <c r="B11" s="167" t="s">
        <v>82</v>
      </c>
      <c r="C11" s="156" t="s">
        <v>83</v>
      </c>
      <c r="D11" s="156"/>
      <c r="E11" s="156"/>
      <c r="F11" s="156"/>
      <c r="G11" s="156"/>
      <c r="H11" s="156"/>
      <c r="I11" s="156"/>
      <c r="J11" s="156"/>
      <c r="K11" s="156"/>
      <c r="L11" s="156"/>
    </row>
    <row r="12" spans="1:12">
      <c r="A12" s="156"/>
      <c r="B12" s="167"/>
      <c r="C12" s="156" t="s">
        <v>84</v>
      </c>
      <c r="D12" s="156"/>
      <c r="E12" s="156"/>
      <c r="F12" s="156"/>
      <c r="G12" s="156"/>
      <c r="H12" s="156"/>
      <c r="I12" s="156"/>
      <c r="J12" s="156"/>
      <c r="K12" s="156"/>
      <c r="L12" s="156"/>
    </row>
    <row r="13" spans="1:12">
      <c r="A13" s="156"/>
      <c r="B13" s="167" t="s">
        <v>85</v>
      </c>
      <c r="C13" s="156" t="s">
        <v>86</v>
      </c>
      <c r="D13" s="156"/>
      <c r="E13" s="156"/>
      <c r="F13" s="156"/>
      <c r="G13" s="156"/>
      <c r="H13" s="156"/>
      <c r="I13" s="156"/>
      <c r="J13" s="156"/>
      <c r="K13" s="156"/>
      <c r="L13" s="156"/>
    </row>
    <row r="14" spans="1:12">
      <c r="A14" s="156"/>
      <c r="B14" s="167" t="s">
        <v>87</v>
      </c>
      <c r="C14" s="156" t="s">
        <v>88</v>
      </c>
      <c r="D14" s="156"/>
      <c r="E14" s="156"/>
      <c r="F14" s="156"/>
      <c r="G14" s="156"/>
      <c r="H14" s="156"/>
      <c r="I14" s="156"/>
      <c r="J14" s="156"/>
      <c r="K14" s="156"/>
      <c r="L14" s="156"/>
    </row>
    <row r="15" spans="1:12">
      <c r="A15" s="156"/>
      <c r="B15" s="167" t="s">
        <v>89</v>
      </c>
      <c r="C15" s="156" t="s">
        <v>90</v>
      </c>
      <c r="D15" s="159"/>
      <c r="E15" s="159"/>
      <c r="F15" s="160"/>
      <c r="G15" s="161"/>
      <c r="H15" s="156"/>
      <c r="I15" s="156"/>
      <c r="J15" s="156"/>
      <c r="K15" s="156"/>
      <c r="L15" s="156"/>
    </row>
    <row r="16" spans="1:12">
      <c r="A16" s="156"/>
      <c r="B16" s="167" t="s">
        <v>91</v>
      </c>
      <c r="C16" s="158" t="s">
        <v>92</v>
      </c>
      <c r="D16" s="159"/>
      <c r="E16" s="159"/>
      <c r="F16" s="160"/>
      <c r="G16" s="161"/>
      <c r="H16" s="156"/>
      <c r="I16" s="156"/>
      <c r="J16" s="156"/>
      <c r="K16" s="156"/>
      <c r="L16" s="156"/>
    </row>
    <row r="17" spans="1:15">
      <c r="A17" s="156"/>
      <c r="B17" s="167" t="s">
        <v>93</v>
      </c>
      <c r="C17" s="158" t="s">
        <v>94</v>
      </c>
      <c r="D17" s="159"/>
      <c r="E17" s="159"/>
      <c r="F17" s="160"/>
      <c r="G17" s="161"/>
      <c r="H17" s="156"/>
      <c r="I17" s="156"/>
      <c r="J17" s="156"/>
      <c r="K17" s="156"/>
      <c r="L17" s="156"/>
    </row>
    <row r="18" spans="1:15">
      <c r="A18" s="156"/>
      <c r="B18" s="166"/>
      <c r="C18" s="158"/>
      <c r="D18" s="159"/>
      <c r="E18" s="159"/>
      <c r="F18" s="160"/>
      <c r="G18" s="161"/>
      <c r="H18" s="156"/>
      <c r="I18" s="156"/>
      <c r="J18" s="156"/>
      <c r="K18" s="156"/>
      <c r="L18" s="156"/>
    </row>
    <row r="19" spans="1:15">
      <c r="A19" s="156"/>
      <c r="B19" s="166"/>
      <c r="C19" s="162" t="s">
        <v>95</v>
      </c>
      <c r="D19" s="156"/>
      <c r="E19" s="160"/>
      <c r="F19" s="161"/>
      <c r="G19" s="163">
        <v>2</v>
      </c>
      <c r="H19" s="165">
        <v>3</v>
      </c>
      <c r="I19" s="165">
        <v>4</v>
      </c>
      <c r="J19" s="156"/>
      <c r="K19" s="156"/>
      <c r="L19" s="165"/>
    </row>
    <row r="20" spans="1:15">
      <c r="A20" s="156"/>
      <c r="B20" s="166"/>
      <c r="D20" s="156"/>
      <c r="E20" s="156"/>
      <c r="F20" s="156"/>
      <c r="G20" s="156"/>
      <c r="H20" s="156"/>
      <c r="I20" s="156"/>
      <c r="J20" s="156"/>
      <c r="K20" s="156"/>
      <c r="L20" s="156"/>
    </row>
    <row r="21" spans="1:15">
      <c r="A21" s="156"/>
      <c r="B21" s="166"/>
      <c r="C21" s="156"/>
      <c r="D21" s="156"/>
      <c r="E21" s="156"/>
      <c r="F21" s="156"/>
      <c r="G21" s="156"/>
      <c r="H21" s="156"/>
      <c r="I21" s="156"/>
      <c r="J21" s="156"/>
      <c r="K21" s="156"/>
      <c r="L21" s="156"/>
    </row>
    <row r="22" spans="1:15">
      <c r="A22" s="156"/>
      <c r="B22" s="166"/>
      <c r="C22" s="156"/>
      <c r="D22" s="156"/>
      <c r="E22" s="156"/>
      <c r="F22" s="156"/>
      <c r="G22" s="156"/>
      <c r="H22" s="156"/>
      <c r="I22" s="156"/>
      <c r="J22" s="156"/>
      <c r="K22" s="156"/>
      <c r="L22" s="156"/>
      <c r="O22" s="165">
        <v>5</v>
      </c>
    </row>
    <row r="23" spans="1:15">
      <c r="A23" s="156"/>
      <c r="B23" s="166"/>
      <c r="C23" s="156"/>
      <c r="D23" s="156"/>
      <c r="E23" s="156"/>
      <c r="F23" s="156"/>
      <c r="G23" s="156"/>
      <c r="H23" s="156"/>
      <c r="I23" s="156"/>
      <c r="J23" s="156"/>
      <c r="K23" s="156"/>
      <c r="L23" s="156"/>
      <c r="O23" s="165">
        <v>6</v>
      </c>
    </row>
    <row r="24" spans="1:15">
      <c r="A24" s="156"/>
      <c r="B24" s="166"/>
      <c r="C24" s="156"/>
      <c r="D24" s="156"/>
      <c r="E24" s="156"/>
      <c r="F24" s="156"/>
      <c r="G24" s="156"/>
      <c r="H24" s="156"/>
      <c r="I24" s="156"/>
      <c r="J24" s="156"/>
      <c r="K24" s="156"/>
      <c r="L24" s="156"/>
    </row>
    <row r="25" spans="1:15">
      <c r="A25" s="156"/>
      <c r="B25" s="166"/>
      <c r="C25" s="156"/>
      <c r="D25" s="156"/>
      <c r="E25" s="156"/>
      <c r="F25" s="156"/>
      <c r="G25" s="156"/>
      <c r="H25" s="156"/>
      <c r="I25" s="156"/>
      <c r="J25" s="156"/>
      <c r="K25" s="156"/>
      <c r="L25" s="156"/>
    </row>
    <row r="26" spans="1:15">
      <c r="A26" s="156"/>
      <c r="B26" s="166"/>
      <c r="C26" s="156"/>
      <c r="D26" s="156"/>
      <c r="E26" s="156"/>
      <c r="F26" s="156"/>
      <c r="G26" s="156"/>
      <c r="H26" s="156"/>
      <c r="I26" s="156"/>
      <c r="J26" s="156"/>
      <c r="K26" s="156"/>
      <c r="L26" s="156"/>
    </row>
    <row r="27" spans="1:15">
      <c r="A27" s="156"/>
      <c r="B27" s="166"/>
      <c r="C27" s="156"/>
      <c r="D27" s="156"/>
      <c r="E27" s="156"/>
      <c r="F27" s="156"/>
      <c r="G27" s="156"/>
      <c r="H27" s="156"/>
      <c r="I27" s="156"/>
      <c r="J27" s="156"/>
      <c r="K27" s="156"/>
      <c r="L27" s="156"/>
    </row>
    <row r="28" spans="1:15">
      <c r="A28" s="156"/>
      <c r="B28" s="166"/>
      <c r="C28" s="156"/>
      <c r="D28" s="156"/>
      <c r="E28" s="156"/>
      <c r="F28" s="156"/>
      <c r="G28" s="156"/>
      <c r="H28" s="156"/>
      <c r="I28" s="156"/>
      <c r="J28" s="156"/>
      <c r="K28" s="156"/>
      <c r="L28" s="156"/>
    </row>
    <row r="29" spans="1:15">
      <c r="A29" s="156"/>
      <c r="B29" s="166"/>
      <c r="C29" s="156"/>
      <c r="D29" s="156"/>
      <c r="E29" s="156"/>
      <c r="F29" s="156"/>
      <c r="G29" s="156"/>
      <c r="H29" s="156"/>
      <c r="I29" s="156"/>
      <c r="J29" s="156"/>
      <c r="K29" s="156"/>
      <c r="L29" s="156"/>
    </row>
    <row r="30" spans="1:15">
      <c r="A30" s="156"/>
      <c r="B30" s="166"/>
      <c r="C30" s="156"/>
      <c r="D30" s="156"/>
      <c r="E30" s="156"/>
      <c r="F30" s="156"/>
      <c r="G30" s="156"/>
      <c r="H30" s="156"/>
      <c r="I30" s="156"/>
      <c r="J30" s="156"/>
      <c r="K30" s="156"/>
      <c r="L30" s="156"/>
    </row>
    <row r="31" spans="1:15">
      <c r="A31" s="156"/>
      <c r="B31" s="166"/>
      <c r="C31" s="156"/>
      <c r="D31" s="156"/>
      <c r="E31" s="156"/>
      <c r="F31" s="156"/>
      <c r="G31" s="156"/>
      <c r="H31" s="156"/>
      <c r="I31" s="156"/>
      <c r="J31" s="156"/>
      <c r="K31" s="156"/>
      <c r="L31" s="156"/>
    </row>
    <row r="32" spans="1:15">
      <c r="A32" s="156"/>
      <c r="B32" s="166"/>
      <c r="C32" s="156"/>
      <c r="D32" s="156"/>
      <c r="E32" s="156"/>
      <c r="F32" s="156"/>
      <c r="G32" s="156"/>
      <c r="H32" s="156"/>
      <c r="I32" s="156"/>
      <c r="J32" s="156"/>
      <c r="K32" s="156"/>
      <c r="L32" s="156"/>
    </row>
    <row r="33" spans="1:12">
      <c r="A33" s="156"/>
      <c r="B33" s="166"/>
      <c r="C33" s="156"/>
      <c r="D33" s="156"/>
      <c r="E33" s="156"/>
      <c r="F33" s="156"/>
      <c r="G33" s="156"/>
      <c r="H33" s="156"/>
      <c r="I33" s="156"/>
      <c r="J33" s="156"/>
      <c r="K33" s="156"/>
      <c r="L33" s="156"/>
    </row>
    <row r="34" spans="1:12">
      <c r="A34" s="156"/>
      <c r="B34" s="166"/>
      <c r="C34" s="156"/>
      <c r="D34" s="156"/>
      <c r="E34" s="156"/>
      <c r="F34" s="156"/>
      <c r="G34" s="156"/>
      <c r="H34" s="156"/>
      <c r="I34" s="156"/>
      <c r="J34" s="156"/>
      <c r="K34" s="156"/>
      <c r="L34" s="156"/>
    </row>
    <row r="35" spans="1:12">
      <c r="A35" s="156"/>
      <c r="B35" s="166"/>
      <c r="C35" s="156"/>
      <c r="D35" s="156"/>
      <c r="E35" s="156"/>
      <c r="F35" s="156"/>
      <c r="G35" s="156"/>
      <c r="H35" s="156"/>
      <c r="I35" s="156"/>
      <c r="J35" s="156"/>
      <c r="K35" s="156"/>
      <c r="L35" s="156"/>
    </row>
    <row r="36" spans="1:12">
      <c r="A36" s="156"/>
      <c r="B36" s="166"/>
      <c r="C36" s="156"/>
      <c r="D36" s="156"/>
      <c r="E36" s="156"/>
      <c r="F36" s="156"/>
      <c r="G36" s="156"/>
      <c r="H36" s="156"/>
      <c r="I36" s="156"/>
      <c r="J36" s="156"/>
      <c r="K36" s="156"/>
      <c r="L36" s="156"/>
    </row>
    <row r="37" spans="1:12">
      <c r="A37" s="156"/>
      <c r="B37" s="166"/>
      <c r="C37" s="156"/>
      <c r="D37" s="156"/>
      <c r="E37" s="156"/>
      <c r="F37" s="156"/>
      <c r="G37" s="156"/>
      <c r="H37" s="156"/>
      <c r="I37" s="156"/>
      <c r="J37" s="156"/>
      <c r="K37" s="156"/>
      <c r="L37" s="156"/>
    </row>
    <row r="38" spans="1:12">
      <c r="A38" s="156"/>
      <c r="B38" s="166"/>
      <c r="C38" s="156"/>
      <c r="D38" s="156"/>
      <c r="E38" s="156"/>
      <c r="F38" s="156"/>
      <c r="G38" s="156"/>
      <c r="H38" s="156"/>
      <c r="I38" s="156"/>
      <c r="J38" s="156"/>
      <c r="K38" s="156"/>
      <c r="L38" s="156"/>
    </row>
    <row r="39" spans="1:12">
      <c r="A39" s="156"/>
      <c r="B39" s="166"/>
      <c r="C39" s="156"/>
      <c r="D39" s="156"/>
      <c r="E39" s="156"/>
      <c r="F39" s="156"/>
      <c r="G39" s="156"/>
      <c r="H39" s="156"/>
      <c r="I39" s="156"/>
      <c r="J39" s="156"/>
      <c r="K39" s="156"/>
      <c r="L39" s="156"/>
    </row>
    <row r="40" spans="1:12">
      <c r="A40" s="156"/>
      <c r="B40" s="166"/>
      <c r="C40" s="156"/>
      <c r="D40" s="156"/>
      <c r="E40" s="156"/>
      <c r="F40" s="156"/>
      <c r="G40" s="156"/>
      <c r="H40" s="156"/>
      <c r="I40" s="156"/>
      <c r="J40" s="156"/>
      <c r="K40" s="156"/>
      <c r="L40" s="156"/>
    </row>
    <row r="41" spans="1:12">
      <c r="A41" s="156"/>
      <c r="B41" s="166"/>
      <c r="C41" s="156"/>
      <c r="D41" s="156"/>
      <c r="E41" s="156"/>
      <c r="F41" s="156"/>
      <c r="G41" s="156"/>
      <c r="H41" s="156"/>
      <c r="I41" s="156"/>
      <c r="J41" s="156"/>
      <c r="K41" s="156"/>
      <c r="L41" s="156"/>
    </row>
    <row r="42" spans="1:12">
      <c r="A42" s="156"/>
      <c r="B42" s="166"/>
      <c r="C42" s="182" t="s">
        <v>96</v>
      </c>
      <c r="D42" s="156"/>
      <c r="E42" s="156"/>
      <c r="F42" s="156"/>
      <c r="G42" s="156"/>
      <c r="H42" s="156"/>
      <c r="I42" s="156"/>
      <c r="J42" s="156"/>
      <c r="K42" s="156"/>
      <c r="L42" s="156"/>
    </row>
    <row r="43" spans="1:12">
      <c r="A43" s="156"/>
      <c r="B43" s="166"/>
      <c r="C43" s="156"/>
      <c r="D43" s="156"/>
      <c r="E43" s="156"/>
      <c r="F43" s="156"/>
      <c r="G43" s="156"/>
      <c r="H43" s="156"/>
      <c r="I43" s="156"/>
      <c r="J43" s="156"/>
      <c r="K43" s="156"/>
      <c r="L43" s="156"/>
    </row>
    <row r="44" spans="1:12">
      <c r="A44" s="156"/>
      <c r="B44" s="166"/>
      <c r="C44" s="156"/>
      <c r="D44" s="156"/>
      <c r="E44" s="156"/>
      <c r="F44" s="156"/>
      <c r="G44" s="156"/>
      <c r="H44" s="156"/>
      <c r="I44" s="156"/>
      <c r="J44" s="156"/>
      <c r="K44" s="156"/>
      <c r="L44" s="156"/>
    </row>
    <row r="45" spans="1:12">
      <c r="A45" s="156"/>
      <c r="B45" s="166"/>
      <c r="C45" s="156"/>
      <c r="D45" s="156"/>
      <c r="E45" s="156"/>
      <c r="F45" s="156"/>
      <c r="G45" s="156"/>
      <c r="H45" s="156"/>
      <c r="I45" s="156"/>
      <c r="J45" s="156"/>
      <c r="K45" s="156"/>
      <c r="L45" s="156"/>
    </row>
    <row r="46" spans="1:12">
      <c r="A46" s="156"/>
      <c r="B46" s="166"/>
      <c r="C46" s="156"/>
      <c r="D46" s="156"/>
      <c r="E46" s="156"/>
      <c r="F46" s="156"/>
      <c r="G46" s="156"/>
      <c r="H46" s="156"/>
      <c r="I46" s="156"/>
      <c r="J46" s="156"/>
      <c r="K46" s="156"/>
      <c r="L46" s="156"/>
    </row>
    <row r="47" spans="1:12">
      <c r="A47" s="156"/>
      <c r="B47" s="166"/>
      <c r="C47" s="156"/>
      <c r="D47" s="156"/>
      <c r="E47" s="156"/>
      <c r="F47" s="156"/>
      <c r="G47" s="156"/>
      <c r="H47" s="156"/>
      <c r="I47" s="156"/>
      <c r="J47" s="156"/>
      <c r="K47" s="156"/>
      <c r="L47" s="156"/>
    </row>
    <row r="48" spans="1:12">
      <c r="A48" s="156"/>
      <c r="B48" s="166"/>
      <c r="C48" s="156"/>
      <c r="D48" s="156"/>
      <c r="E48" s="156"/>
      <c r="F48" s="156"/>
      <c r="G48" s="156"/>
      <c r="H48" s="156"/>
      <c r="I48" s="156"/>
      <c r="J48" s="156"/>
      <c r="K48" s="156"/>
      <c r="L48" s="156"/>
    </row>
    <row r="49" spans="1:12">
      <c r="A49" s="156"/>
      <c r="B49" s="166"/>
      <c r="C49" s="156"/>
      <c r="D49" s="156"/>
      <c r="E49" s="156"/>
      <c r="F49" s="156"/>
      <c r="G49" s="156"/>
      <c r="H49" s="156"/>
      <c r="I49" s="156"/>
      <c r="J49" s="156"/>
      <c r="K49" s="156"/>
      <c r="L49" s="156"/>
    </row>
    <row r="50" spans="1:12">
      <c r="A50" s="156"/>
      <c r="B50" s="166"/>
      <c r="C50" s="156"/>
      <c r="D50" s="156"/>
      <c r="E50" s="156"/>
      <c r="F50" s="156"/>
      <c r="G50" s="156"/>
      <c r="H50" s="156"/>
      <c r="I50" s="156"/>
      <c r="J50" s="156"/>
      <c r="K50" s="156"/>
      <c r="L50" s="156"/>
    </row>
    <row r="51" spans="1:12">
      <c r="A51" s="156"/>
      <c r="B51" s="166"/>
      <c r="C51" s="156"/>
      <c r="D51" s="156"/>
      <c r="E51" s="156"/>
      <c r="F51" s="156"/>
      <c r="G51" s="156"/>
      <c r="H51" s="156"/>
      <c r="I51" s="156"/>
      <c r="J51" s="156"/>
      <c r="K51" s="156"/>
      <c r="L51" s="156"/>
    </row>
    <row r="52" spans="1:12">
      <c r="A52" s="156"/>
      <c r="B52" s="166"/>
      <c r="C52" s="156"/>
      <c r="D52" s="156"/>
      <c r="E52" s="156"/>
      <c r="F52" s="156"/>
      <c r="G52" s="156"/>
      <c r="H52" s="156"/>
      <c r="I52" s="156"/>
      <c r="J52" s="156"/>
      <c r="K52" s="156"/>
      <c r="L52" s="156"/>
    </row>
    <row r="53" spans="1:12">
      <c r="A53" s="156"/>
      <c r="B53" s="166"/>
      <c r="C53" s="156"/>
      <c r="D53" s="156"/>
      <c r="E53" s="156"/>
      <c r="F53" s="156"/>
      <c r="G53" s="156"/>
      <c r="H53" s="156"/>
      <c r="I53" s="156"/>
      <c r="J53" s="156"/>
      <c r="K53" s="156"/>
      <c r="L53" s="156"/>
    </row>
    <row r="54" spans="1:12">
      <c r="A54" s="156"/>
      <c r="B54" s="166"/>
      <c r="C54" s="156"/>
      <c r="D54" s="156"/>
      <c r="E54" s="156"/>
      <c r="F54" s="156"/>
      <c r="G54" s="156"/>
      <c r="H54" s="156"/>
      <c r="I54" s="156"/>
      <c r="J54" s="156"/>
      <c r="K54" s="156"/>
      <c r="L54" s="156"/>
    </row>
    <row r="55" spans="1:12">
      <c r="A55" s="156"/>
      <c r="B55" s="166"/>
      <c r="C55" s="156"/>
      <c r="D55" s="156"/>
      <c r="E55" s="156"/>
      <c r="F55" s="156"/>
      <c r="G55" s="156"/>
      <c r="H55" s="156"/>
      <c r="I55" s="156"/>
      <c r="J55" s="156"/>
      <c r="K55" s="156"/>
      <c r="L55" s="156"/>
    </row>
    <row r="56" spans="1:12">
      <c r="A56" s="156"/>
      <c r="B56" s="166"/>
      <c r="C56" s="156"/>
      <c r="D56" s="156"/>
      <c r="E56" s="156"/>
      <c r="F56" s="156"/>
      <c r="G56" s="156"/>
      <c r="H56" s="156"/>
      <c r="I56" s="156"/>
      <c r="J56" s="156"/>
      <c r="K56" s="156"/>
      <c r="L56" s="156"/>
    </row>
    <row r="57" spans="1:12">
      <c r="A57" s="156"/>
      <c r="B57" s="166"/>
      <c r="C57" s="156"/>
      <c r="D57" s="156"/>
      <c r="E57" s="156"/>
      <c r="F57" s="156"/>
      <c r="G57" s="156"/>
      <c r="H57" s="156"/>
      <c r="I57" s="156"/>
      <c r="J57" s="156"/>
      <c r="K57" s="156"/>
      <c r="L57" s="156"/>
    </row>
    <row r="58" spans="1:12" ht="21">
      <c r="A58" s="155" t="s">
        <v>97</v>
      </c>
      <c r="B58" s="156"/>
      <c r="C58" s="156"/>
      <c r="D58" s="156"/>
      <c r="E58" s="156"/>
      <c r="F58" s="156"/>
      <c r="G58" s="156"/>
      <c r="H58" s="156"/>
      <c r="I58" s="156"/>
      <c r="J58" s="156"/>
      <c r="K58" s="156"/>
      <c r="L58" s="156"/>
    </row>
    <row r="59" spans="1:12">
      <c r="A59" s="156"/>
      <c r="B59" s="156"/>
      <c r="C59" s="156"/>
      <c r="D59" s="156"/>
      <c r="E59" s="156"/>
      <c r="F59" s="156"/>
      <c r="G59" s="156"/>
      <c r="H59" s="156"/>
      <c r="I59" s="156"/>
      <c r="J59" s="156"/>
      <c r="K59" s="156"/>
      <c r="L59" s="156"/>
    </row>
    <row r="60" spans="1:12">
      <c r="A60" s="156"/>
      <c r="B60" s="167" t="s">
        <v>76</v>
      </c>
      <c r="C60" s="156" t="s">
        <v>98</v>
      </c>
      <c r="D60" s="156"/>
      <c r="E60" s="156"/>
      <c r="F60" s="156"/>
      <c r="G60" s="156"/>
      <c r="H60" s="156"/>
      <c r="I60" s="156"/>
      <c r="J60" s="156"/>
      <c r="K60" s="156"/>
      <c r="L60" s="156"/>
    </row>
    <row r="61" spans="1:12">
      <c r="A61" s="156"/>
      <c r="B61" s="167" t="s">
        <v>78</v>
      </c>
      <c r="C61" s="156" t="s">
        <v>99</v>
      </c>
      <c r="D61" s="156"/>
      <c r="E61" s="156"/>
      <c r="F61" s="156"/>
      <c r="G61" s="156"/>
      <c r="H61" s="156"/>
      <c r="I61" s="156"/>
      <c r="J61" s="156"/>
      <c r="K61" s="156"/>
      <c r="L61" s="156"/>
    </row>
    <row r="62" spans="1:12">
      <c r="A62" s="156"/>
      <c r="B62" s="167" t="s">
        <v>80</v>
      </c>
      <c r="C62" s="156" t="s">
        <v>100</v>
      </c>
      <c r="D62" s="156"/>
      <c r="E62" s="156"/>
      <c r="F62" s="156"/>
      <c r="G62" s="156"/>
      <c r="H62" s="156"/>
      <c r="I62" s="156"/>
      <c r="J62" s="156"/>
      <c r="K62" s="156"/>
      <c r="L62" s="156"/>
    </row>
    <row r="63" spans="1:12"/>
    <row r="64" spans="1:12">
      <c r="B64" s="162"/>
      <c r="C64" s="162" t="s">
        <v>101</v>
      </c>
    </row>
    <row r="65" spans="1:19">
      <c r="A65" s="156"/>
      <c r="B65" s="167"/>
      <c r="C65" s="156"/>
      <c r="D65" s="156"/>
      <c r="E65" s="156"/>
      <c r="F65" s="156"/>
      <c r="G65" s="156"/>
      <c r="H65" s="156"/>
      <c r="I65" s="156"/>
      <c r="J65" s="156"/>
      <c r="K65" s="156"/>
      <c r="L65" s="156"/>
    </row>
    <row r="66" spans="1:19">
      <c r="A66" s="156"/>
      <c r="B66" s="166"/>
      <c r="C66" s="156"/>
      <c r="D66" s="156"/>
      <c r="E66" s="156"/>
      <c r="F66" s="156"/>
      <c r="G66" s="156"/>
      <c r="H66" s="156"/>
      <c r="I66" s="156"/>
      <c r="J66" s="156"/>
      <c r="K66" s="156"/>
      <c r="L66" s="156"/>
    </row>
    <row r="67" spans="1:19">
      <c r="A67" s="156"/>
      <c r="B67" s="166"/>
      <c r="C67" s="156"/>
      <c r="D67" s="156"/>
      <c r="E67" s="156"/>
      <c r="F67" s="156"/>
      <c r="G67" s="156"/>
      <c r="H67" s="156"/>
      <c r="I67" s="156"/>
      <c r="J67" s="156"/>
      <c r="K67" s="156"/>
      <c r="L67" s="156"/>
    </row>
    <row r="68" spans="1:19">
      <c r="A68" s="156"/>
      <c r="B68" s="166"/>
      <c r="C68" s="156"/>
      <c r="D68" s="156"/>
      <c r="E68" s="156"/>
      <c r="F68" s="156"/>
      <c r="G68" s="156"/>
      <c r="H68" s="156"/>
      <c r="I68" s="156"/>
      <c r="J68" s="156"/>
      <c r="K68" s="156"/>
      <c r="L68" s="156"/>
      <c r="O68" s="174">
        <v>1</v>
      </c>
    </row>
    <row r="69" spans="1:19">
      <c r="A69" s="156"/>
      <c r="B69" s="166"/>
      <c r="C69" s="156"/>
      <c r="D69" s="156"/>
      <c r="E69" s="156"/>
      <c r="F69" s="156"/>
      <c r="G69" s="156"/>
      <c r="H69" s="156"/>
      <c r="I69" s="156"/>
      <c r="J69" s="156"/>
      <c r="K69" s="156"/>
      <c r="L69" s="156"/>
    </row>
    <row r="70" spans="1:19">
      <c r="A70" s="156"/>
      <c r="B70" s="166"/>
      <c r="C70" s="156"/>
      <c r="D70" s="156"/>
      <c r="E70" s="156"/>
      <c r="F70" s="156"/>
      <c r="G70" s="156"/>
      <c r="H70" s="156"/>
      <c r="I70" s="156"/>
      <c r="J70" s="156"/>
      <c r="K70" s="156"/>
      <c r="L70" s="156"/>
    </row>
    <row r="71" spans="1:19">
      <c r="A71" s="156"/>
      <c r="B71" s="166"/>
      <c r="C71" s="156"/>
      <c r="D71" s="156"/>
      <c r="E71" s="156"/>
      <c r="F71" s="156"/>
      <c r="G71" s="156"/>
      <c r="H71" s="156"/>
      <c r="I71" s="156"/>
      <c r="J71" s="156"/>
      <c r="K71" s="156"/>
      <c r="L71" s="156"/>
    </row>
    <row r="72" spans="1:19">
      <c r="A72" s="156"/>
      <c r="B72" s="166"/>
      <c r="C72" s="156"/>
      <c r="D72" s="156"/>
      <c r="E72" s="156"/>
      <c r="F72" s="156"/>
      <c r="G72" s="156"/>
      <c r="H72" s="156"/>
      <c r="I72" s="156"/>
      <c r="J72" s="156"/>
      <c r="K72" s="156"/>
      <c r="L72" s="156"/>
    </row>
    <row r="73" spans="1:19">
      <c r="A73" s="156"/>
      <c r="B73" s="166"/>
      <c r="C73" s="156"/>
      <c r="D73" s="156"/>
      <c r="E73" s="156"/>
      <c r="F73" s="156"/>
      <c r="G73" s="156"/>
      <c r="H73" s="156"/>
      <c r="I73" s="156"/>
      <c r="J73" s="156"/>
      <c r="K73" s="156"/>
      <c r="L73" s="156"/>
    </row>
    <row r="74" spans="1:19">
      <c r="A74" s="156"/>
      <c r="B74" s="166"/>
      <c r="C74" s="156"/>
      <c r="D74" s="156"/>
      <c r="E74" s="156"/>
      <c r="F74" s="156"/>
      <c r="G74" s="156"/>
      <c r="H74" s="156"/>
      <c r="I74" s="156"/>
      <c r="J74" s="156"/>
      <c r="K74" s="156"/>
      <c r="L74" s="156"/>
    </row>
    <row r="75" spans="1:19" s="177" customFormat="1">
      <c r="A75" s="175"/>
      <c r="B75" s="176"/>
      <c r="C75" s="175"/>
      <c r="D75" s="175"/>
      <c r="E75" s="175"/>
      <c r="F75" s="175"/>
      <c r="G75" s="175"/>
      <c r="H75" s="175"/>
      <c r="I75" s="175"/>
      <c r="J75" s="175"/>
      <c r="K75" s="175"/>
      <c r="L75" s="175"/>
    </row>
    <row r="76" spans="1:19">
      <c r="A76" s="156"/>
      <c r="B76" s="166"/>
      <c r="C76" s="156"/>
      <c r="D76" s="156"/>
      <c r="E76" s="156"/>
      <c r="F76" s="156"/>
      <c r="G76" s="156"/>
      <c r="H76" s="156"/>
      <c r="I76" s="156"/>
      <c r="J76" s="156"/>
      <c r="K76" s="156"/>
      <c r="L76" s="156"/>
    </row>
    <row r="77" spans="1:19" ht="21">
      <c r="A77" s="155" t="s">
        <v>102</v>
      </c>
      <c r="E77" s="156"/>
      <c r="F77" s="156"/>
      <c r="G77" s="156"/>
      <c r="H77" s="156"/>
      <c r="I77" s="156"/>
      <c r="J77" s="156"/>
      <c r="K77" s="156"/>
      <c r="L77" s="156"/>
      <c r="S77" s="10"/>
    </row>
    <row r="78" spans="1:19" ht="21">
      <c r="A78" s="155"/>
      <c r="E78" s="156"/>
      <c r="F78" s="156"/>
      <c r="G78" s="156"/>
      <c r="H78" s="156"/>
      <c r="I78" s="156"/>
      <c r="J78" s="156"/>
      <c r="K78" s="156"/>
      <c r="L78" s="156"/>
      <c r="S78" s="10"/>
    </row>
    <row r="79" spans="1:19">
      <c r="A79" s="156"/>
      <c r="B79" s="156" t="s">
        <v>103</v>
      </c>
      <c r="C79" s="156"/>
      <c r="D79" s="156"/>
      <c r="E79" s="156"/>
      <c r="F79" s="156"/>
      <c r="G79" s="156"/>
      <c r="H79" s="156"/>
      <c r="I79" s="156"/>
      <c r="J79" s="156"/>
      <c r="K79" s="156"/>
      <c r="L79" s="156"/>
    </row>
    <row r="80" spans="1:19">
      <c r="A80" s="156"/>
      <c r="B80" s="167" t="s">
        <v>76</v>
      </c>
      <c r="C80" s="156" t="s">
        <v>104</v>
      </c>
      <c r="D80" s="156"/>
      <c r="E80" s="156"/>
      <c r="F80" s="156"/>
      <c r="G80" s="156"/>
      <c r="H80" s="156"/>
      <c r="I80" s="156"/>
      <c r="J80" s="156"/>
      <c r="K80" s="156"/>
      <c r="L80" s="156"/>
    </row>
    <row r="81" spans="1:20">
      <c r="A81" s="156"/>
      <c r="B81" s="167" t="s">
        <v>78</v>
      </c>
      <c r="C81" s="156" t="s">
        <v>105</v>
      </c>
      <c r="D81" s="156"/>
      <c r="E81" s="156"/>
      <c r="F81" s="156"/>
      <c r="G81" s="156"/>
      <c r="H81" s="156"/>
      <c r="I81" s="156"/>
      <c r="J81" s="156"/>
      <c r="K81" s="156"/>
      <c r="L81" s="156"/>
    </row>
    <row r="82" spans="1:20">
      <c r="A82" s="156"/>
      <c r="B82" s="167" t="s">
        <v>80</v>
      </c>
      <c r="C82" s="156" t="s">
        <v>106</v>
      </c>
      <c r="D82" s="156"/>
      <c r="E82" s="156"/>
      <c r="F82" s="156"/>
      <c r="G82" s="156"/>
      <c r="H82" s="156"/>
      <c r="I82" s="156"/>
      <c r="J82" s="156"/>
      <c r="K82" s="156"/>
      <c r="L82" s="156"/>
    </row>
    <row r="83" spans="1:20">
      <c r="A83" s="156"/>
      <c r="B83" s="167" t="s">
        <v>82</v>
      </c>
      <c r="C83" t="s">
        <v>107</v>
      </c>
      <c r="E83" s="156"/>
      <c r="F83" s="156"/>
      <c r="G83" s="156"/>
      <c r="H83" s="156"/>
      <c r="I83" s="156"/>
      <c r="J83" s="156"/>
      <c r="K83" s="156"/>
      <c r="L83" s="156"/>
    </row>
    <row r="84" spans="1:20">
      <c r="A84" s="156"/>
      <c r="C84" t="s">
        <v>108</v>
      </c>
      <c r="E84" s="156"/>
      <c r="F84" s="156"/>
      <c r="G84" s="156"/>
      <c r="H84" s="156"/>
      <c r="I84" s="156"/>
      <c r="J84" s="156"/>
      <c r="K84" s="156"/>
      <c r="L84" s="156"/>
    </row>
    <row r="85" spans="1:20">
      <c r="A85" s="156"/>
      <c r="B85" s="167" t="s">
        <v>85</v>
      </c>
      <c r="C85" t="s">
        <v>109</v>
      </c>
      <c r="E85" s="156"/>
      <c r="F85" s="156"/>
      <c r="G85" s="156"/>
      <c r="H85" s="156"/>
      <c r="I85" s="156"/>
      <c r="J85" s="164"/>
      <c r="K85" s="156"/>
      <c r="L85" s="156"/>
    </row>
    <row r="86" spans="1:20">
      <c r="A86" s="156"/>
      <c r="B86" s="167" t="s">
        <v>87</v>
      </c>
      <c r="C86" t="s">
        <v>110</v>
      </c>
      <c r="E86" s="156"/>
      <c r="F86" s="156"/>
      <c r="G86" s="156"/>
      <c r="H86" s="156"/>
      <c r="I86" s="156"/>
      <c r="J86" s="164"/>
      <c r="K86" s="156"/>
      <c r="L86" s="156"/>
    </row>
    <row r="87" spans="1:20">
      <c r="A87" s="156"/>
      <c r="C87" s="10" t="s">
        <v>111</v>
      </c>
      <c r="E87" s="156"/>
      <c r="F87" s="156"/>
      <c r="G87" s="156"/>
      <c r="H87" s="163">
        <v>1</v>
      </c>
      <c r="I87" s="165">
        <v>2</v>
      </c>
      <c r="J87" s="165">
        <v>3</v>
      </c>
      <c r="K87" s="156"/>
      <c r="L87" s="156"/>
      <c r="T87" s="10"/>
    </row>
    <row r="88" spans="1:20">
      <c r="A88" s="156"/>
      <c r="C88" s="10"/>
      <c r="E88" s="156"/>
      <c r="F88" s="156"/>
      <c r="G88" s="156"/>
      <c r="H88" s="156"/>
      <c r="I88" s="156"/>
      <c r="J88" s="156"/>
      <c r="K88" s="156"/>
      <c r="L88" s="156"/>
      <c r="T88" s="10"/>
    </row>
    <row r="89" spans="1:20">
      <c r="A89" s="156"/>
      <c r="C89" s="10"/>
      <c r="E89" s="156"/>
      <c r="F89" s="156"/>
      <c r="G89" s="156"/>
      <c r="H89" s="156"/>
      <c r="I89" s="156"/>
      <c r="J89" s="164"/>
      <c r="K89" s="156"/>
      <c r="L89" s="156"/>
      <c r="T89" s="10"/>
    </row>
    <row r="90" spans="1:20">
      <c r="A90" s="156"/>
      <c r="C90" s="10"/>
      <c r="E90" s="156"/>
      <c r="F90" s="156"/>
      <c r="G90" s="156"/>
      <c r="H90" s="156"/>
      <c r="I90" s="156"/>
      <c r="J90" s="164"/>
      <c r="K90" s="156"/>
      <c r="L90" s="156"/>
      <c r="T90" s="10"/>
    </row>
    <row r="91" spans="1:20">
      <c r="A91" s="156"/>
      <c r="C91" s="10"/>
      <c r="E91" s="156"/>
      <c r="F91" s="156"/>
      <c r="G91" s="156"/>
      <c r="H91" s="156"/>
      <c r="I91" s="156"/>
      <c r="J91" s="164"/>
      <c r="K91" s="156"/>
      <c r="L91" s="156"/>
      <c r="T91" s="10"/>
    </row>
    <row r="92" spans="1:20">
      <c r="A92" s="156"/>
      <c r="C92" s="10"/>
      <c r="E92" s="156"/>
      <c r="F92" s="156"/>
      <c r="G92" s="156"/>
      <c r="H92" s="156"/>
      <c r="I92" s="156"/>
      <c r="J92" s="164"/>
      <c r="K92" s="156"/>
      <c r="L92" s="156"/>
      <c r="T92" s="10"/>
    </row>
    <row r="93" spans="1:20">
      <c r="A93" s="156"/>
      <c r="C93" s="10"/>
      <c r="E93" s="156"/>
      <c r="F93" s="156"/>
      <c r="G93" s="156"/>
      <c r="H93" s="156"/>
      <c r="I93" s="156"/>
      <c r="J93" s="164"/>
      <c r="K93" s="156"/>
      <c r="L93" s="156"/>
      <c r="T93" s="10"/>
    </row>
    <row r="94" spans="1:20">
      <c r="A94" s="156"/>
      <c r="C94" s="10"/>
      <c r="E94" s="156"/>
      <c r="F94" s="156"/>
      <c r="G94" s="156"/>
      <c r="H94" s="156"/>
      <c r="I94" s="156"/>
      <c r="J94" s="164"/>
      <c r="K94" s="156"/>
      <c r="L94" s="156"/>
      <c r="T94" s="10"/>
    </row>
    <row r="95" spans="1:20">
      <c r="A95" s="156"/>
      <c r="C95" s="10"/>
      <c r="E95" s="156"/>
      <c r="F95" s="156"/>
      <c r="G95" s="156"/>
      <c r="H95" s="156"/>
      <c r="I95" s="156"/>
      <c r="J95" s="164"/>
      <c r="K95" s="156"/>
      <c r="L95" s="156"/>
      <c r="T95" s="10"/>
    </row>
    <row r="96" spans="1:20">
      <c r="A96" s="156"/>
      <c r="C96" s="10"/>
      <c r="E96" s="156"/>
      <c r="F96" s="156"/>
      <c r="G96" s="156"/>
      <c r="H96" s="156"/>
      <c r="I96" s="156"/>
      <c r="J96" s="164"/>
      <c r="K96" s="156"/>
      <c r="L96" s="156"/>
      <c r="T96" s="10"/>
    </row>
    <row r="97" spans="1:20">
      <c r="A97" s="156"/>
      <c r="C97" s="10"/>
      <c r="E97" s="156"/>
      <c r="F97" s="156"/>
      <c r="G97" s="156"/>
      <c r="H97" s="156"/>
      <c r="I97" s="156"/>
      <c r="J97" s="164"/>
      <c r="K97" s="156"/>
      <c r="L97" s="156"/>
      <c r="T97" s="10"/>
    </row>
    <row r="98" spans="1:20">
      <c r="A98" s="156"/>
      <c r="C98" s="10"/>
      <c r="E98" s="156"/>
      <c r="F98" s="156"/>
      <c r="G98" s="156"/>
      <c r="H98" s="156"/>
      <c r="I98" s="156"/>
      <c r="J98" s="164"/>
      <c r="K98" s="156"/>
      <c r="L98" s="156"/>
      <c r="T98" s="10"/>
    </row>
    <row r="99" spans="1:20">
      <c r="A99" s="156"/>
      <c r="C99" s="10"/>
      <c r="E99" s="156"/>
      <c r="F99" s="156"/>
      <c r="G99" s="156"/>
      <c r="H99" s="156"/>
      <c r="I99" s="156"/>
      <c r="J99" s="164"/>
      <c r="K99" s="156"/>
      <c r="L99" s="156"/>
      <c r="T99" s="10"/>
    </row>
    <row r="100" spans="1:20">
      <c r="A100" s="156"/>
      <c r="C100" s="10"/>
      <c r="E100" s="156"/>
      <c r="F100" s="156"/>
      <c r="G100" s="156"/>
      <c r="H100" s="156"/>
      <c r="I100" s="156"/>
      <c r="J100" s="164"/>
      <c r="K100" s="156"/>
      <c r="L100" s="156"/>
      <c r="T100" s="10"/>
    </row>
    <row r="101" spans="1:20">
      <c r="A101" s="156"/>
      <c r="C101" s="10"/>
      <c r="E101" s="156"/>
      <c r="F101" s="156"/>
      <c r="G101" s="156"/>
      <c r="H101" s="156"/>
      <c r="I101" s="156"/>
      <c r="J101" s="164"/>
      <c r="K101" s="156"/>
      <c r="L101" s="156"/>
      <c r="T101" s="10"/>
    </row>
    <row r="102" spans="1:20">
      <c r="A102" s="156"/>
      <c r="C102" s="10"/>
      <c r="E102" s="156"/>
      <c r="F102" s="156"/>
      <c r="G102" s="156"/>
      <c r="H102" s="156"/>
      <c r="I102" s="156"/>
      <c r="J102" s="164"/>
      <c r="K102" s="156"/>
      <c r="L102" s="156"/>
      <c r="T102" s="10"/>
    </row>
    <row r="103" spans="1:20">
      <c r="A103" s="156"/>
      <c r="C103" s="10"/>
      <c r="E103" s="156"/>
      <c r="F103" s="156"/>
      <c r="G103" s="156"/>
      <c r="H103" s="156"/>
      <c r="I103" s="156"/>
      <c r="J103" s="164"/>
      <c r="K103" s="156"/>
      <c r="L103" s="156"/>
      <c r="T103" s="10"/>
    </row>
    <row r="104" spans="1:20" ht="18" customHeight="1">
      <c r="A104" s="156"/>
      <c r="C104" s="10"/>
      <c r="E104" s="156"/>
      <c r="F104" s="156"/>
      <c r="G104" s="156"/>
      <c r="H104" s="156"/>
      <c r="I104" s="156"/>
      <c r="J104" s="164"/>
      <c r="K104" s="156"/>
      <c r="L104" s="156"/>
      <c r="T104" s="10"/>
    </row>
    <row r="105" spans="1:20">
      <c r="A105" s="156"/>
      <c r="E105" s="156"/>
      <c r="F105" s="156"/>
      <c r="G105" s="156"/>
      <c r="H105" s="156"/>
      <c r="I105" s="156"/>
      <c r="J105" s="164"/>
      <c r="K105" s="156"/>
      <c r="L105" s="156"/>
      <c r="T105" s="10"/>
    </row>
    <row r="106" spans="1:20">
      <c r="A106" s="156"/>
      <c r="E106" s="156"/>
      <c r="F106" s="156"/>
      <c r="G106" s="156"/>
      <c r="H106" s="156"/>
      <c r="I106" s="156"/>
      <c r="J106" s="164"/>
      <c r="K106" s="156"/>
      <c r="L106" s="156"/>
      <c r="T106" s="10"/>
    </row>
    <row r="107" spans="1:20" hidden="1">
      <c r="A107" s="156"/>
      <c r="C107" s="10"/>
      <c r="E107" s="156"/>
      <c r="F107" s="156"/>
      <c r="G107" s="156"/>
      <c r="H107" s="156"/>
      <c r="I107" s="156"/>
      <c r="J107" s="164"/>
      <c r="K107" s="156"/>
      <c r="L107" s="156"/>
      <c r="T107" s="10"/>
    </row>
    <row r="108" spans="1:20" hidden="1">
      <c r="A108" s="156"/>
      <c r="C108" s="10"/>
      <c r="E108" s="156"/>
      <c r="F108" s="156"/>
      <c r="G108" s="156"/>
      <c r="H108" s="156"/>
      <c r="I108" s="156"/>
      <c r="J108" s="164"/>
      <c r="K108" s="156"/>
      <c r="L108" s="156"/>
      <c r="T108" s="10"/>
    </row>
    <row r="109" spans="1:20" hidden="1">
      <c r="A109" s="156"/>
      <c r="C109" s="10"/>
      <c r="E109" s="156"/>
      <c r="F109" s="156"/>
      <c r="G109" s="156"/>
      <c r="H109" s="156"/>
      <c r="I109" s="156"/>
      <c r="J109" s="164"/>
      <c r="K109" s="156"/>
      <c r="L109" s="156"/>
      <c r="T109" s="10"/>
    </row>
    <row r="110" spans="1:20" hidden="1">
      <c r="A110" s="156"/>
      <c r="C110" s="10"/>
      <c r="E110" s="156"/>
      <c r="F110" s="156"/>
      <c r="G110" s="156"/>
      <c r="H110" s="156"/>
      <c r="I110" s="156"/>
      <c r="J110" s="164"/>
      <c r="K110" s="156"/>
      <c r="L110" s="156"/>
      <c r="T110" s="10"/>
    </row>
    <row r="111" spans="1:20" hidden="1">
      <c r="A111" s="156"/>
      <c r="C111" s="10"/>
      <c r="E111" s="156"/>
      <c r="F111" s="156"/>
      <c r="G111" s="156"/>
      <c r="H111" s="156"/>
      <c r="I111" s="156"/>
      <c r="J111" s="164"/>
      <c r="K111" s="156"/>
      <c r="L111" s="156"/>
      <c r="T111" s="10"/>
    </row>
    <row r="112" spans="1:20" ht="21" hidden="1">
      <c r="A112" s="155"/>
      <c r="B112" s="156"/>
      <c r="C112" s="156"/>
      <c r="D112" s="156"/>
      <c r="E112" s="156"/>
      <c r="F112" s="156"/>
      <c r="G112" s="156"/>
      <c r="H112" s="156"/>
      <c r="I112" s="156"/>
      <c r="J112" s="156"/>
      <c r="K112" s="156"/>
      <c r="L112" s="156"/>
      <c r="M112" s="156"/>
      <c r="N112" s="156"/>
      <c r="O112" s="156"/>
      <c r="R112" s="19"/>
    </row>
    <row r="113" spans="1:15" hidden="1">
      <c r="A113" s="156"/>
      <c r="B113" s="156"/>
      <c r="C113" s="156"/>
      <c r="D113" s="156"/>
      <c r="E113" s="156"/>
      <c r="F113" s="156"/>
      <c r="G113" s="156"/>
      <c r="H113" s="156"/>
      <c r="I113" s="156"/>
      <c r="J113" s="156"/>
      <c r="K113" s="156"/>
      <c r="L113" s="156"/>
      <c r="M113" s="156"/>
      <c r="N113" s="156"/>
      <c r="O113" s="156"/>
    </row>
    <row r="114" spans="1:15" hidden="1">
      <c r="A114" s="156"/>
      <c r="B114" s="167"/>
      <c r="C114" s="156"/>
      <c r="D114" s="156"/>
      <c r="E114" s="156"/>
      <c r="F114" s="156"/>
      <c r="G114" s="156"/>
      <c r="H114" s="156"/>
      <c r="I114" s="156"/>
      <c r="J114" s="156"/>
      <c r="K114" s="156"/>
      <c r="L114" s="156"/>
      <c r="M114" s="156"/>
      <c r="N114" s="156"/>
      <c r="O114" s="156"/>
    </row>
    <row r="115" spans="1:15" hidden="1">
      <c r="A115" s="156"/>
      <c r="B115" s="167"/>
      <c r="C115" s="156"/>
      <c r="D115" s="156"/>
      <c r="E115" s="156"/>
      <c r="F115" s="156"/>
      <c r="G115" s="156"/>
      <c r="H115" s="156"/>
      <c r="I115" s="156"/>
      <c r="J115" s="156"/>
      <c r="K115" s="156"/>
      <c r="L115" s="156"/>
      <c r="M115" s="156"/>
      <c r="N115" s="156"/>
      <c r="O115" s="156"/>
    </row>
    <row r="116" spans="1:15" hidden="1">
      <c r="A116" s="156"/>
      <c r="B116" s="167"/>
      <c r="C116" s="156"/>
      <c r="D116" s="156"/>
      <c r="E116" s="156"/>
      <c r="F116" s="156"/>
      <c r="G116" s="156"/>
      <c r="H116" s="156"/>
      <c r="I116" s="156"/>
      <c r="J116" s="156"/>
      <c r="K116" s="156"/>
      <c r="L116" s="156"/>
      <c r="M116" s="156"/>
      <c r="N116" s="156"/>
      <c r="O116" s="156"/>
    </row>
    <row r="117" spans="1:15" hidden="1">
      <c r="A117" s="156"/>
      <c r="B117" s="156"/>
      <c r="C117" s="156"/>
      <c r="D117" s="156"/>
      <c r="E117" s="156"/>
      <c r="F117" s="156"/>
      <c r="G117" s="156"/>
      <c r="H117" s="156"/>
      <c r="I117" s="156"/>
      <c r="J117" s="161"/>
      <c r="K117" s="156"/>
      <c r="L117" s="156"/>
    </row>
    <row r="118" spans="1:15" hidden="1">
      <c r="A118" s="156"/>
      <c r="B118" s="156"/>
      <c r="C118" s="156"/>
      <c r="D118" s="156"/>
      <c r="E118" s="156"/>
      <c r="F118" s="156"/>
      <c r="G118" s="156"/>
      <c r="H118" s="156"/>
      <c r="I118" s="156"/>
      <c r="J118" s="161"/>
      <c r="K118" s="156"/>
      <c r="L118" s="156"/>
    </row>
    <row r="119" spans="1:15" hidden="1">
      <c r="A119" s="156"/>
      <c r="B119" s="156"/>
      <c r="C119" s="156"/>
      <c r="D119" s="156"/>
      <c r="E119" s="156"/>
      <c r="F119" s="156"/>
      <c r="G119" s="156"/>
      <c r="H119" s="156"/>
      <c r="I119" s="156"/>
      <c r="J119" s="161"/>
      <c r="K119" s="156"/>
      <c r="L119" s="156"/>
    </row>
    <row r="120" spans="1:15" hidden="1">
      <c r="A120" s="156"/>
      <c r="B120" s="156"/>
      <c r="C120" s="156"/>
      <c r="D120" s="156"/>
      <c r="E120" s="156"/>
      <c r="F120" s="156"/>
      <c r="G120" s="156"/>
      <c r="H120" s="156"/>
      <c r="I120" s="156"/>
      <c r="J120" s="161"/>
      <c r="K120" s="156"/>
      <c r="L120" s="156"/>
    </row>
    <row r="121" spans="1:15" hidden="1">
      <c r="A121" s="156"/>
      <c r="B121" s="156"/>
      <c r="C121" s="156"/>
      <c r="D121" s="156"/>
      <c r="E121" s="156"/>
      <c r="F121" s="156"/>
      <c r="G121" s="156"/>
      <c r="H121" s="156"/>
      <c r="I121" s="156"/>
      <c r="J121" s="161"/>
      <c r="K121" s="156"/>
      <c r="L121" s="156"/>
    </row>
    <row r="122" spans="1:15" hidden="1">
      <c r="A122" s="156"/>
      <c r="B122" s="156"/>
      <c r="C122" s="156"/>
      <c r="D122" s="156"/>
      <c r="E122" s="156"/>
      <c r="F122" s="156"/>
      <c r="G122" s="156"/>
      <c r="H122" s="156"/>
      <c r="I122" s="156"/>
      <c r="J122" s="161"/>
      <c r="K122" s="156"/>
      <c r="L122" s="156"/>
    </row>
    <row r="123" spans="1:15" hidden="1">
      <c r="A123" s="156"/>
      <c r="B123" s="156"/>
      <c r="C123" s="156"/>
      <c r="D123" s="156"/>
      <c r="E123" s="156"/>
      <c r="F123" s="156"/>
      <c r="G123" s="156"/>
      <c r="H123" s="156"/>
      <c r="I123" s="156"/>
      <c r="J123" s="161"/>
      <c r="K123" s="156"/>
      <c r="L123" s="156"/>
    </row>
    <row r="124" spans="1:15" hidden="1">
      <c r="A124" s="156"/>
      <c r="B124" s="156"/>
      <c r="C124" s="156"/>
      <c r="D124" s="156"/>
      <c r="E124" s="156"/>
      <c r="F124" s="156"/>
      <c r="G124" s="156"/>
      <c r="H124" s="156"/>
      <c r="I124" s="156"/>
      <c r="J124" s="161"/>
      <c r="K124" s="156"/>
      <c r="L124" s="156"/>
    </row>
    <row r="125" spans="1:15" hidden="1">
      <c r="A125" s="156"/>
      <c r="B125" s="156"/>
      <c r="C125" s="156"/>
      <c r="D125" s="156"/>
      <c r="E125" s="156"/>
      <c r="F125" s="156"/>
      <c r="G125" s="156"/>
      <c r="H125" s="156"/>
      <c r="I125" s="156"/>
      <c r="J125" s="161"/>
      <c r="K125" s="156"/>
      <c r="L125" s="156"/>
    </row>
    <row r="126" spans="1:15" hidden="1">
      <c r="A126" s="156"/>
      <c r="B126" s="156"/>
      <c r="C126" s="156"/>
      <c r="D126" s="156"/>
      <c r="E126" s="156"/>
      <c r="F126" s="156"/>
      <c r="G126" s="156"/>
      <c r="H126" s="156"/>
      <c r="I126" s="156"/>
      <c r="J126" s="161"/>
      <c r="K126" s="156"/>
      <c r="L126" s="156"/>
    </row>
    <row r="127" spans="1:15" hidden="1">
      <c r="A127" s="156"/>
      <c r="B127" s="156"/>
      <c r="C127" s="156"/>
      <c r="D127" s="156"/>
      <c r="E127" s="156"/>
      <c r="F127" s="156"/>
      <c r="G127" s="156"/>
      <c r="H127" s="156"/>
      <c r="I127" s="156"/>
      <c r="J127" s="161"/>
      <c r="K127" s="156"/>
      <c r="L127" s="156"/>
    </row>
    <row r="128" spans="1:15" hidden="1">
      <c r="A128" s="156"/>
      <c r="B128" s="156"/>
      <c r="C128" s="156"/>
      <c r="D128" s="156"/>
      <c r="E128" s="156"/>
      <c r="F128" s="156"/>
      <c r="G128" s="156"/>
      <c r="H128" s="156"/>
      <c r="I128" s="156"/>
      <c r="J128" s="161"/>
      <c r="K128" s="156"/>
      <c r="L128" s="156"/>
    </row>
    <row r="129" spans="1:12" hidden="1">
      <c r="A129" s="156"/>
      <c r="B129" s="156"/>
      <c r="C129" s="156"/>
      <c r="D129" s="156"/>
      <c r="E129" s="156"/>
      <c r="F129" s="156"/>
      <c r="G129" s="156"/>
      <c r="H129" s="156"/>
      <c r="I129" s="156"/>
      <c r="J129" s="161"/>
      <c r="K129" s="156"/>
      <c r="L129" s="156"/>
    </row>
    <row r="130" spans="1:12" hidden="1">
      <c r="A130" s="156"/>
      <c r="B130" s="156"/>
      <c r="C130" s="156"/>
      <c r="D130" s="156"/>
      <c r="E130" s="156"/>
      <c r="F130" s="156"/>
      <c r="G130" s="156"/>
      <c r="H130" s="156"/>
      <c r="I130" s="156"/>
      <c r="J130" s="161"/>
      <c r="K130" s="156"/>
      <c r="L130" s="156"/>
    </row>
    <row r="131" spans="1:12" hidden="1">
      <c r="A131" s="156"/>
      <c r="B131" s="156"/>
      <c r="C131" s="156"/>
      <c r="D131" s="156"/>
      <c r="E131" s="156"/>
      <c r="F131" s="156"/>
      <c r="G131" s="156"/>
      <c r="H131" s="156"/>
      <c r="I131" s="156"/>
      <c r="J131" s="161"/>
      <c r="K131" s="156"/>
      <c r="L131" s="156"/>
    </row>
    <row r="132" spans="1:12" hidden="1">
      <c r="A132" s="156"/>
      <c r="B132" s="156"/>
      <c r="C132" s="156"/>
      <c r="D132" s="156"/>
      <c r="E132" s="156"/>
      <c r="F132" s="156"/>
      <c r="G132" s="156"/>
      <c r="H132" s="156"/>
      <c r="I132" s="156"/>
      <c r="J132" s="161"/>
      <c r="K132" s="156"/>
      <c r="L132" s="156"/>
    </row>
    <row r="133" spans="1:12" hidden="1">
      <c r="A133" s="156"/>
      <c r="B133" s="156"/>
      <c r="C133" s="156"/>
      <c r="D133" s="156"/>
      <c r="E133" s="156"/>
      <c r="F133" s="156"/>
      <c r="G133" s="156"/>
      <c r="H133" s="156"/>
      <c r="I133" s="156"/>
      <c r="J133" s="161"/>
      <c r="K133" s="156"/>
      <c r="L133" s="156"/>
    </row>
    <row r="134" spans="1:12" hidden="1">
      <c r="A134" s="156"/>
      <c r="B134" s="156"/>
      <c r="C134" s="156"/>
      <c r="D134" s="156"/>
      <c r="E134" s="156"/>
      <c r="F134" s="156"/>
      <c r="G134" s="156"/>
      <c r="H134" s="156"/>
      <c r="I134" s="156"/>
      <c r="J134" s="161"/>
      <c r="K134" s="156"/>
      <c r="L134" s="156"/>
    </row>
    <row r="135" spans="1:12" hidden="1">
      <c r="A135" s="156"/>
      <c r="B135" s="156"/>
      <c r="C135" s="156"/>
      <c r="D135" s="156"/>
      <c r="E135" s="156"/>
      <c r="F135" s="156"/>
      <c r="G135" s="156"/>
      <c r="H135" s="156"/>
      <c r="I135" s="156"/>
      <c r="J135" s="161"/>
      <c r="K135" s="156"/>
      <c r="L135" s="156"/>
    </row>
    <row r="136" spans="1:12" hidden="1">
      <c r="A136" s="156"/>
      <c r="B136" s="156"/>
      <c r="C136" s="156"/>
      <c r="D136" s="156"/>
      <c r="E136" s="156"/>
      <c r="F136" s="156"/>
      <c r="G136" s="156"/>
      <c r="H136" s="156"/>
      <c r="I136" s="156"/>
      <c r="J136" s="161"/>
      <c r="K136" s="156"/>
      <c r="L136" s="156"/>
    </row>
    <row r="137" spans="1:12" hidden="1">
      <c r="A137" s="156"/>
      <c r="B137" s="156"/>
      <c r="C137" s="156"/>
      <c r="D137" s="156"/>
      <c r="E137" s="156"/>
      <c r="F137" s="156"/>
      <c r="G137" s="156"/>
      <c r="H137" s="156"/>
      <c r="I137" s="156"/>
      <c r="J137" s="161"/>
      <c r="K137" s="156"/>
      <c r="L137" s="156"/>
    </row>
    <row r="138" spans="1:12" hidden="1">
      <c r="A138" s="156"/>
      <c r="B138" s="156"/>
      <c r="C138" s="156"/>
      <c r="D138" s="156"/>
      <c r="E138" s="156"/>
      <c r="F138" s="156"/>
      <c r="G138" s="156"/>
      <c r="H138" s="156"/>
      <c r="I138" s="156"/>
      <c r="J138" s="161"/>
      <c r="K138" s="156"/>
      <c r="L138" s="156"/>
    </row>
    <row r="139" spans="1:12" hidden="1">
      <c r="A139" s="156"/>
      <c r="B139" s="156"/>
      <c r="C139" s="156"/>
      <c r="D139" s="156"/>
      <c r="E139" s="156"/>
      <c r="F139" s="156"/>
      <c r="G139" s="156"/>
      <c r="H139" s="156"/>
      <c r="I139" s="156"/>
      <c r="J139" s="161"/>
      <c r="K139" s="156"/>
      <c r="L139" s="156"/>
    </row>
    <row r="140" spans="1:12" hidden="1">
      <c r="A140" s="156"/>
      <c r="B140" s="156"/>
      <c r="C140" s="156"/>
      <c r="D140" s="156"/>
      <c r="E140" s="156"/>
      <c r="F140" s="156"/>
      <c r="G140" s="156"/>
      <c r="H140" s="156"/>
      <c r="I140" s="156"/>
      <c r="J140" s="161"/>
      <c r="K140" s="156"/>
      <c r="L140" s="156"/>
    </row>
    <row r="141" spans="1:12" hidden="1">
      <c r="A141" s="156"/>
      <c r="B141" s="156"/>
      <c r="C141" s="156"/>
      <c r="D141" s="156"/>
      <c r="E141" s="156"/>
      <c r="F141" s="156"/>
      <c r="G141" s="156"/>
      <c r="H141" s="156"/>
      <c r="I141" s="156"/>
      <c r="J141" s="161"/>
      <c r="K141" s="156"/>
      <c r="L141" s="156"/>
    </row>
    <row r="142" spans="1:12" hidden="1">
      <c r="A142" s="156"/>
      <c r="B142" s="156"/>
      <c r="C142" s="156"/>
      <c r="D142" s="156"/>
      <c r="E142" s="156"/>
      <c r="F142" s="156"/>
      <c r="G142" s="156"/>
      <c r="H142" s="156"/>
      <c r="I142" s="156"/>
      <c r="J142" s="161"/>
      <c r="K142" s="156"/>
      <c r="L142" s="156"/>
    </row>
    <row r="143" spans="1:12" hidden="1">
      <c r="A143" s="156"/>
      <c r="B143" s="156"/>
      <c r="C143" s="156"/>
      <c r="D143" s="156"/>
      <c r="E143" s="156"/>
      <c r="F143" s="156"/>
      <c r="G143" s="156"/>
      <c r="H143" s="156"/>
      <c r="I143" s="156"/>
      <c r="J143" s="161"/>
      <c r="K143" s="156"/>
      <c r="L143" s="156"/>
    </row>
    <row r="144" spans="1:12" hidden="1">
      <c r="A144" s="156"/>
      <c r="B144" s="156"/>
      <c r="C144" s="156"/>
      <c r="D144" s="156"/>
      <c r="E144" s="156"/>
      <c r="F144" s="156"/>
      <c r="G144" s="156"/>
      <c r="H144" s="156"/>
      <c r="I144" s="156"/>
      <c r="J144" s="161"/>
      <c r="K144" s="156"/>
      <c r="L144" s="156"/>
    </row>
    <row r="145" spans="1:12" hidden="1">
      <c r="A145" s="156"/>
      <c r="B145" s="156"/>
      <c r="C145" s="156"/>
      <c r="D145" s="156"/>
      <c r="E145" s="156"/>
      <c r="F145" s="156"/>
      <c r="G145" s="156"/>
      <c r="H145" s="156"/>
      <c r="I145" s="156"/>
      <c r="J145" s="161"/>
      <c r="K145" s="156"/>
      <c r="L145" s="156"/>
    </row>
    <row r="146" spans="1:12" hidden="1">
      <c r="A146" s="156"/>
      <c r="B146" s="156"/>
      <c r="C146" s="156"/>
      <c r="D146" s="156"/>
      <c r="E146" s="156"/>
      <c r="F146" s="156"/>
      <c r="G146" s="156"/>
      <c r="H146" s="156"/>
      <c r="I146" s="156"/>
      <c r="J146" s="161"/>
      <c r="K146" s="156"/>
      <c r="L146" s="156"/>
    </row>
    <row r="147" spans="1:12" hidden="1">
      <c r="A147" s="156"/>
      <c r="B147" s="156"/>
      <c r="C147" s="156"/>
      <c r="D147" s="156"/>
      <c r="E147" s="156"/>
      <c r="F147" s="156"/>
      <c r="G147" s="156"/>
      <c r="H147" s="156"/>
      <c r="I147" s="156"/>
      <c r="J147" s="161"/>
      <c r="K147" s="156"/>
      <c r="L147" s="156"/>
    </row>
    <row r="148" spans="1:12" hidden="1">
      <c r="A148" s="156"/>
      <c r="B148" s="156"/>
      <c r="C148" s="156"/>
      <c r="D148" s="156"/>
      <c r="E148" s="156"/>
      <c r="F148" s="156"/>
      <c r="G148" s="156"/>
      <c r="H148" s="156"/>
      <c r="I148" s="156"/>
      <c r="J148" s="161"/>
      <c r="K148" s="156"/>
      <c r="L148" s="156"/>
    </row>
    <row r="149" spans="1:12" hidden="1">
      <c r="A149" s="156"/>
      <c r="B149" s="156"/>
      <c r="C149" s="156"/>
      <c r="D149" s="156"/>
      <c r="E149" s="156"/>
      <c r="F149" s="156"/>
      <c r="G149" s="156"/>
      <c r="H149" s="156"/>
      <c r="I149" s="156"/>
      <c r="J149" s="161"/>
      <c r="K149" s="156"/>
      <c r="L149" s="156"/>
    </row>
    <row r="150" spans="1:12" hidden="1">
      <c r="A150" s="156"/>
      <c r="B150" s="156"/>
      <c r="C150" s="156"/>
      <c r="D150" s="156"/>
      <c r="E150" s="156"/>
      <c r="F150" s="156"/>
      <c r="G150" s="156"/>
      <c r="H150" s="156"/>
      <c r="I150" s="156"/>
      <c r="J150" s="161"/>
      <c r="K150" s="156"/>
      <c r="L150" s="156"/>
    </row>
    <row r="151" spans="1:12" hidden="1">
      <c r="A151" s="156"/>
      <c r="B151" s="156"/>
      <c r="C151" s="156"/>
      <c r="D151" s="156"/>
      <c r="E151" s="156"/>
      <c r="F151" s="156"/>
      <c r="G151" s="156"/>
      <c r="H151" s="156"/>
      <c r="I151" s="156"/>
      <c r="J151" s="156"/>
      <c r="K151" s="156"/>
      <c r="L151" s="156"/>
    </row>
    <row r="152" spans="1:12" hidden="1">
      <c r="A152" s="156"/>
      <c r="B152" s="156"/>
      <c r="C152" s="156"/>
      <c r="D152" s="156"/>
      <c r="E152" s="156"/>
      <c r="F152" s="156"/>
      <c r="G152" s="156"/>
      <c r="H152" s="156"/>
      <c r="I152" s="156"/>
      <c r="J152" s="156"/>
      <c r="K152" s="156"/>
      <c r="L152" s="156"/>
    </row>
    <row r="153" spans="1:12" hidden="1">
      <c r="A153" s="156"/>
      <c r="B153" s="156"/>
      <c r="C153" s="156"/>
      <c r="D153" s="156"/>
      <c r="E153" s="156"/>
      <c r="F153" s="156"/>
      <c r="G153" s="156"/>
      <c r="H153" s="156"/>
      <c r="I153" s="156"/>
      <c r="J153" s="156"/>
      <c r="K153" s="156"/>
      <c r="L153" s="156"/>
    </row>
    <row r="154" spans="1:12" hidden="1">
      <c r="A154" s="156"/>
      <c r="B154" s="156"/>
      <c r="C154" s="156"/>
      <c r="D154" s="156"/>
      <c r="E154" s="156"/>
      <c r="F154" s="156"/>
      <c r="G154" s="156"/>
      <c r="H154" s="156"/>
      <c r="I154" s="156"/>
      <c r="J154" s="156"/>
      <c r="K154" s="156"/>
      <c r="L154" s="156"/>
    </row>
    <row r="155" spans="1:12" hidden="1">
      <c r="A155" s="156"/>
      <c r="B155" s="167"/>
      <c r="C155" s="158"/>
      <c r="D155" s="156"/>
      <c r="E155" s="156"/>
      <c r="F155" s="156"/>
      <c r="G155" s="156"/>
      <c r="H155" s="156"/>
      <c r="I155" s="156"/>
      <c r="J155" s="156"/>
      <c r="K155" s="156"/>
      <c r="L155" s="156"/>
    </row>
    <row r="156" spans="1:12" hidden="1">
      <c r="A156" s="156"/>
      <c r="B156" s="156"/>
      <c r="C156" s="158"/>
      <c r="D156" s="156"/>
      <c r="E156" s="156"/>
      <c r="F156" s="156"/>
      <c r="G156" s="156"/>
      <c r="H156" s="156"/>
      <c r="I156" s="156"/>
      <c r="J156" s="156"/>
      <c r="K156" s="156"/>
      <c r="L156" s="156"/>
    </row>
    <row r="157" spans="1:12" hidden="1">
      <c r="A157" s="156"/>
      <c r="B157" s="156"/>
      <c r="C157" s="162"/>
      <c r="D157" s="156"/>
      <c r="E157" s="156"/>
      <c r="F157" s="156"/>
      <c r="G157" s="156"/>
      <c r="H157" s="156"/>
      <c r="I157" s="156"/>
      <c r="J157" s="156"/>
      <c r="K157" s="156"/>
      <c r="L157" s="156"/>
    </row>
    <row r="158" spans="1:12" hidden="1">
      <c r="A158" s="156"/>
      <c r="B158" s="156"/>
      <c r="D158" s="156"/>
      <c r="E158" s="156"/>
      <c r="F158" s="156"/>
      <c r="G158" s="156"/>
      <c r="H158" s="156"/>
      <c r="I158" s="156"/>
      <c r="J158" s="156"/>
      <c r="K158" s="156"/>
      <c r="L158" s="156"/>
    </row>
    <row r="159" spans="1:12" hidden="1">
      <c r="A159" s="156"/>
      <c r="B159" s="156"/>
      <c r="C159" s="156"/>
      <c r="D159" s="156"/>
      <c r="E159" s="156"/>
      <c r="F159" s="156"/>
      <c r="G159" s="156"/>
      <c r="H159" s="156"/>
      <c r="I159" s="156"/>
      <c r="J159" s="156"/>
      <c r="K159" s="156"/>
      <c r="L159" s="156"/>
    </row>
    <row r="160" spans="1:12" hidden="1">
      <c r="A160" s="156"/>
      <c r="B160" s="156"/>
      <c r="C160" s="156"/>
      <c r="D160" s="156"/>
      <c r="E160" s="156"/>
      <c r="F160" s="156"/>
      <c r="G160" s="156"/>
      <c r="H160" s="156"/>
      <c r="I160" s="156"/>
      <c r="J160" s="156"/>
      <c r="K160" s="156"/>
      <c r="L160" s="156"/>
    </row>
    <row r="161" spans="1:12" hidden="1">
      <c r="A161" s="156"/>
      <c r="B161" s="156"/>
      <c r="C161" s="156"/>
      <c r="D161" s="156"/>
      <c r="E161" s="156"/>
      <c r="F161" s="156"/>
      <c r="G161" s="156"/>
      <c r="H161" s="156"/>
      <c r="I161" s="156"/>
      <c r="J161" s="156"/>
      <c r="K161" s="156"/>
      <c r="L161" s="156"/>
    </row>
    <row r="162" spans="1:12" hidden="1">
      <c r="A162" s="156"/>
      <c r="B162" s="156"/>
      <c r="C162" s="156"/>
      <c r="D162" s="156"/>
      <c r="E162" s="156"/>
      <c r="F162" s="156"/>
      <c r="G162" s="156"/>
      <c r="H162" s="156"/>
      <c r="I162" s="156"/>
      <c r="J162" s="156"/>
      <c r="K162" s="156"/>
      <c r="L162" s="156"/>
    </row>
    <row r="163" spans="1:12" hidden="1">
      <c r="A163" s="156"/>
      <c r="B163" s="156"/>
      <c r="C163" s="156"/>
      <c r="D163" s="156"/>
      <c r="E163" s="156"/>
      <c r="F163" s="156"/>
      <c r="G163" s="156"/>
      <c r="H163" s="156"/>
      <c r="I163" s="156"/>
      <c r="J163" s="156"/>
      <c r="K163" s="156"/>
      <c r="L163" s="156"/>
    </row>
    <row r="164" spans="1:12" hidden="1">
      <c r="A164" s="156"/>
      <c r="B164" s="156"/>
      <c r="C164" s="156"/>
      <c r="D164" s="156"/>
      <c r="E164" s="156"/>
      <c r="F164" s="156"/>
      <c r="G164" s="156"/>
      <c r="H164" s="156"/>
      <c r="I164" s="156"/>
      <c r="J164" s="156"/>
      <c r="K164" s="156"/>
      <c r="L164" s="156"/>
    </row>
    <row r="165" spans="1:12" hidden="1">
      <c r="A165" s="156"/>
      <c r="B165" s="156"/>
      <c r="C165" s="156"/>
      <c r="D165" s="156"/>
      <c r="E165" s="156"/>
      <c r="F165" s="156"/>
      <c r="G165" s="156"/>
      <c r="H165" s="156"/>
      <c r="I165" s="156"/>
      <c r="J165" s="156"/>
      <c r="K165" s="156"/>
      <c r="L165" s="156"/>
    </row>
    <row r="166" spans="1:12" hidden="1">
      <c r="A166" s="156"/>
      <c r="B166" s="156"/>
      <c r="C166" s="156"/>
      <c r="D166" s="156"/>
      <c r="E166" s="156"/>
      <c r="F166" s="156"/>
      <c r="G166" s="156"/>
      <c r="H166" s="156"/>
      <c r="I166" s="156"/>
      <c r="J166" s="156"/>
      <c r="K166" s="156"/>
      <c r="L166" s="156"/>
    </row>
    <row r="167" spans="1:12" hidden="1">
      <c r="A167" s="156"/>
      <c r="B167" s="156"/>
      <c r="C167" s="156"/>
      <c r="D167" s="156"/>
      <c r="E167" s="156"/>
      <c r="F167" s="156"/>
      <c r="G167" s="156"/>
      <c r="H167" s="156"/>
      <c r="I167" s="156"/>
      <c r="J167" s="156"/>
      <c r="K167" s="156"/>
      <c r="L167" s="156"/>
    </row>
    <row r="168" spans="1:12" hidden="1">
      <c r="A168" s="156"/>
      <c r="B168" s="156"/>
      <c r="C168" s="156"/>
      <c r="D168" s="156"/>
      <c r="E168" s="156"/>
      <c r="F168" s="156"/>
      <c r="G168" s="156"/>
      <c r="H168" s="156"/>
      <c r="I168" s="156"/>
      <c r="J168" s="156"/>
      <c r="K168" s="156"/>
      <c r="L168" s="156"/>
    </row>
    <row r="169" spans="1:12" hidden="1">
      <c r="A169" s="156"/>
      <c r="B169" s="156"/>
      <c r="C169" s="156"/>
      <c r="D169" s="156"/>
      <c r="E169" s="156"/>
      <c r="F169" s="156"/>
      <c r="G169" s="156"/>
      <c r="H169" s="156"/>
      <c r="I169" s="156"/>
      <c r="J169" s="156"/>
      <c r="K169" s="156"/>
      <c r="L169" s="156"/>
    </row>
    <row r="170" spans="1:12" hidden="1">
      <c r="A170" s="156"/>
      <c r="B170" s="156"/>
      <c r="C170" s="156"/>
      <c r="D170" s="156"/>
      <c r="E170" s="156"/>
      <c r="F170" s="156"/>
      <c r="G170" s="156"/>
      <c r="H170" s="156"/>
      <c r="I170" s="156"/>
      <c r="J170" s="156"/>
      <c r="K170" s="156"/>
      <c r="L170" s="156"/>
    </row>
    <row r="171" spans="1:12" hidden="1">
      <c r="A171" s="156"/>
      <c r="B171" s="156"/>
      <c r="C171" s="156"/>
      <c r="D171" s="156"/>
      <c r="E171" s="156"/>
      <c r="F171" s="156"/>
      <c r="G171" s="156"/>
      <c r="H171" s="156"/>
      <c r="I171" s="156"/>
      <c r="J171" s="156"/>
      <c r="K171" s="156"/>
      <c r="L171" s="156"/>
    </row>
    <row r="172" spans="1:12" hidden="1">
      <c r="A172" s="156"/>
      <c r="B172" s="156"/>
      <c r="C172" s="156"/>
      <c r="D172" s="156"/>
      <c r="E172" s="156"/>
      <c r="F172" s="156"/>
      <c r="G172" s="156"/>
      <c r="H172" s="156"/>
      <c r="I172" s="156"/>
      <c r="J172" s="156"/>
      <c r="K172" s="156"/>
      <c r="L172" s="156"/>
    </row>
    <row r="173" spans="1:12" hidden="1">
      <c r="A173" s="156"/>
      <c r="B173" s="156"/>
      <c r="C173" s="156"/>
      <c r="D173" s="156"/>
      <c r="E173" s="156"/>
      <c r="F173" s="156"/>
      <c r="G173" s="156"/>
      <c r="H173" s="156"/>
      <c r="I173" s="156"/>
      <c r="J173" s="156"/>
      <c r="K173" s="156"/>
      <c r="L173" s="156"/>
    </row>
    <row r="174" spans="1:12" hidden="1">
      <c r="A174" s="156"/>
      <c r="B174" s="156"/>
      <c r="C174" s="156"/>
      <c r="D174" s="156"/>
      <c r="E174" s="156"/>
      <c r="F174" s="156"/>
      <c r="G174" s="156"/>
      <c r="H174" s="156"/>
      <c r="I174" s="156"/>
      <c r="J174" s="156"/>
      <c r="K174" s="156"/>
      <c r="L174" s="156"/>
    </row>
    <row r="175" spans="1:12" hidden="1">
      <c r="A175" s="156"/>
      <c r="B175" s="156"/>
      <c r="C175" s="156"/>
      <c r="D175" s="156"/>
      <c r="E175" s="156"/>
      <c r="F175" s="156"/>
      <c r="G175" s="156"/>
      <c r="H175" s="156"/>
      <c r="I175" s="156"/>
      <c r="J175" s="156"/>
      <c r="K175" s="156"/>
      <c r="L175" s="156"/>
    </row>
    <row r="176" spans="1:12" hidden="1">
      <c r="A176" s="156"/>
      <c r="B176" s="156"/>
      <c r="C176" s="156"/>
      <c r="D176" s="156"/>
      <c r="E176" s="156"/>
      <c r="F176" s="156"/>
      <c r="G176" s="156"/>
      <c r="H176" s="156"/>
      <c r="I176" s="156"/>
      <c r="J176" s="156"/>
      <c r="K176" s="156"/>
      <c r="L176" s="156"/>
    </row>
    <row r="177" spans="1:12" hidden="1">
      <c r="A177" s="156"/>
      <c r="B177" s="156"/>
      <c r="C177" s="156"/>
      <c r="D177" s="156"/>
      <c r="E177" s="156"/>
      <c r="F177" s="156"/>
      <c r="G177" s="156"/>
      <c r="H177" s="156"/>
      <c r="I177" s="156"/>
      <c r="J177" s="156"/>
      <c r="K177" s="156"/>
      <c r="L177" s="156"/>
    </row>
    <row r="178" spans="1:12" hidden="1">
      <c r="A178" s="156"/>
      <c r="B178" s="156"/>
      <c r="C178" s="156"/>
      <c r="D178" s="156"/>
      <c r="E178" s="156"/>
      <c r="F178" s="156"/>
      <c r="G178" s="156"/>
      <c r="H178" s="156"/>
      <c r="I178" s="156"/>
      <c r="J178" s="156"/>
      <c r="K178" s="156"/>
      <c r="L178" s="156"/>
    </row>
    <row r="179" spans="1:12" hidden="1">
      <c r="A179" s="156"/>
      <c r="B179" s="156"/>
      <c r="C179" s="156"/>
      <c r="D179" s="156"/>
      <c r="E179" s="156"/>
      <c r="F179" s="156"/>
      <c r="G179" s="156"/>
      <c r="H179" s="156"/>
      <c r="I179" s="156"/>
      <c r="J179" s="156"/>
      <c r="K179" s="156"/>
      <c r="L179" s="156"/>
    </row>
    <row r="180" spans="1:12" hidden="1">
      <c r="A180" s="156"/>
      <c r="B180" s="156"/>
      <c r="C180" s="156"/>
      <c r="D180" s="156"/>
      <c r="E180" s="156"/>
      <c r="F180" s="156"/>
      <c r="G180" s="156"/>
      <c r="H180" s="156"/>
      <c r="I180" s="156"/>
      <c r="J180" s="156"/>
      <c r="K180" s="156"/>
      <c r="L180" s="156"/>
    </row>
    <row r="181" spans="1:12" hidden="1">
      <c r="A181" s="156"/>
      <c r="B181" s="156"/>
      <c r="C181" s="156"/>
      <c r="D181" s="156"/>
      <c r="E181" s="156"/>
      <c r="F181" s="156"/>
      <c r="G181" s="156"/>
      <c r="H181" s="156"/>
      <c r="I181" s="156"/>
      <c r="J181" s="156"/>
      <c r="K181" s="156"/>
      <c r="L181" s="156"/>
    </row>
    <row r="182" spans="1:12" hidden="1">
      <c r="A182" s="156"/>
      <c r="B182" s="156"/>
      <c r="C182" s="156"/>
      <c r="D182" s="156"/>
      <c r="E182" s="156"/>
      <c r="F182" s="156"/>
      <c r="G182" s="156"/>
      <c r="H182" s="156"/>
      <c r="I182" s="156"/>
      <c r="J182" s="156"/>
      <c r="K182" s="156"/>
      <c r="L182" s="156"/>
    </row>
    <row r="183" spans="1:12" hidden="1">
      <c r="A183" s="156"/>
      <c r="B183" s="156"/>
      <c r="C183" s="156"/>
      <c r="D183" s="156"/>
      <c r="E183" s="156"/>
      <c r="F183" s="156"/>
      <c r="G183" s="156"/>
      <c r="H183" s="156"/>
      <c r="I183" s="156"/>
      <c r="J183" s="156"/>
      <c r="K183" s="156"/>
      <c r="L183" s="156"/>
    </row>
    <row r="184" spans="1:12" hidden="1">
      <c r="A184" s="156"/>
      <c r="B184" s="156"/>
      <c r="C184" s="156"/>
      <c r="D184" s="156"/>
      <c r="E184" s="156"/>
      <c r="F184" s="156"/>
      <c r="G184" s="156"/>
      <c r="H184" s="156"/>
      <c r="I184" s="156"/>
      <c r="J184" s="156"/>
      <c r="K184" s="156"/>
      <c r="L184" s="156"/>
    </row>
    <row r="185" spans="1:12" hidden="1">
      <c r="A185" s="156"/>
      <c r="B185" s="156"/>
      <c r="C185" s="156"/>
      <c r="D185" s="156"/>
      <c r="E185" s="156"/>
      <c r="F185" s="156"/>
      <c r="G185" s="156"/>
      <c r="H185" s="156"/>
      <c r="I185" s="156"/>
      <c r="J185" s="156"/>
      <c r="K185" s="156"/>
      <c r="L185" s="156"/>
    </row>
    <row r="186" spans="1:12" hidden="1">
      <c r="A186" s="156"/>
      <c r="B186" s="156"/>
      <c r="C186" s="156"/>
      <c r="D186" s="156"/>
      <c r="E186" s="156"/>
      <c r="F186" s="156"/>
      <c r="G186" s="156"/>
      <c r="H186" s="156"/>
      <c r="I186" s="156"/>
      <c r="J186" s="156"/>
      <c r="K186" s="156"/>
      <c r="L186" s="156"/>
    </row>
    <row r="187" spans="1:12" hidden="1">
      <c r="A187" s="156"/>
      <c r="B187" s="156"/>
      <c r="C187" s="156"/>
      <c r="D187" s="156"/>
      <c r="E187" s="156"/>
      <c r="F187" s="156"/>
      <c r="G187" s="156"/>
      <c r="H187" s="156"/>
      <c r="I187" s="156"/>
      <c r="J187" s="156"/>
      <c r="K187" s="156"/>
      <c r="L187" s="156"/>
    </row>
    <row r="188" spans="1:12" hidden="1">
      <c r="A188" s="156"/>
      <c r="B188" s="156"/>
      <c r="C188" s="156"/>
      <c r="D188" s="156"/>
      <c r="E188" s="156"/>
      <c r="F188" s="156"/>
      <c r="G188" s="156"/>
      <c r="H188" s="156"/>
      <c r="I188" s="156"/>
      <c r="J188" s="156"/>
      <c r="K188" s="156"/>
      <c r="L188" s="156"/>
    </row>
    <row r="189" spans="1:12" hidden="1">
      <c r="A189" s="156"/>
      <c r="B189" s="156"/>
      <c r="C189" s="156"/>
      <c r="D189" s="156"/>
      <c r="E189" s="156"/>
      <c r="F189" s="156"/>
      <c r="G189" s="156"/>
      <c r="H189" s="156"/>
      <c r="I189" s="156"/>
      <c r="J189" s="156"/>
      <c r="K189" s="156"/>
      <c r="L189" s="156"/>
    </row>
    <row r="190" spans="1:12" ht="21" hidden="1">
      <c r="A190" s="155"/>
      <c r="B190" s="156"/>
      <c r="C190" s="156"/>
      <c r="D190" s="156"/>
      <c r="E190" s="156"/>
      <c r="F190" s="156"/>
      <c r="G190" s="156"/>
      <c r="H190" s="156"/>
      <c r="I190" s="156"/>
      <c r="J190" s="156"/>
      <c r="K190" s="156"/>
      <c r="L190" s="156"/>
    </row>
    <row r="191" spans="1:12" hidden="1">
      <c r="A191" s="156"/>
      <c r="B191" s="156"/>
      <c r="C191" s="156"/>
      <c r="D191" s="156"/>
      <c r="E191" s="156"/>
      <c r="F191" s="156"/>
      <c r="G191" s="156"/>
      <c r="H191" s="156"/>
      <c r="I191" s="156"/>
      <c r="J191" s="156"/>
      <c r="K191" s="156"/>
      <c r="L191" s="156"/>
    </row>
    <row r="192" spans="1:12" hidden="1">
      <c r="A192" s="156"/>
      <c r="B192" s="167"/>
      <c r="C192" s="156"/>
      <c r="D192" s="156"/>
      <c r="E192" s="156"/>
      <c r="F192" s="156"/>
      <c r="G192" s="156"/>
      <c r="H192" s="156"/>
      <c r="I192" s="156"/>
      <c r="J192" s="156"/>
      <c r="K192" s="156"/>
      <c r="L192" s="156"/>
    </row>
    <row r="193" spans="1:12" hidden="1">
      <c r="A193" s="156"/>
      <c r="B193" s="167"/>
      <c r="C193" s="156"/>
      <c r="D193" s="156"/>
      <c r="E193" s="156"/>
      <c r="F193" s="156"/>
      <c r="G193" s="156"/>
      <c r="H193" s="156"/>
      <c r="I193" s="156"/>
      <c r="J193" s="156"/>
      <c r="K193" s="156"/>
      <c r="L193" s="156"/>
    </row>
    <row r="194" spans="1:12" hidden="1">
      <c r="A194" s="156"/>
      <c r="B194" s="167"/>
      <c r="C194" s="156"/>
      <c r="D194" s="156"/>
      <c r="E194" s="156"/>
      <c r="F194" s="156"/>
      <c r="G194" s="156"/>
      <c r="H194" s="156"/>
      <c r="I194" s="156"/>
      <c r="J194" s="156"/>
      <c r="K194" s="156"/>
      <c r="L194" s="156"/>
    </row>
    <row r="195" spans="1:12" hidden="1">
      <c r="A195" s="156"/>
      <c r="B195" s="167"/>
      <c r="C195" s="156"/>
      <c r="D195" s="156"/>
      <c r="E195" s="156"/>
      <c r="F195" s="156"/>
      <c r="G195" s="156"/>
      <c r="H195" s="156"/>
      <c r="I195" s="156"/>
      <c r="J195" s="156"/>
      <c r="K195" s="156"/>
      <c r="L195" s="156"/>
    </row>
    <row r="196" spans="1:12" hidden="1">
      <c r="A196" s="156"/>
      <c r="B196" s="167"/>
      <c r="C196" s="156"/>
      <c r="D196" s="156"/>
      <c r="E196" s="156"/>
      <c r="F196" s="156"/>
      <c r="G196" s="156"/>
      <c r="H196" s="156"/>
      <c r="I196" s="156"/>
      <c r="J196" s="156"/>
      <c r="K196" s="156"/>
      <c r="L196" s="156"/>
    </row>
  </sheetData>
  <pageMargins left="0.7" right="0.7" top="0.75" bottom="0.75" header="0.3" footer="0.3"/>
  <pageSetup orientation="portrait" horizontalDpi="1200" verticalDpi="1200" r:id="rId1"/>
  <headerFooter>
    <oddHeader>&amp;R&amp;F</oddHeader>
    <oddFooter xml:space="preserve">&amp;C_x000D_&amp;1#&amp;"Aptos"&amp;12&amp;K000000 Public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5594-86D7-4A74-ADC8-CCFD10B340D6}">
  <sheetPr codeName="Sheet3">
    <pageSetUpPr autoPageBreaks="0"/>
  </sheetPr>
  <dimension ref="A1:T111"/>
  <sheetViews>
    <sheetView tabSelected="1" zoomScale="85" zoomScaleNormal="85" workbookViewId="0">
      <selection activeCell="E20" sqref="E20"/>
    </sheetView>
  </sheetViews>
  <sheetFormatPr defaultColWidth="8.81640625" defaultRowHeight="14.5"/>
  <cols>
    <col min="1" max="1" width="5.54296875" style="18" customWidth="1"/>
    <col min="2" max="2" width="25.54296875" style="18" customWidth="1"/>
    <col min="3" max="3" width="18.1796875" style="18" customWidth="1"/>
    <col min="4" max="4" width="23.26953125" style="18" customWidth="1"/>
    <col min="5" max="5" width="18" style="18" customWidth="1"/>
    <col min="6" max="7" width="13.453125" style="18" customWidth="1"/>
    <col min="8" max="8" width="15" style="18" customWidth="1"/>
    <col min="9" max="9" width="15.1796875" style="18" customWidth="1"/>
    <col min="10" max="10" width="17.81640625" style="18" customWidth="1"/>
    <col min="11" max="11" width="18.26953125" style="18" customWidth="1"/>
    <col min="12" max="12" width="18" style="18" customWidth="1"/>
    <col min="13" max="13" width="18.26953125" style="18" customWidth="1"/>
    <col min="14" max="15" width="13.453125" style="18" customWidth="1"/>
    <col min="16" max="16" width="14.81640625" style="18" bestFit="1" customWidth="1"/>
    <col min="17" max="17" width="15" style="18" bestFit="1" customWidth="1"/>
    <col min="18" max="19" width="15.81640625" style="18" customWidth="1"/>
    <col min="20" max="24" width="15.54296875" style="18" customWidth="1"/>
    <col min="25" max="16384" width="8.81640625" style="18"/>
  </cols>
  <sheetData>
    <row r="1" spans="2:18">
      <c r="B1" s="3"/>
    </row>
    <row r="2" spans="2:18">
      <c r="B2" s="13" t="s">
        <v>112</v>
      </c>
      <c r="J2" s="13" t="s">
        <v>113</v>
      </c>
      <c r="K2" s="14"/>
      <c r="L2" s="14"/>
    </row>
    <row r="3" spans="2:18">
      <c r="B3" s="14"/>
      <c r="C3" s="36" t="str">
        <f>"Rate Impact for Year ("&amp;'Incremental Rev Req'!$G$9&amp;" - "&amp;'Incremental Rev Req'!$J$9&amp;")"</f>
        <v>Rate Impact for Year (2026 - 2029)</v>
      </c>
      <c r="D3" s="20">
        <v>2026</v>
      </c>
      <c r="E3" s="14"/>
      <c r="H3" s="19" t="s">
        <v>114</v>
      </c>
      <c r="I3" s="110" t="s">
        <v>115</v>
      </c>
      <c r="J3" s="14" t="s">
        <v>116</v>
      </c>
      <c r="K3" s="16"/>
      <c r="L3" s="237">
        <v>46082</v>
      </c>
    </row>
    <row r="4" spans="2:18">
      <c r="B4" s="17"/>
      <c r="C4" s="37" t="s">
        <v>117</v>
      </c>
      <c r="D4" s="20" t="s">
        <v>118</v>
      </c>
      <c r="H4" s="19" t="s">
        <v>119</v>
      </c>
      <c r="I4" s="20">
        <v>500</v>
      </c>
      <c r="J4" s="14" t="s">
        <v>120</v>
      </c>
      <c r="K4" s="16"/>
      <c r="L4" s="238">
        <f>D3</f>
        <v>2026</v>
      </c>
    </row>
    <row r="5" spans="2:18">
      <c r="J5" s="17" t="s">
        <v>121</v>
      </c>
      <c r="L5" s="239">
        <v>4</v>
      </c>
      <c r="M5" s="17" t="s">
        <v>122</v>
      </c>
    </row>
    <row r="6" spans="2:18" ht="15" thickBot="1">
      <c r="F6" s="38"/>
      <c r="J6" s="17" t="s">
        <v>123</v>
      </c>
      <c r="L6" s="240">
        <v>8</v>
      </c>
      <c r="M6" s="17" t="s">
        <v>122</v>
      </c>
    </row>
    <row r="7" spans="2:18" ht="15" customHeight="1">
      <c r="B7" s="226" t="s">
        <v>124</v>
      </c>
      <c r="C7" s="227"/>
      <c r="D7" s="228" t="s">
        <v>125</v>
      </c>
      <c r="E7" s="229" t="s">
        <v>126</v>
      </c>
      <c r="J7" s="17" t="s">
        <v>127</v>
      </c>
      <c r="L7" s="241" t="s">
        <v>128</v>
      </c>
      <c r="M7" s="21"/>
      <c r="N7" s="14"/>
    </row>
    <row r="8" spans="2:18">
      <c r="B8" s="230" t="s">
        <v>129</v>
      </c>
      <c r="D8" s="38" t="s">
        <v>115</v>
      </c>
      <c r="E8" s="231" t="s">
        <v>130</v>
      </c>
      <c r="F8" s="39"/>
      <c r="J8" s="18" t="s">
        <v>131</v>
      </c>
      <c r="L8" s="242">
        <v>-36.17754594732898</v>
      </c>
      <c r="P8" s="18" t="s">
        <v>132</v>
      </c>
      <c r="Q8" s="18" t="s">
        <v>132</v>
      </c>
    </row>
    <row r="9" spans="2:18">
      <c r="B9" s="230" t="s">
        <v>43</v>
      </c>
      <c r="D9" s="38" t="s">
        <v>115</v>
      </c>
      <c r="E9" s="231" t="s">
        <v>130</v>
      </c>
      <c r="F9" s="39"/>
      <c r="N9" s="18" t="s">
        <v>133</v>
      </c>
      <c r="O9" s="18" t="s">
        <v>134</v>
      </c>
      <c r="P9" s="18" t="s">
        <v>133</v>
      </c>
      <c r="Q9" s="18" t="s">
        <v>134</v>
      </c>
    </row>
    <row r="10" spans="2:18">
      <c r="B10" s="230" t="s">
        <v>135</v>
      </c>
      <c r="D10" s="38" t="s">
        <v>115</v>
      </c>
      <c r="E10" s="231" t="s">
        <v>130</v>
      </c>
      <c r="F10" s="39"/>
      <c r="J10" s="17" t="s">
        <v>136</v>
      </c>
      <c r="N10" s="81">
        <f>IF($D$4="ALL",SUMPRODUCT('Res Bill Impact'!Q$22:Q$31,'Res Bill Impact'!$U$22:$U$31),VLOOKUP(D$4,'Res Bill Impact'!$P$22:$T$31,2,FALSE))</f>
        <v>413.75</v>
      </c>
      <c r="O10" s="81">
        <f>IF($D$4="ALL",SUMPRODUCT('Res Bill Impact'!Y$22:Y$31,'Res Bill Impact'!$AC$22:$AC$31),VLOOKUP($D$4,'Res Bill Impact'!$X$22:$AB$31,2,FALSE))</f>
        <v>401.25</v>
      </c>
      <c r="P10" s="81">
        <f>VLOOKUP($D$4,'Res Bill Impact'!$H$22:$J$31,2,FALSE)</f>
        <v>298.28750000000002</v>
      </c>
      <c r="Q10" s="81">
        <f>VLOOKUP($D$4,'Res Bill Impact'!$L$22:$N$31,2,FALSE)</f>
        <v>258.71875</v>
      </c>
      <c r="R10" s="17" t="s">
        <v>137</v>
      </c>
    </row>
    <row r="11" spans="2:18">
      <c r="B11" s="230" t="s">
        <v>46</v>
      </c>
      <c r="C11" s="38"/>
      <c r="D11" s="38" t="s">
        <v>115</v>
      </c>
      <c r="E11" s="231">
        <v>2027</v>
      </c>
      <c r="F11" s="39"/>
      <c r="J11" s="17" t="s">
        <v>138</v>
      </c>
      <c r="N11" s="81">
        <f>IF($D$4="ALL",SUMPRODUCT('Res Bill Impact'!R$22:R$31,'Res Bill Impact'!$U$22:$U$31),VLOOKUP(D$4,'Res Bill Impact'!$P$22:$T$31,3,FALSE))</f>
        <v>400.625</v>
      </c>
      <c r="O11" s="81">
        <f>IF($D$4="ALL",SUMPRODUCT('Res Bill Impact'!Y$22:Y$31,'Res Bill Impact'!$AC$22:$AC$31),VLOOKUP($D$4,'Res Bill Impact'!$X$22:$AB$31,3,FALSE))</f>
        <v>458</v>
      </c>
      <c r="P11" s="81">
        <f>VLOOKUP($D$4,'Res Bill Impact'!$H$22:$J$31,3,FALSE)</f>
        <v>295.24374999999998</v>
      </c>
      <c r="Q11" s="81">
        <f>VLOOKUP($D$4,'Res Bill Impact'!$L$22:$N$31,3,FALSE)</f>
        <v>444.38749999999999</v>
      </c>
      <c r="R11" s="17" t="s">
        <v>137</v>
      </c>
    </row>
    <row r="12" spans="2:18">
      <c r="B12" s="230" t="s">
        <v>40</v>
      </c>
      <c r="D12" s="38" t="s">
        <v>115</v>
      </c>
      <c r="E12" s="231" t="s">
        <v>139</v>
      </c>
      <c r="F12" s="39"/>
      <c r="J12" s="17" t="s">
        <v>140</v>
      </c>
      <c r="N12" s="81">
        <f>(N10*4)+(N11*8)</f>
        <v>4860</v>
      </c>
      <c r="O12" s="81">
        <f>(O10*4)+(O11*8)</f>
        <v>5269</v>
      </c>
      <c r="P12" s="81">
        <f>(P10*4)+(P11*8)</f>
        <v>3555.1</v>
      </c>
      <c r="Q12" s="81">
        <f>(Q10*4)+(Q11*8)</f>
        <v>4589.9750000000004</v>
      </c>
      <c r="R12" s="17" t="s">
        <v>141</v>
      </c>
    </row>
    <row r="13" spans="2:18">
      <c r="B13" s="230" t="s">
        <v>142</v>
      </c>
      <c r="D13" s="38" t="s">
        <v>115</v>
      </c>
      <c r="E13" s="231">
        <v>2027</v>
      </c>
      <c r="F13" s="39"/>
      <c r="J13" s="17" t="s">
        <v>143</v>
      </c>
      <c r="N13" s="81">
        <f>IF(D$4="ALL",SUMPRODUCT('Res Bill Impact'!S$22:S$31,'Res Bill Impact'!$V$22:$V$31),VLOOKUP(D$4,'Res Bill Impact'!$P$22:$T$31,4,FALSE))</f>
        <v>390.75</v>
      </c>
      <c r="O13" s="81">
        <f>IF($D$4="ALL",SUMPRODUCT('Res Bill Impact'!Y$22:Y$31,'Res Bill Impact'!$AD$22:$AD$31),VLOOKUP($D$4,'Res Bill Impact'!$X$22:$AB$31,4,FALSE))</f>
        <v>376.5</v>
      </c>
      <c r="P13" s="81">
        <f t="shared" ref="P13:Q15" si="0">P10</f>
        <v>298.28750000000002</v>
      </c>
      <c r="Q13" s="81">
        <f t="shared" si="0"/>
        <v>258.71875</v>
      </c>
      <c r="R13" s="17" t="s">
        <v>137</v>
      </c>
    </row>
    <row r="14" spans="2:18">
      <c r="B14" s="230" t="s">
        <v>144</v>
      </c>
      <c r="C14" s="38"/>
      <c r="D14" s="38" t="s">
        <v>115</v>
      </c>
      <c r="E14" s="231">
        <v>2027</v>
      </c>
      <c r="F14" s="39"/>
      <c r="J14" s="17" t="s">
        <v>145</v>
      </c>
      <c r="N14" s="81">
        <f>IF($D$4="ALL",SUMPRODUCT('Res Bill Impact'!T$22:T$31,'Res Bill Impact'!$V$22:$V$31),VLOOKUP(D$4,'Res Bill Impact'!$P$22:$T$31,5,FALSE))</f>
        <v>383</v>
      </c>
      <c r="O14" s="81">
        <f>IF($D$4="ALL",SUMPRODUCT('Res Bill Impact'!Y$22:Y$31,'Res Bill Impact'!$AD$22:$AD$31),VLOOKUP($D$4,'Res Bill Impact'!$X$22:$AB$31,5,FALSE))</f>
        <v>438.5</v>
      </c>
      <c r="P14" s="81">
        <f t="shared" si="0"/>
        <v>295.24374999999998</v>
      </c>
      <c r="Q14" s="81">
        <f t="shared" si="0"/>
        <v>444.38749999999999</v>
      </c>
      <c r="R14" s="17" t="s">
        <v>137</v>
      </c>
    </row>
    <row r="15" spans="2:18">
      <c r="B15" s="230" t="s">
        <v>146</v>
      </c>
      <c r="D15" s="38" t="s">
        <v>115</v>
      </c>
      <c r="E15" s="231" t="s">
        <v>147</v>
      </c>
      <c r="F15" s="39"/>
      <c r="J15" s="17" t="s">
        <v>148</v>
      </c>
      <c r="N15" s="81">
        <f>(N13*4)+(N14*8)</f>
        <v>4627</v>
      </c>
      <c r="O15" s="81">
        <f>(O13*4)+(O14*8)</f>
        <v>5014</v>
      </c>
      <c r="P15" s="81">
        <f t="shared" si="0"/>
        <v>3555.1</v>
      </c>
      <c r="Q15" s="81">
        <f t="shared" si="0"/>
        <v>4589.9750000000004</v>
      </c>
      <c r="R15" s="17" t="s">
        <v>141</v>
      </c>
    </row>
    <row r="16" spans="2:18" ht="24.75" customHeight="1">
      <c r="B16" s="230" t="s">
        <v>149</v>
      </c>
      <c r="D16" s="38" t="s">
        <v>115</v>
      </c>
      <c r="E16" s="231" t="s">
        <v>147</v>
      </c>
      <c r="F16" s="39"/>
      <c r="J16" s="17" t="s">
        <v>150</v>
      </c>
      <c r="N16" s="19"/>
      <c r="P16" s="53" t="str">
        <f>LEFT('Res Bill Impact'!P19,4)</f>
        <v>2025</v>
      </c>
    </row>
    <row r="17" spans="1:20" ht="15" thickBot="1">
      <c r="A17" s="80"/>
      <c r="B17" s="232"/>
      <c r="C17" s="233"/>
      <c r="D17" s="234"/>
      <c r="E17" s="235"/>
      <c r="F17" s="39"/>
      <c r="J17" s="17"/>
      <c r="M17" s="17"/>
    </row>
    <row r="18" spans="1:20">
      <c r="F18" s="39"/>
      <c r="J18" s="17"/>
      <c r="M18" s="17"/>
    </row>
    <row r="19" spans="1:20">
      <c r="F19" s="39"/>
      <c r="J19" s="17"/>
      <c r="M19" s="17"/>
    </row>
    <row r="20" spans="1:20">
      <c r="D20" s="131"/>
      <c r="F20" s="39"/>
      <c r="J20" s="17"/>
      <c r="M20" s="17"/>
    </row>
    <row r="21" spans="1:20">
      <c r="D21" s="38"/>
      <c r="E21" s="38"/>
      <c r="F21" s="39"/>
      <c r="J21" s="17"/>
      <c r="M21" s="17"/>
    </row>
    <row r="22" spans="1:20">
      <c r="F22" s="90"/>
      <c r="J22" s="17"/>
      <c r="M22" s="17"/>
    </row>
    <row r="23" spans="1:20">
      <c r="B23" s="36"/>
      <c r="C23" s="39"/>
      <c r="D23" s="147"/>
      <c r="F23" s="90"/>
      <c r="J23" s="17"/>
      <c r="M23" s="17"/>
      <c r="P23" s="90"/>
    </row>
    <row r="24" spans="1:20">
      <c r="B24" s="13" t="s">
        <v>151</v>
      </c>
      <c r="F24" s="90"/>
      <c r="P24" s="90"/>
    </row>
    <row r="25" spans="1:20" ht="15" thickBot="1">
      <c r="D25" s="46" t="s">
        <v>152</v>
      </c>
      <c r="E25" s="46" t="s">
        <v>153</v>
      </c>
      <c r="F25" s="46" t="s">
        <v>154</v>
      </c>
      <c r="G25" s="46" t="s">
        <v>155</v>
      </c>
      <c r="H25" s="46" t="s">
        <v>156</v>
      </c>
      <c r="I25" s="46" t="s">
        <v>157</v>
      </c>
      <c r="J25" s="46" t="s">
        <v>158</v>
      </c>
      <c r="N25" s="46" t="s">
        <v>152</v>
      </c>
      <c r="O25" s="46" t="s">
        <v>153</v>
      </c>
      <c r="P25" s="46" t="s">
        <v>154</v>
      </c>
      <c r="Q25" s="46" t="s">
        <v>155</v>
      </c>
      <c r="R25" s="46" t="s">
        <v>156</v>
      </c>
      <c r="S25" s="46" t="s">
        <v>157</v>
      </c>
      <c r="T25" s="46" t="s">
        <v>158</v>
      </c>
    </row>
    <row r="26" spans="1:20">
      <c r="B26" s="494" t="s">
        <v>159</v>
      </c>
      <c r="C26" s="495"/>
      <c r="D26" s="495"/>
      <c r="E26" s="495"/>
      <c r="F26" s="495"/>
      <c r="G26" s="495"/>
      <c r="H26" s="495"/>
      <c r="I26" s="495"/>
      <c r="J26" s="496"/>
      <c r="L26" s="497" t="s">
        <v>160</v>
      </c>
      <c r="M26" s="498"/>
      <c r="N26" s="498"/>
      <c r="O26" s="498"/>
      <c r="P26" s="498"/>
      <c r="Q26" s="498"/>
      <c r="R26" s="498"/>
      <c r="S26" s="498"/>
      <c r="T26" s="499"/>
    </row>
    <row r="27" spans="1:20" ht="29">
      <c r="B27" s="500" t="s">
        <v>161</v>
      </c>
      <c r="C27" s="501"/>
      <c r="D27" s="12">
        <v>46023</v>
      </c>
      <c r="E27" s="12">
        <f>L3</f>
        <v>46082</v>
      </c>
      <c r="F27" s="15" t="str">
        <f>$D$3&amp;" Authorized"</f>
        <v>2026 Authorized</v>
      </c>
      <c r="G27" s="15" t="str">
        <f>$D$3&amp;" w/Pending"</f>
        <v>2026 w/Pending</v>
      </c>
      <c r="H27" s="61" t="str">
        <f>"% Change over "&amp;TEXT(D27,"mm/d/yyy")</f>
        <v>% Change over 01/1/2026</v>
      </c>
      <c r="I27" s="61" t="str">
        <f>"% Change over "&amp;TEXT(L3,"mm/d/yyy")</f>
        <v>% Change over 03/1/2026</v>
      </c>
      <c r="J27" s="57" t="s">
        <v>162</v>
      </c>
      <c r="L27" s="502" t="s">
        <v>161</v>
      </c>
      <c r="M27" s="503"/>
      <c r="N27" s="12">
        <f>$D$27</f>
        <v>46023</v>
      </c>
      <c r="O27" s="12">
        <f>$E$27</f>
        <v>46082</v>
      </c>
      <c r="P27" s="15" t="str">
        <f>$D$3&amp;" Authorized"</f>
        <v>2026 Authorized</v>
      </c>
      <c r="Q27" s="15" t="str">
        <f>$D$3&amp;" w/Pending"</f>
        <v>2026 w/Pending</v>
      </c>
      <c r="R27" s="15" t="str">
        <f>$H$27</f>
        <v>% Change over 01/1/2026</v>
      </c>
      <c r="S27" s="15" t="str">
        <f>$I$27</f>
        <v>% Change over 03/1/2026</v>
      </c>
      <c r="T27" s="57" t="s">
        <v>162</v>
      </c>
    </row>
    <row r="28" spans="1:20">
      <c r="B28" s="504" t="s">
        <v>163</v>
      </c>
      <c r="C28" s="505"/>
      <c r="D28" s="131">
        <f>IF($I$3="Y", 'SAR and RAR'!AB45, 'SAR and RAR'!AC45)</f>
        <v>33.674121802021645</v>
      </c>
      <c r="E28" s="22">
        <f>IF($I$3="Y", 'SAR and RAR'!AB50, 'SAR and RAR'!AC50)</f>
        <v>32.340654762006949</v>
      </c>
      <c r="F28" s="22">
        <f>'SAR and RAR'!$H$28</f>
        <v>32.412099485578167</v>
      </c>
      <c r="G28" s="22">
        <f>'SAR and RAR'!$I$28</f>
        <v>32.883287423998006</v>
      </c>
      <c r="H28" s="23">
        <f t="shared" ref="H28:I30" si="1">$G28/D28-1</f>
        <v>-2.348492954539827E-2</v>
      </c>
      <c r="I28" s="23">
        <f t="shared" si="1"/>
        <v>1.6778654173338792E-2</v>
      </c>
      <c r="J28" s="24">
        <f t="shared" ref="J28:J29" si="2">$G28/F28-1</f>
        <v>1.4537408742358426E-2</v>
      </c>
      <c r="L28" s="504" t="s">
        <v>164</v>
      </c>
      <c r="M28" s="505"/>
      <c r="N28" s="22">
        <f>IF($I$3="Y", 'SAR and RAR'!AE45, 'SAR and RAR'!AF45)</f>
        <v>30.486135087914555</v>
      </c>
      <c r="O28" s="22">
        <f>IF($I$3="Y", 'SAR and RAR'!AE50, 'SAR and RAR'!AF50)</f>
        <v>29.788022651798478</v>
      </c>
      <c r="P28" s="22">
        <f>'SAR and RAR'!$R$28</f>
        <v>29.907370355813107</v>
      </c>
      <c r="Q28" s="22">
        <f>'SAR and RAR'!$S$28</f>
        <v>30.527887580915554</v>
      </c>
      <c r="R28" s="23">
        <f t="shared" ref="R28:T29" si="3">$Q28/N28-1</f>
        <v>1.3695567798475139E-3</v>
      </c>
      <c r="S28" s="23">
        <f t="shared" si="3"/>
        <v>2.4837665049660673E-2</v>
      </c>
      <c r="T28" s="24">
        <f t="shared" si="3"/>
        <v>2.0747970072930055E-2</v>
      </c>
    </row>
    <row r="29" spans="1:20">
      <c r="B29" s="105"/>
      <c r="C29" s="106" t="s">
        <v>165</v>
      </c>
      <c r="D29" s="107">
        <f>IF($I$3="Y", 'SAR and RAR (B-1)'!AB47,'SAR and RAR (B-1)'!AC47)</f>
        <v>41.443190323578825</v>
      </c>
      <c r="E29" s="236">
        <f>IF($I$3="Y", 'SAR and RAR (B-1)'!AB52,'SAR and RAR (B-1)'!AC52)</f>
        <v>40.73713053702604</v>
      </c>
      <c r="F29" s="107">
        <f>'SAR and RAR (B-1)'!H28</f>
        <v>40.125896662126657</v>
      </c>
      <c r="G29" s="107">
        <f>'SAR and RAR (B-1)'!I28</f>
        <v>40.755483708034461</v>
      </c>
      <c r="H29" s="23">
        <f t="shared" si="1"/>
        <v>-1.6593959349531451E-2</v>
      </c>
      <c r="I29" s="23">
        <f t="shared" si="1"/>
        <v>4.5052684777924235E-4</v>
      </c>
      <c r="J29" s="24">
        <f t="shared" si="2"/>
        <v>1.5690292262105388E-2</v>
      </c>
      <c r="L29" s="105"/>
      <c r="M29" s="106" t="s">
        <v>165</v>
      </c>
      <c r="N29" s="107">
        <f>IF($I$3="Y",'SAR and RAR (B-1)'!AE47,'SAR and RAR (B-1)'!AF47)</f>
        <v>35.574773392062006</v>
      </c>
      <c r="O29" s="107">
        <f>IF($I$3="Y", 'SAR and RAR (B-1)'!AE52,'SAR and RAR (B-1)'!AF52)</f>
        <v>34.868791397863305</v>
      </c>
      <c r="P29" s="107">
        <f>'SAR and RAR (B-1)'!R28</f>
        <v>34.252392476114437</v>
      </c>
      <c r="Q29" s="107">
        <f>'SAR and RAR (B-1)'!S28</f>
        <v>35.007293970668755</v>
      </c>
      <c r="R29" s="23">
        <f t="shared" si="3"/>
        <v>-1.5951736786603887E-2</v>
      </c>
      <c r="S29" s="23">
        <f t="shared" si="3"/>
        <v>3.9721070691867144E-3</v>
      </c>
      <c r="T29" s="24">
        <f t="shared" si="3"/>
        <v>2.2039380025227207E-2</v>
      </c>
    </row>
    <row r="30" spans="1:20" ht="15" thickBot="1">
      <c r="B30" s="492" t="s">
        <v>166</v>
      </c>
      <c r="C30" s="493"/>
      <c r="D30" s="145">
        <f>IF($I$3="Y", 'SAR and RAR'!AB46, 'SAR and RAR'!AC46)</f>
        <v>33.416008222733581</v>
      </c>
      <c r="E30" s="25">
        <f>IF($I$3="Y", 'SAR and RAR'!AB51, 'SAR and RAR'!AC51)</f>
        <v>32.596708001946226</v>
      </c>
      <c r="F30" s="25">
        <f>'SAR and RAR'!$H$29</f>
        <v>32.024386871414897</v>
      </c>
      <c r="G30" s="25">
        <f>'SAR and RAR'!$I$29</f>
        <v>32.476834812788681</v>
      </c>
      <c r="H30" s="26">
        <f t="shared" si="1"/>
        <v>-2.8105493740750331E-2</v>
      </c>
      <c r="I30" s="26">
        <f t="shared" si="1"/>
        <v>-3.6774630478141335E-3</v>
      </c>
      <c r="J30" s="27">
        <f>$G30/F30-1</f>
        <v>1.4128231188015095E-2</v>
      </c>
      <c r="L30" s="492" t="s">
        <v>167</v>
      </c>
      <c r="M30" s="493"/>
      <c r="N30" s="25">
        <f>IF($I$3="Y", 'SAR and RAR'!AE46, 'SAR and RAR'!AF46)</f>
        <v>27.143640625458705</v>
      </c>
      <c r="O30" s="25">
        <f>IF($I$3="Y", 'SAR and RAR'!AE51, 'SAR and RAR'!AF51)</f>
        <v>26.65073540105055</v>
      </c>
      <c r="P30" s="25">
        <f>'SAR and RAR'!$R$29</f>
        <v>26.398617994642535</v>
      </c>
      <c r="Q30" s="25">
        <f>'SAR and RAR'!$S$29</f>
        <v>26.95742298340819</v>
      </c>
      <c r="R30" s="26">
        <f>$Q30/N30-1</f>
        <v>-6.8604519423182131E-3</v>
      </c>
      <c r="S30" s="26">
        <f>$Q30/O30-1</f>
        <v>1.1507659272529835E-2</v>
      </c>
      <c r="T30" s="27">
        <f>$Q30/P30-1</f>
        <v>2.1167963750188035E-2</v>
      </c>
    </row>
    <row r="32" spans="1:20" ht="15" thickBot="1"/>
    <row r="33" spans="2:20">
      <c r="B33" s="487" t="s">
        <v>168</v>
      </c>
      <c r="C33" s="488"/>
      <c r="D33" s="488"/>
      <c r="E33" s="488"/>
      <c r="F33" s="488"/>
      <c r="G33" s="488"/>
      <c r="H33" s="488"/>
      <c r="I33" s="488"/>
      <c r="J33" s="489"/>
      <c r="L33" s="487" t="s">
        <v>169</v>
      </c>
      <c r="M33" s="488"/>
      <c r="N33" s="488"/>
      <c r="O33" s="488"/>
      <c r="P33" s="488"/>
      <c r="Q33" s="488"/>
      <c r="R33" s="488"/>
      <c r="S33" s="488"/>
      <c r="T33" s="489"/>
    </row>
    <row r="34" spans="2:20" ht="29">
      <c r="B34" s="28"/>
      <c r="C34" s="29"/>
      <c r="D34" s="12">
        <f>$D$27</f>
        <v>46023</v>
      </c>
      <c r="E34" s="12">
        <f>$E$27</f>
        <v>46082</v>
      </c>
      <c r="F34" s="15" t="str">
        <f>$D$3&amp;" Authorized"</f>
        <v>2026 Authorized</v>
      </c>
      <c r="G34" s="15" t="str">
        <f>$D$3&amp;" w/Pending"</f>
        <v>2026 w/Pending</v>
      </c>
      <c r="H34" s="15" t="str">
        <f>$H$27</f>
        <v>% Change over 01/1/2026</v>
      </c>
      <c r="I34" s="15" t="str">
        <f>$I$27</f>
        <v>% Change over 03/1/2026</v>
      </c>
      <c r="J34" s="57" t="s">
        <v>162</v>
      </c>
      <c r="L34" s="28"/>
      <c r="M34" s="29"/>
      <c r="N34" s="12">
        <f>$D$27</f>
        <v>46023</v>
      </c>
      <c r="O34" s="12">
        <f>$E$27</f>
        <v>46082</v>
      </c>
      <c r="P34" s="15" t="str">
        <f>$D$3&amp;" Authorized"</f>
        <v>2026 Authorized</v>
      </c>
      <c r="Q34" s="15" t="str">
        <f>$D$3&amp;" w/Pending"</f>
        <v>2026 w/Pending</v>
      </c>
      <c r="R34" s="15" t="str">
        <f>$H$27</f>
        <v>% Change over 01/1/2026</v>
      </c>
      <c r="S34" s="15" t="str">
        <f>$I$27</f>
        <v>% Change over 03/1/2026</v>
      </c>
      <c r="T34" s="57" t="s">
        <v>162</v>
      </c>
    </row>
    <row r="35" spans="2:20">
      <c r="B35" s="490" t="s">
        <v>59</v>
      </c>
      <c r="C35" s="491"/>
      <c r="D35" s="30">
        <f t="shared" ref="D35:G36" si="4">((D42*4)+(D49*8)+($L$8*2))/12</f>
        <v>157.62058684211183</v>
      </c>
      <c r="E35" s="30">
        <f t="shared" si="4"/>
        <v>158.84555228996908</v>
      </c>
      <c r="F35" s="30">
        <f t="shared" si="4"/>
        <v>160.64700080702096</v>
      </c>
      <c r="G35" s="30">
        <f t="shared" si="4"/>
        <v>162.82581115407214</v>
      </c>
      <c r="H35" s="31">
        <f t="shared" ref="H35:I37" si="5">$G35/D35-1</f>
        <v>3.3023759245195405E-2</v>
      </c>
      <c r="I35" s="58">
        <f t="shared" si="5"/>
        <v>2.5057414618932405E-2</v>
      </c>
      <c r="J35" s="32">
        <f t="shared" ref="J35:J37" si="6">$G35/F35-1</f>
        <v>1.3562720350244861E-2</v>
      </c>
      <c r="L35" s="490" t="s">
        <v>59</v>
      </c>
      <c r="M35" s="491"/>
      <c r="N35" s="30">
        <f t="shared" ref="N35:Q36" si="7">((N42*4)+(N49*8)+($L$8*2))/12</f>
        <v>165.52811246711187</v>
      </c>
      <c r="O35" s="30">
        <f t="shared" si="7"/>
        <v>165.69785337644797</v>
      </c>
      <c r="P35" s="30">
        <f t="shared" si="7"/>
        <v>167.58701946367117</v>
      </c>
      <c r="Q35" s="30">
        <f t="shared" si="7"/>
        <v>169.87192218455277</v>
      </c>
      <c r="R35" s="82">
        <f t="shared" ref="R35:T37" si="8">$Q35/N35-1</f>
        <v>2.6242126806731658E-2</v>
      </c>
      <c r="S35" s="82">
        <f t="shared" si="8"/>
        <v>2.5190844196525397E-2</v>
      </c>
      <c r="T35" s="32">
        <f t="shared" si="8"/>
        <v>1.3634127083314462E-2</v>
      </c>
    </row>
    <row r="36" spans="2:20">
      <c r="B36" s="490" t="s">
        <v>60</v>
      </c>
      <c r="C36" s="491"/>
      <c r="D36" s="30">
        <f t="shared" si="4"/>
        <v>88.300450925445162</v>
      </c>
      <c r="E36" s="30">
        <f t="shared" si="4"/>
        <v>82.304140529387197</v>
      </c>
      <c r="F36" s="30">
        <f t="shared" si="4"/>
        <v>83.358109813716041</v>
      </c>
      <c r="G36" s="30">
        <f t="shared" si="4"/>
        <v>84.63286130421541</v>
      </c>
      <c r="H36" s="31">
        <f t="shared" si="5"/>
        <v>-4.1535344188971535E-2</v>
      </c>
      <c r="I36" s="31">
        <f t="shared" si="5"/>
        <v>2.8294090186103515E-2</v>
      </c>
      <c r="J36" s="32">
        <f t="shared" si="6"/>
        <v>1.52924711626512E-2</v>
      </c>
      <c r="L36" s="490" t="s">
        <v>60</v>
      </c>
      <c r="M36" s="491"/>
      <c r="N36" s="30">
        <f t="shared" si="7"/>
        <v>92.613175779611836</v>
      </c>
      <c r="O36" s="30">
        <f t="shared" si="7"/>
        <v>86.146169055757255</v>
      </c>
      <c r="P36" s="30">
        <f t="shared" si="7"/>
        <v>87.249320855945896</v>
      </c>
      <c r="Q36" s="30">
        <f t="shared" si="7"/>
        <v>88.583557462692013</v>
      </c>
      <c r="R36" s="82">
        <f t="shared" si="8"/>
        <v>-4.3510205572789729E-2</v>
      </c>
      <c r="S36" s="82">
        <f t="shared" si="8"/>
        <v>2.8293636660234878E-2</v>
      </c>
      <c r="T36" s="32">
        <f t="shared" si="8"/>
        <v>1.5292229138941016E-2</v>
      </c>
    </row>
    <row r="37" spans="2:20" ht="15" thickBot="1">
      <c r="B37" s="492" t="s">
        <v>170</v>
      </c>
      <c r="C37" s="493"/>
      <c r="D37" s="33">
        <f>((D44*4)+(D51*8)+($L$8*2))/12</f>
        <v>138.87287098564079</v>
      </c>
      <c r="E37" s="33">
        <f>((E44*4)+(E51*8)+($L$8*2))/12</f>
        <v>138.14483351663023</v>
      </c>
      <c r="F37" s="33">
        <f>((F44*4)+(F51*8)+($L$8*2))/12</f>
        <v>139.74412535758225</v>
      </c>
      <c r="G37" s="33">
        <f>((G44*4)+(G51*8)+($L$8*2))/12</f>
        <v>141.678431877051</v>
      </c>
      <c r="H37" s="34">
        <f t="shared" si="5"/>
        <v>2.0202368335139331E-2</v>
      </c>
      <c r="I37" s="34">
        <f t="shared" si="5"/>
        <v>2.5578939656801358E-2</v>
      </c>
      <c r="J37" s="35">
        <f t="shared" si="6"/>
        <v>1.384177341637205E-2</v>
      </c>
      <c r="L37" s="492" t="s">
        <v>170</v>
      </c>
      <c r="M37" s="493"/>
      <c r="N37" s="33">
        <f>((N44*4)+(N51*8)+($L$8*2))/12</f>
        <v>145.80817832917023</v>
      </c>
      <c r="O37" s="33">
        <f>((O44*4)+(O51*8)+($L$8*2))/12</f>
        <v>144.1830026937993</v>
      </c>
      <c r="P37" s="33">
        <f>((P44*4)+(P51*8)+($L$8*2))/12</f>
        <v>145.85959025217824</v>
      </c>
      <c r="Q37" s="33">
        <f>((Q44*4)+(Q51*8)+($L$8*2))/12</f>
        <v>147.88738415544856</v>
      </c>
      <c r="R37" s="84">
        <f t="shared" si="8"/>
        <v>1.4259871086136133E-2</v>
      </c>
      <c r="S37" s="84">
        <f t="shared" si="8"/>
        <v>2.569222025092821E-2</v>
      </c>
      <c r="T37" s="51">
        <f t="shared" si="8"/>
        <v>1.3902369393499869E-2</v>
      </c>
    </row>
    <row r="38" spans="2:20">
      <c r="B38" s="36"/>
      <c r="C38" s="36"/>
      <c r="D38" s="77"/>
      <c r="E38" s="77"/>
      <c r="F38" s="77"/>
      <c r="G38" s="77"/>
      <c r="H38" s="78"/>
      <c r="I38" s="78"/>
      <c r="J38" s="78"/>
      <c r="L38" s="36"/>
      <c r="M38" s="36"/>
      <c r="N38" s="77"/>
      <c r="O38" s="77"/>
      <c r="P38" s="77"/>
      <c r="Q38" s="77"/>
      <c r="R38" s="78"/>
      <c r="S38" s="78"/>
      <c r="T38" s="78"/>
    </row>
    <row r="39" spans="2:20" ht="15" thickBot="1">
      <c r="D39" s="18">
        <v>2</v>
      </c>
      <c r="E39" s="18">
        <v>4</v>
      </c>
      <c r="F39" s="18">
        <v>6</v>
      </c>
      <c r="G39" s="18">
        <v>8</v>
      </c>
      <c r="N39" s="18">
        <v>2</v>
      </c>
      <c r="O39" s="18">
        <v>4</v>
      </c>
      <c r="P39" s="18">
        <v>6</v>
      </c>
      <c r="Q39" s="18">
        <v>8</v>
      </c>
    </row>
    <row r="40" spans="2:20">
      <c r="B40" s="487" t="s">
        <v>171</v>
      </c>
      <c r="C40" s="488"/>
      <c r="D40" s="488"/>
      <c r="E40" s="488"/>
      <c r="F40" s="488"/>
      <c r="G40" s="488"/>
      <c r="H40" s="488"/>
      <c r="I40" s="488"/>
      <c r="J40" s="489"/>
      <c r="L40" s="487" t="s">
        <v>172</v>
      </c>
      <c r="M40" s="488"/>
      <c r="N40" s="488"/>
      <c r="O40" s="488"/>
      <c r="P40" s="488"/>
      <c r="Q40" s="488"/>
      <c r="R40" s="488"/>
      <c r="S40" s="488"/>
      <c r="T40" s="489"/>
    </row>
    <row r="41" spans="2:20" ht="29">
      <c r="B41" s="28"/>
      <c r="C41" s="29"/>
      <c r="D41" s="12">
        <f>$D$27</f>
        <v>46023</v>
      </c>
      <c r="E41" s="12">
        <f>$E$27</f>
        <v>46082</v>
      </c>
      <c r="F41" s="15" t="str">
        <f>$D$3&amp;" Authorized"</f>
        <v>2026 Authorized</v>
      </c>
      <c r="G41" s="15" t="str">
        <f>$D$3&amp;" w/Pending"</f>
        <v>2026 w/Pending</v>
      </c>
      <c r="H41" s="15" t="str">
        <f>$H$27</f>
        <v>% Change over 01/1/2026</v>
      </c>
      <c r="I41" s="15" t="str">
        <f>$I$27</f>
        <v>% Change over 03/1/2026</v>
      </c>
      <c r="J41" s="57" t="s">
        <v>162</v>
      </c>
      <c r="L41" s="28"/>
      <c r="M41" s="29"/>
      <c r="N41" s="12">
        <f>$D$27</f>
        <v>46023</v>
      </c>
      <c r="O41" s="12">
        <f>$E$27</f>
        <v>46082</v>
      </c>
      <c r="P41" s="15" t="str">
        <f>$D$3&amp;" Authorized"</f>
        <v>2026 Authorized</v>
      </c>
      <c r="Q41" s="15" t="str">
        <f>$D$3&amp;" w/Pending"</f>
        <v>2026 w/Pending</v>
      </c>
      <c r="R41" s="15" t="str">
        <f>$H$27</f>
        <v>% Change over 01/1/2026</v>
      </c>
      <c r="S41" s="15" t="str">
        <f>$I$27</f>
        <v>% Change over 03/1/2026</v>
      </c>
      <c r="T41" s="57" t="s">
        <v>162</v>
      </c>
    </row>
    <row r="42" spans="2:20">
      <c r="B42" s="490" t="s">
        <v>59</v>
      </c>
      <c r="C42" s="491"/>
      <c r="D42" s="30">
        <f>VLOOKUP($D$4,'Res Bill Impact'!$B$38:$J$48,D39,FALSE)</f>
        <v>167.60400525</v>
      </c>
      <c r="E42" s="30">
        <f>VLOOKUP($D$4,'Res Bill Impact'!$B$38:$J$48,E39,FALSE)</f>
        <v>168.27135249361035</v>
      </c>
      <c r="F42" s="30">
        <f>VLOOKUP($D$4,'Res Bill Impact'!$B$38:$J$48,F39,FALSE)</f>
        <v>170.11627651124914</v>
      </c>
      <c r="G42" s="30">
        <f>VLOOKUP($D$4,'Res Bill Impact'!$B$38:$J$48,G39,FALSE)</f>
        <v>172.34766947147261</v>
      </c>
      <c r="H42" s="31">
        <f t="shared" ref="H42:I44" si="9">$G42/D42-1</f>
        <v>2.8302809437023457E-2</v>
      </c>
      <c r="I42" s="31">
        <f t="shared" si="9"/>
        <v>2.4224664017109099E-2</v>
      </c>
      <c r="J42" s="32">
        <f t="shared" ref="J42:J44" si="10">$G42/F42-1</f>
        <v>1.3116869273093412E-2</v>
      </c>
      <c r="L42" s="490" t="s">
        <v>59</v>
      </c>
      <c r="M42" s="491"/>
      <c r="N42" s="30">
        <f>VLOOKUP($D$4,'Res Bill Impact'!$L$38:$T$48,N39,FALSE)</f>
        <v>165.46352687500001</v>
      </c>
      <c r="O42" s="30">
        <f>VLOOKUP($D$4,'Res Bill Impact'!$L$38:$T$48,O39,FALSE)</f>
        <v>166.40466729141079</v>
      </c>
      <c r="P42" s="85">
        <f>VLOOKUP($D$4,'Res Bill Impact'!$L$38:$T$48,P39,FALSE)</f>
        <v>168.22569552745082</v>
      </c>
      <c r="Q42" s="85">
        <f>VLOOKUP($D$4,'Res Bill Impact'!$L$38:$T$48,Q39,FALSE)</f>
        <v>170.42818709209985</v>
      </c>
      <c r="R42" s="82">
        <f t="shared" ref="R42:T44" si="11">$Q42/N42-1</f>
        <v>3.0004559378517426E-2</v>
      </c>
      <c r="S42" s="82">
        <f t="shared" si="11"/>
        <v>2.4179128303192465E-2</v>
      </c>
      <c r="T42" s="32">
        <f t="shared" si="11"/>
        <v>1.3092480062236511E-2</v>
      </c>
    </row>
    <row r="43" spans="2:20">
      <c r="B43" s="490" t="s">
        <v>60</v>
      </c>
      <c r="C43" s="491"/>
      <c r="D43" s="30">
        <f>VLOOKUP($D$4,'Res Bill Impact'!$B$54:$J$64,D39,FALSE)</f>
        <v>95.714673625000003</v>
      </c>
      <c r="E43" s="30">
        <f>VLOOKUP($D$4,'Res Bill Impact'!$B$54:$J$64,E39,FALSE)</f>
        <v>89.539651320440711</v>
      </c>
      <c r="F43" s="30">
        <f>VLOOKUP($D$4,'Res Bill Impact'!$B$54:$J$64,F39,FALSE)</f>
        <v>90.609057806569027</v>
      </c>
      <c r="G43" s="30">
        <f>VLOOKUP($D$4,'Res Bill Impact'!$B$54:$J$64,G39,FALSE)</f>
        <v>91.902480235866733</v>
      </c>
      <c r="H43" s="31">
        <f t="shared" si="9"/>
        <v>-3.982872473732757E-2</v>
      </c>
      <c r="I43" s="31">
        <f t="shared" si="9"/>
        <v>2.638863208178055E-2</v>
      </c>
      <c r="J43" s="32">
        <f t="shared" si="10"/>
        <v>1.4274758623568085E-2</v>
      </c>
      <c r="L43" s="490" t="s">
        <v>60</v>
      </c>
      <c r="M43" s="491"/>
      <c r="N43" s="30">
        <f>VLOOKUP($D$4,'Res Bill Impact'!$L$54:$T$64,N39,FALSE)</f>
        <v>94.007820312500002</v>
      </c>
      <c r="O43" s="30">
        <f>VLOOKUP($D$4,'Res Bill Impact'!$L$54:$T$64,O39,FALSE)</f>
        <v>88.011180309942446</v>
      </c>
      <c r="P43" s="85">
        <f>VLOOKUP($D$4,'Res Bill Impact'!$L$54:$T$64,P39,FALSE)</f>
        <v>89.061020556726334</v>
      </c>
      <c r="Q43" s="85">
        <f>VLOOKUP($D$4,'Res Bill Impact'!$L$54:$T$64,Q39,FALSE)</f>
        <v>90.330778071743666</v>
      </c>
      <c r="R43" s="82">
        <f t="shared" si="11"/>
        <v>-3.9114216546380365E-2</v>
      </c>
      <c r="S43" s="82">
        <f t="shared" si="11"/>
        <v>2.6355717008139878E-2</v>
      </c>
      <c r="T43" s="32">
        <f t="shared" si="11"/>
        <v>1.425716331432092E-2</v>
      </c>
    </row>
    <row r="44" spans="2:20" ht="15" thickBot="1">
      <c r="B44" s="492" t="s">
        <v>170</v>
      </c>
      <c r="C44" s="493"/>
      <c r="D44" s="33">
        <f>D42*(1-'SAR and RAR'!$AB$16)+D43*'SAR and RAR'!$AB$16</f>
        <v>148.16144726025036</v>
      </c>
      <c r="E44" s="33">
        <f>E42*(1-'SAR and RAR'!$AB$16)+E43*'SAR and RAR'!$AB$16</f>
        <v>146.97826725982492</v>
      </c>
      <c r="F44" s="33">
        <f>F42*(1-'SAR and RAR'!$AB$16)+F43*'SAR and RAR'!$AB$16</f>
        <v>148.61345160903682</v>
      </c>
      <c r="G44" s="33">
        <f>G42*(1-'SAR and RAR'!$AB$16)+G43*'SAR and RAR'!$AB$16</f>
        <v>150.59116928771323</v>
      </c>
      <c r="H44" s="34">
        <f t="shared" si="9"/>
        <v>1.6399151549829183E-2</v>
      </c>
      <c r="I44" s="34">
        <f t="shared" si="9"/>
        <v>2.4581198943524729E-2</v>
      </c>
      <c r="J44" s="35">
        <f t="shared" si="10"/>
        <v>1.3307797223358175E-2</v>
      </c>
      <c r="L44" s="492" t="s">
        <v>170</v>
      </c>
      <c r="M44" s="493"/>
      <c r="N44" s="33">
        <f>N42*(1-'SAR and RAR'!$AB$16)+N43*'SAR and RAR'!$AB$16</f>
        <v>146.13824331572417</v>
      </c>
      <c r="O44" s="33">
        <f>O42*(1-'SAR and RAR'!$AB$16)+O43*'SAR and RAR'!$AB$16</f>
        <v>145.2030525009647</v>
      </c>
      <c r="P44" s="83">
        <f>P42*(1-'SAR and RAR'!$AB$16)+P43*'SAR and RAR'!$AB$16</f>
        <v>146.8155119985955</v>
      </c>
      <c r="Q44" s="83">
        <f>Q42*(1-'SAR and RAR'!$AB$16)+Q43*'SAR and RAR'!$AB$16</f>
        <v>148.7657444944918</v>
      </c>
      <c r="R44" s="84">
        <f t="shared" si="11"/>
        <v>1.7979559074697837E-2</v>
      </c>
      <c r="S44" s="84">
        <f t="shared" si="11"/>
        <v>2.4535930424075758E-2</v>
      </c>
      <c r="T44" s="51">
        <f t="shared" si="11"/>
        <v>1.3283558864781053E-2</v>
      </c>
    </row>
    <row r="45" spans="2:20">
      <c r="B45" s="36"/>
      <c r="C45" s="36"/>
      <c r="D45" s="77"/>
      <c r="E45" s="77"/>
      <c r="F45" s="77"/>
      <c r="G45" s="77"/>
      <c r="H45" s="78"/>
      <c r="I45" s="78"/>
      <c r="J45" s="78"/>
      <c r="L45" s="36"/>
      <c r="M45" s="36"/>
      <c r="N45" s="77"/>
      <c r="O45" s="77"/>
      <c r="P45" s="77"/>
      <c r="Q45" s="77"/>
      <c r="R45" s="78"/>
      <c r="S45" s="78"/>
      <c r="T45" s="78"/>
    </row>
    <row r="46" spans="2:20" ht="15" thickBot="1">
      <c r="D46" s="18">
        <v>3</v>
      </c>
      <c r="E46" s="18">
        <v>5</v>
      </c>
      <c r="F46" s="18">
        <v>7</v>
      </c>
      <c r="G46" s="18">
        <v>9</v>
      </c>
      <c r="N46" s="18">
        <v>3</v>
      </c>
      <c r="O46" s="18">
        <v>5</v>
      </c>
      <c r="P46" s="18">
        <v>7</v>
      </c>
      <c r="Q46" s="18">
        <v>9</v>
      </c>
    </row>
    <row r="47" spans="2:20">
      <c r="B47" s="487" t="s">
        <v>173</v>
      </c>
      <c r="C47" s="488"/>
      <c r="D47" s="488"/>
      <c r="E47" s="488"/>
      <c r="F47" s="488"/>
      <c r="G47" s="488"/>
      <c r="H47" s="488"/>
      <c r="I47" s="488"/>
      <c r="J47" s="489"/>
      <c r="L47" s="487" t="s">
        <v>174</v>
      </c>
      <c r="M47" s="488"/>
      <c r="N47" s="488"/>
      <c r="O47" s="488"/>
      <c r="P47" s="488"/>
      <c r="Q47" s="488"/>
      <c r="R47" s="488"/>
      <c r="S47" s="488"/>
      <c r="T47" s="489"/>
    </row>
    <row r="48" spans="2:20" ht="29">
      <c r="B48" s="28"/>
      <c r="C48" s="29"/>
      <c r="D48" s="12">
        <f>$D$27</f>
        <v>46023</v>
      </c>
      <c r="E48" s="12">
        <f>$E$27</f>
        <v>46082</v>
      </c>
      <c r="F48" s="15" t="str">
        <f>$D$3&amp;" Authorized"</f>
        <v>2026 Authorized</v>
      </c>
      <c r="G48" s="15" t="str">
        <f>$D$3&amp;" w/Pending"</f>
        <v>2026 w/Pending</v>
      </c>
      <c r="H48" s="15" t="str">
        <f>$H$27</f>
        <v>% Change over 01/1/2026</v>
      </c>
      <c r="I48" s="15" t="str">
        <f>$I$27</f>
        <v>% Change over 03/1/2026</v>
      </c>
      <c r="J48" s="57" t="s">
        <v>162</v>
      </c>
      <c r="L48" s="28"/>
      <c r="M48" s="29"/>
      <c r="N48" s="12">
        <f>$D$27</f>
        <v>46023</v>
      </c>
      <c r="O48" s="12">
        <f>$E$27</f>
        <v>46082</v>
      </c>
      <c r="P48" s="15" t="str">
        <f>$D$3&amp;" Authorized"</f>
        <v>2026 Authorized</v>
      </c>
      <c r="Q48" s="15" t="str">
        <f>$D$3&amp;" w/Pending"</f>
        <v>2026 w/Pending</v>
      </c>
      <c r="R48" s="15" t="str">
        <f>$H$27</f>
        <v>% Change over 01/1/2026</v>
      </c>
      <c r="S48" s="15" t="str">
        <f>$I$27</f>
        <v>% Change over 03/1/2026</v>
      </c>
      <c r="T48" s="57" t="s">
        <v>162</v>
      </c>
    </row>
    <row r="49" spans="2:20">
      <c r="B49" s="490" t="s">
        <v>59</v>
      </c>
      <c r="C49" s="491"/>
      <c r="D49" s="30">
        <f>VLOOKUP($D$4,'Res Bill Impact'!$B$38:$J$48,D46,FALSE)</f>
        <v>161.673264125</v>
      </c>
      <c r="E49" s="30">
        <f>VLOOKUP($D$4,'Res Bill Impact'!$B$38:$J$48,E46,FALSE)</f>
        <v>163.17703867498068</v>
      </c>
      <c r="F49" s="30">
        <f>VLOOKUP($D$4,'Res Bill Impact'!$B$38:$J$48,F46,FALSE)</f>
        <v>164.95674944173913</v>
      </c>
      <c r="G49" s="30">
        <f>VLOOKUP($D$4,'Res Bill Impact'!$B$38:$J$48,G46,FALSE)</f>
        <v>167.10926848220416</v>
      </c>
      <c r="H49" s="31">
        <f t="shared" ref="H49:I51" si="12">$G49/D49-1</f>
        <v>3.3623397081914641E-2</v>
      </c>
      <c r="I49" s="31">
        <f t="shared" si="12"/>
        <v>2.4097935831865147E-2</v>
      </c>
      <c r="J49" s="32">
        <f t="shared" ref="J49:J51" si="13">$G49/F49-1</f>
        <v>1.3048990403543792E-2</v>
      </c>
      <c r="L49" s="490" t="s">
        <v>59</v>
      </c>
      <c r="M49" s="491"/>
      <c r="N49" s="30">
        <f>VLOOKUP($D$4,'Res Bill Impact'!$L$38:$T$48,N46,FALSE)</f>
        <v>174.60479175</v>
      </c>
      <c r="O49" s="30">
        <f>VLOOKUP($D$4,'Res Bill Impact'!$L$38:$T$48,O46,FALSE)</f>
        <v>174.38883290579881</v>
      </c>
      <c r="P49" s="85">
        <f>VLOOKUP($D$4,'Res Bill Impact'!$L$38:$T$48,P46,FALSE)</f>
        <v>176.31206791861359</v>
      </c>
      <c r="Q49" s="85">
        <f>VLOOKUP($D$4,'Res Bill Impact'!$L$38:$T$48,Q46,FALSE)</f>
        <v>178.63817621761152</v>
      </c>
      <c r="R49" s="82">
        <f t="shared" ref="R49:T51" si="14">$Q49/N49-1</f>
        <v>2.3100078910700983E-2</v>
      </c>
      <c r="S49" s="82">
        <f t="shared" si="14"/>
        <v>2.4367060900671866E-2</v>
      </c>
      <c r="T49" s="32">
        <f t="shared" si="14"/>
        <v>1.3193131510837119E-2</v>
      </c>
    </row>
    <row r="50" spans="2:20">
      <c r="B50" s="490" t="s">
        <v>60</v>
      </c>
      <c r="C50" s="491"/>
      <c r="D50" s="30">
        <f>VLOOKUP($D$4,'Res Bill Impact'!$B$54:$J$64,D46,FALSE)</f>
        <v>93.637726062499993</v>
      </c>
      <c r="E50" s="30">
        <f>VLOOKUP($D$4,'Res Bill Impact'!$B$54:$J$64,E46,FALSE)</f>
        <v>87.730771620692693</v>
      </c>
      <c r="F50" s="30">
        <f>VLOOKUP($D$4,'Res Bill Impact'!$B$54:$J$64,F46,FALSE)</f>
        <v>88.7770223041218</v>
      </c>
      <c r="G50" s="30">
        <f>VLOOKUP($D$4,'Res Bill Impact'!$B$54:$J$64,G46,FALSE)</f>
        <v>90.042438325222022</v>
      </c>
      <c r="H50" s="31">
        <f t="shared" si="12"/>
        <v>-3.8395718141192803E-2</v>
      </c>
      <c r="I50" s="31">
        <f t="shared" si="12"/>
        <v>2.6349554002829345E-2</v>
      </c>
      <c r="J50" s="32">
        <f t="shared" si="13"/>
        <v>1.425386871802603E-2</v>
      </c>
      <c r="L50" s="490" t="s">
        <v>60</v>
      </c>
      <c r="M50" s="491"/>
      <c r="N50" s="30">
        <f>VLOOKUP($D$4,'Res Bill Impact'!$L$54:$T$64,N46,FALSE)</f>
        <v>100.96024</v>
      </c>
      <c r="O50" s="30">
        <f>VLOOKUP($D$4,'Res Bill Impact'!$L$54:$T$64,O46,FALSE)</f>
        <v>94.258049915496912</v>
      </c>
      <c r="P50" s="85">
        <f>VLOOKUP($D$4,'Res Bill Impact'!$L$54:$T$64,P46,FALSE)</f>
        <v>95.387857492387951</v>
      </c>
      <c r="Q50" s="85">
        <f>VLOOKUP($D$4,'Res Bill Impact'!$L$54:$T$64,Q46,FALSE)</f>
        <v>96.754333644998454</v>
      </c>
      <c r="R50" s="82">
        <f t="shared" si="14"/>
        <v>-4.1659036814904016E-2</v>
      </c>
      <c r="S50" s="82">
        <f t="shared" si="14"/>
        <v>2.648350705047986E-2</v>
      </c>
      <c r="T50" s="32">
        <f t="shared" si="14"/>
        <v>1.43254727439448E-2</v>
      </c>
    </row>
    <row r="51" spans="2:20" ht="15" thickBot="1">
      <c r="B51" s="492" t="s">
        <v>170</v>
      </c>
      <c r="C51" s="493"/>
      <c r="D51" s="33">
        <f>D49*(1-'SAR and RAR'!$AB$16)+D50*'SAR and RAR'!$AB$16</f>
        <v>143.27296933516823</v>
      </c>
      <c r="E51" s="33">
        <f>E49*(1-'SAR and RAR'!$AB$16)+E50*'SAR and RAR'!$AB$16</f>
        <v>142.77250313186514</v>
      </c>
      <c r="F51" s="33">
        <f>F49*(1-'SAR and RAR'!$AB$16)+F50*'SAR and RAR'!$AB$16</f>
        <v>144.35384871868723</v>
      </c>
      <c r="G51" s="33">
        <f>G49*(1-'SAR and RAR'!$AB$16)+G50*'SAR and RAR'!$AB$16</f>
        <v>146.26644965855215</v>
      </c>
      <c r="H51" s="34">
        <f t="shared" si="12"/>
        <v>2.0893545637217015E-2</v>
      </c>
      <c r="I51" s="34">
        <f t="shared" si="12"/>
        <v>2.4472124884299173E-2</v>
      </c>
      <c r="J51" s="35">
        <f t="shared" si="13"/>
        <v>1.3249393465027293E-2</v>
      </c>
      <c r="L51" s="492" t="s">
        <v>170</v>
      </c>
      <c r="M51" s="493"/>
      <c r="N51" s="33">
        <f>N49*(1-'SAR and RAR'!$AB$16)+N50*'SAR and RAR'!$AB$16</f>
        <v>154.6875323227255</v>
      </c>
      <c r="O51" s="33">
        <f>O49*(1-'SAR and RAR'!$AB$16)+O50*'SAR and RAR'!$AB$16</f>
        <v>152.71736427704886</v>
      </c>
      <c r="P51" s="83">
        <f>P49*(1-'SAR and RAR'!$AB$16)+P50*'SAR and RAR'!$AB$16</f>
        <v>154.42601586580184</v>
      </c>
      <c r="Q51" s="83">
        <f>Q49*(1-'SAR and RAR'!$AB$16)+Q50*'SAR and RAR'!$AB$16</f>
        <v>156.49259047275919</v>
      </c>
      <c r="R51" s="84">
        <f t="shared" si="14"/>
        <v>1.1669060349788207E-2</v>
      </c>
      <c r="S51" s="84">
        <f t="shared" si="14"/>
        <v>2.4720346724041109E-2</v>
      </c>
      <c r="T51" s="51">
        <f t="shared" si="14"/>
        <v>1.3382295692671464E-2</v>
      </c>
    </row>
    <row r="53" spans="2:20" ht="15" thickBot="1"/>
    <row r="54" spans="2:20">
      <c r="B54" s="487" t="s">
        <v>175</v>
      </c>
      <c r="C54" s="488"/>
      <c r="D54" s="488"/>
      <c r="E54" s="488"/>
      <c r="F54" s="488"/>
      <c r="G54" s="488"/>
      <c r="H54" s="488"/>
      <c r="I54" s="488"/>
      <c r="J54" s="489"/>
      <c r="L54" s="487" t="s">
        <v>176</v>
      </c>
      <c r="M54" s="488"/>
      <c r="N54" s="488"/>
      <c r="O54" s="488"/>
      <c r="P54" s="488"/>
      <c r="Q54" s="488"/>
      <c r="R54" s="488"/>
      <c r="S54" s="488"/>
      <c r="T54" s="489"/>
    </row>
    <row r="55" spans="2:20" ht="29">
      <c r="B55" s="28"/>
      <c r="C55" s="29"/>
      <c r="D55" s="12">
        <f>$D$27</f>
        <v>46023</v>
      </c>
      <c r="E55" s="12">
        <f>$E$27</f>
        <v>46082</v>
      </c>
      <c r="F55" s="15" t="str">
        <f>$D$3&amp;" Authorized"</f>
        <v>2026 Authorized</v>
      </c>
      <c r="G55" s="15" t="str">
        <f>$D$3&amp;" w/Pending"</f>
        <v>2026 w/Pending</v>
      </c>
      <c r="H55" s="15" t="str">
        <f>$H$27</f>
        <v>% Change over 01/1/2026</v>
      </c>
      <c r="I55" s="15" t="str">
        <f>$I$27</f>
        <v>% Change over 03/1/2026</v>
      </c>
      <c r="J55" s="57" t="s">
        <v>162</v>
      </c>
      <c r="L55" s="28"/>
      <c r="M55" s="29"/>
      <c r="N55" s="12">
        <f>$D$27</f>
        <v>46023</v>
      </c>
      <c r="O55" s="12">
        <f>$E$27</f>
        <v>46082</v>
      </c>
      <c r="P55" s="15" t="str">
        <f>$D$3&amp;" Authorized"</f>
        <v>2026 Authorized</v>
      </c>
      <c r="Q55" s="15" t="str">
        <f>$D$3&amp;" w/Pending"</f>
        <v>2026 w/Pending</v>
      </c>
      <c r="R55" s="15" t="str">
        <f>$H$27</f>
        <v>% Change over 01/1/2026</v>
      </c>
      <c r="S55" s="15" t="str">
        <f>$I$27</f>
        <v>% Change over 03/1/2026</v>
      </c>
      <c r="T55" s="57" t="s">
        <v>162</v>
      </c>
    </row>
    <row r="56" spans="2:20">
      <c r="B56" s="490" t="s">
        <v>177</v>
      </c>
      <c r="C56" s="491"/>
      <c r="D56" s="30">
        <f t="shared" ref="D56:G57" si="15">((D63*4)+(D70*8)+($L$8*2))/12</f>
        <v>106.0715997587785</v>
      </c>
      <c r="E56" s="30">
        <f t="shared" si="15"/>
        <v>114.58596135203067</v>
      </c>
      <c r="F56" s="30">
        <f t="shared" si="15"/>
        <v>115.82083468144067</v>
      </c>
      <c r="G56" s="30">
        <f t="shared" si="15"/>
        <v>117.31438543348726</v>
      </c>
      <c r="H56" s="31">
        <f t="shared" ref="H56:I58" si="16">$G56/D56-1</f>
        <v>0.1059924211596357</v>
      </c>
      <c r="I56" s="31">
        <f t="shared" si="16"/>
        <v>2.3811154955311942E-2</v>
      </c>
      <c r="J56" s="32">
        <f t="shared" ref="J56:J58" si="17">$G56/F56-1</f>
        <v>1.2895354761986777E-2</v>
      </c>
      <c r="L56" s="490" t="s">
        <v>178</v>
      </c>
      <c r="M56" s="491"/>
      <c r="N56" s="30">
        <f t="shared" ref="N56:Q57" si="18">((N63*4)+(N70*8)+($L$8*2))/12</f>
        <v>138.70379569627849</v>
      </c>
      <c r="O56" s="30">
        <f t="shared" si="18"/>
        <v>142.66668720537461</v>
      </c>
      <c r="P56" s="30">
        <f t="shared" si="18"/>
        <v>144.26102708615397</v>
      </c>
      <c r="Q56" s="30">
        <f t="shared" si="18"/>
        <v>146.18934432424155</v>
      </c>
      <c r="R56" s="82">
        <f t="shared" ref="R56:T58" si="19">$Q56/N56-1</f>
        <v>5.3967871537951684E-2</v>
      </c>
      <c r="S56" s="82">
        <f t="shared" si="19"/>
        <v>2.4691518306554139E-2</v>
      </c>
      <c r="T56" s="32">
        <f t="shared" si="19"/>
        <v>1.3366861979541955E-2</v>
      </c>
    </row>
    <row r="57" spans="2:20">
      <c r="B57" s="490" t="s">
        <v>179</v>
      </c>
      <c r="C57" s="491"/>
      <c r="D57" s="30">
        <f t="shared" si="15"/>
        <v>62.180927675445162</v>
      </c>
      <c r="E57" s="30">
        <f t="shared" si="15"/>
        <v>59.599104040056169</v>
      </c>
      <c r="F57" s="30">
        <f t="shared" si="15"/>
        <v>60.362421964154485</v>
      </c>
      <c r="G57" s="30">
        <f t="shared" si="15"/>
        <v>61.285637351867443</v>
      </c>
      <c r="H57" s="31">
        <f t="shared" si="16"/>
        <v>-1.4398149996260989E-2</v>
      </c>
      <c r="I57" s="31">
        <f t="shared" si="16"/>
        <v>2.8297964188820135E-2</v>
      </c>
      <c r="J57" s="32">
        <f>$G57/F57-1</f>
        <v>1.5294538517046208E-2</v>
      </c>
      <c r="L57" s="490" t="s">
        <v>180</v>
      </c>
      <c r="M57" s="491"/>
      <c r="N57" s="30">
        <f t="shared" si="18"/>
        <v>82.036729342111826</v>
      </c>
      <c r="O57" s="30">
        <f t="shared" si="18"/>
        <v>76.956772114229466</v>
      </c>
      <c r="P57" s="30">
        <f t="shared" si="18"/>
        <v>77.942288749109821</v>
      </c>
      <c r="Q57" s="30">
        <f t="shared" si="18"/>
        <v>79.134248342150173</v>
      </c>
      <c r="R57" s="82">
        <f t="shared" si="19"/>
        <v>-3.5380262270789054E-2</v>
      </c>
      <c r="S57" s="82">
        <f t="shared" si="19"/>
        <v>2.8294796781348941E-2</v>
      </c>
      <c r="T57" s="32">
        <f t="shared" si="19"/>
        <v>1.5292848236432732E-2</v>
      </c>
    </row>
    <row r="58" spans="2:20" ht="15" thickBot="1">
      <c r="B58" s="492" t="s">
        <v>170</v>
      </c>
      <c r="C58" s="493"/>
      <c r="D58" s="33">
        <f>((D65*4)+(D72*8)+($L$8*2))/12</f>
        <v>94.201313613392529</v>
      </c>
      <c r="E58" s="33">
        <f>((E65*4)+(E72*8)+($L$8*2))/12</f>
        <v>99.714698289816127</v>
      </c>
      <c r="F58" s="33">
        <f>((F65*4)+(F72*8)+($L$8*2))/12</f>
        <v>100.82203888097537</v>
      </c>
      <c r="G58" s="33">
        <f>((G65*4)+(G72*8)+($L$8*2))/12</f>
        <v>102.16134173359087</v>
      </c>
      <c r="H58" s="34">
        <f t="shared" si="16"/>
        <v>8.4500181737027003E-2</v>
      </c>
      <c r="I58" s="34">
        <f t="shared" si="16"/>
        <v>2.4536437313019688E-2</v>
      </c>
      <c r="J58" s="35">
        <f t="shared" si="17"/>
        <v>1.3283830276400233E-2</v>
      </c>
      <c r="L58" s="492" t="s">
        <v>170</v>
      </c>
      <c r="M58" s="493"/>
      <c r="N58" s="33">
        <f>((N65*4)+(N72*8)+($L$8*2))/12</f>
        <v>123.37811803596854</v>
      </c>
      <c r="O58" s="33">
        <f>((O65*4)+(O72*8)+($L$8*2))/12</f>
        <v>124.89536000309427</v>
      </c>
      <c r="P58" s="33">
        <f>((P65*4)+(P72*8)+($L$8*2))/12</f>
        <v>126.32504288962525</v>
      </c>
      <c r="Q58" s="33">
        <f>((Q65*4)+(Q72*8)+($L$8*2))/12</f>
        <v>128.05421129865277</v>
      </c>
      <c r="R58" s="84">
        <f t="shared" si="19"/>
        <v>3.7900507295151042E-2</v>
      </c>
      <c r="S58" s="84">
        <f t="shared" si="19"/>
        <v>2.5291982788473888E-2</v>
      </c>
      <c r="T58" s="51">
        <f t="shared" si="19"/>
        <v>1.3688247155699385E-2</v>
      </c>
    </row>
    <row r="59" spans="2:20">
      <c r="B59" s="36"/>
      <c r="C59" s="36"/>
      <c r="D59" s="77"/>
      <c r="E59" s="77"/>
      <c r="F59" s="77"/>
      <c r="G59" s="77"/>
      <c r="H59" s="78"/>
      <c r="I59" s="78"/>
      <c r="J59" s="78"/>
      <c r="L59" s="36"/>
      <c r="M59" s="36"/>
      <c r="N59" s="77"/>
      <c r="O59" s="77"/>
      <c r="P59" s="77"/>
      <c r="Q59" s="77"/>
      <c r="R59" s="78"/>
      <c r="S59" s="78"/>
      <c r="T59" s="78"/>
    </row>
    <row r="60" spans="2:20" ht="15" thickBot="1">
      <c r="D60" s="18">
        <v>2</v>
      </c>
      <c r="E60" s="18">
        <v>4</v>
      </c>
      <c r="F60" s="18">
        <v>6</v>
      </c>
      <c r="G60" s="18">
        <v>8</v>
      </c>
      <c r="N60" s="18">
        <v>2</v>
      </c>
      <c r="O60" s="18">
        <v>4</v>
      </c>
      <c r="P60" s="18">
        <v>6</v>
      </c>
      <c r="Q60" s="18">
        <v>8</v>
      </c>
    </row>
    <row r="61" spans="2:20">
      <c r="B61" s="487" t="s">
        <v>181</v>
      </c>
      <c r="C61" s="488"/>
      <c r="D61" s="488"/>
      <c r="E61" s="488"/>
      <c r="F61" s="488"/>
      <c r="G61" s="488"/>
      <c r="H61" s="488"/>
      <c r="I61" s="488"/>
      <c r="J61" s="489"/>
      <c r="L61" s="487" t="s">
        <v>182</v>
      </c>
      <c r="M61" s="488"/>
      <c r="N61" s="488"/>
      <c r="O61" s="488"/>
      <c r="P61" s="488"/>
      <c r="Q61" s="488"/>
      <c r="R61" s="488"/>
      <c r="S61" s="488"/>
      <c r="T61" s="489"/>
    </row>
    <row r="62" spans="2:20" ht="29">
      <c r="B62" s="28"/>
      <c r="C62" s="29"/>
      <c r="D62" s="12">
        <f>$D$27</f>
        <v>46023</v>
      </c>
      <c r="E62" s="12">
        <f>$E$27</f>
        <v>46082</v>
      </c>
      <c r="F62" s="15" t="str">
        <f>$D$3&amp;" Authorized"</f>
        <v>2026 Authorized</v>
      </c>
      <c r="G62" s="15" t="str">
        <f>$D$3&amp;" w/Pending"</f>
        <v>2026 w/Pending</v>
      </c>
      <c r="H62" s="15" t="str">
        <f>$H$27</f>
        <v>% Change over 01/1/2026</v>
      </c>
      <c r="I62" s="15" t="str">
        <f>$I$27</f>
        <v>% Change over 03/1/2026</v>
      </c>
      <c r="J62" s="57" t="s">
        <v>162</v>
      </c>
      <c r="L62" s="28"/>
      <c r="M62" s="29"/>
      <c r="N62" s="12">
        <f>$D$27</f>
        <v>46023</v>
      </c>
      <c r="O62" s="12">
        <f>$E$27</f>
        <v>46082</v>
      </c>
      <c r="P62" s="15" t="str">
        <f>$D$3&amp;" Authorized"</f>
        <v>2026 Authorized</v>
      </c>
      <c r="Q62" s="15" t="str">
        <f>$D$3&amp;" w/Pending"</f>
        <v>2026 w/Pending</v>
      </c>
      <c r="R62" s="15" t="str">
        <f>$H$27</f>
        <v>% Change over 01/1/2026</v>
      </c>
      <c r="S62" s="15" t="str">
        <f>$I$27</f>
        <v>% Change over 03/1/2026</v>
      </c>
      <c r="T62" s="57" t="s">
        <v>162</v>
      </c>
    </row>
    <row r="63" spans="2:20">
      <c r="B63" s="490" t="s">
        <v>177</v>
      </c>
      <c r="C63" s="491"/>
      <c r="D63" s="30">
        <f>VLOOKUP($D$4,'Res Bill Impact'!$B$70:$J$80,D60,FALSE)</f>
        <v>112.86900712500001</v>
      </c>
      <c r="E63" s="30">
        <f>VLOOKUP($D$4,'Res Bill Impact'!$B$70:$J$80,E60,FALSE)</f>
        <v>121.27627530450732</v>
      </c>
      <c r="F63" s="30">
        <f>VLOOKUP($D$4,'Res Bill Impact'!$B$70:$J$80,F60,FALSE)</f>
        <v>122.51960667042015</v>
      </c>
      <c r="G63" s="30">
        <f>VLOOKUP($D$4,'Res Bill Impact'!$B$70:$J$80,G60,FALSE)</f>
        <v>124.02338722213828</v>
      </c>
      <c r="H63" s="31">
        <f t="shared" ref="H63:I65" si="20">$G63/D63-1</f>
        <v>9.8825890129298655E-2</v>
      </c>
      <c r="I63" s="31">
        <f t="shared" si="20"/>
        <v>2.2651684434843888E-2</v>
      </c>
      <c r="J63" s="32">
        <f t="shared" ref="J63:J65" si="21">$G63/F63-1</f>
        <v>1.22737951303038E-2</v>
      </c>
      <c r="L63" s="490" t="s">
        <v>178</v>
      </c>
      <c r="M63" s="491"/>
      <c r="N63" s="30">
        <f>VLOOKUP($D$4,'Res Bill Impact'!$L$70:$T$80,N60,FALSE)</f>
        <v>97.896587812500002</v>
      </c>
      <c r="O63" s="30">
        <f>VLOOKUP($D$4,'Res Bill Impact'!$L$70:$T$80,O60,FALSE)</f>
        <v>108.39217756003185</v>
      </c>
      <c r="P63" s="85">
        <f>VLOOKUP($D$4,'Res Bill Impact'!$L$70:$T$80,P60,FALSE)</f>
        <v>109.47057721413992</v>
      </c>
      <c r="Q63" s="85">
        <f>VLOOKUP($D$4,'Res Bill Impact'!$L$70:$T$80,Q60,FALSE)</f>
        <v>110.77487667226279</v>
      </c>
      <c r="R63" s="82">
        <f t="shared" ref="R63:T65" si="22">$Q63/N63-1</f>
        <v>0.13154992576889812</v>
      </c>
      <c r="S63" s="82">
        <f t="shared" si="22"/>
        <v>2.1982205412482969E-2</v>
      </c>
      <c r="T63" s="32">
        <f t="shared" si="22"/>
        <v>1.1914612047504658E-2</v>
      </c>
    </row>
    <row r="64" spans="2:20">
      <c r="B64" s="490" t="s">
        <v>179</v>
      </c>
      <c r="C64" s="491"/>
      <c r="D64" s="30">
        <f>VLOOKUP($D$4,'Res Bill Impact'!$B$86:$J$96,D60,FALSE)</f>
        <v>68.677714000000009</v>
      </c>
      <c r="E64" s="30">
        <f>VLOOKUP($D$4,'Res Bill Impact'!$B$86:$J$96,E60,FALSE)</f>
        <v>66.037110750669981</v>
      </c>
      <c r="F64" s="30">
        <f>VLOOKUP($D$4,'Res Bill Impact'!$B$86:$J$96,F60,FALSE)</f>
        <v>66.805656879727877</v>
      </c>
      <c r="G64" s="30">
        <f>VLOOKUP($D$4,'Res Bill Impact'!$B$86:$J$96,G60,FALSE)</f>
        <v>67.735195660507372</v>
      </c>
      <c r="H64" s="31">
        <f t="shared" si="20"/>
        <v>-1.3723787304461443E-2</v>
      </c>
      <c r="I64" s="31">
        <f t="shared" si="20"/>
        <v>2.5714100610014334E-2</v>
      </c>
      <c r="J64" s="32">
        <f t="shared" si="21"/>
        <v>1.3914072912313058E-2</v>
      </c>
      <c r="L64" s="490" t="s">
        <v>180</v>
      </c>
      <c r="M64" s="491"/>
      <c r="N64" s="30">
        <f>VLOOKUP($D$4,'Res Bill Impact'!$L$86:$T$96,N60,FALSE)</f>
        <v>59.567405000000001</v>
      </c>
      <c r="O64" s="30">
        <f>VLOOKUP($D$4,'Res Bill Impact'!$L$86:$T$96,O60,FALSE)</f>
        <v>58.073004222519877</v>
      </c>
      <c r="P64" s="85">
        <f>VLOOKUP($D$4,'Res Bill Impact'!$L$86:$T$96,P60,FALSE)</f>
        <v>58.739600354866006</v>
      </c>
      <c r="Q64" s="85">
        <f>VLOOKUP($D$4,'Res Bill Impact'!$L$86:$T$96,Q60,FALSE)</f>
        <v>59.545832970848224</v>
      </c>
      <c r="R64" s="82">
        <f t="shared" si="22"/>
        <v>-3.6214485341068414E-4</v>
      </c>
      <c r="S64" s="82">
        <f t="shared" si="22"/>
        <v>2.5361676531919564E-2</v>
      </c>
      <c r="T64" s="32">
        <f t="shared" si="22"/>
        <v>1.3725537986494452E-2</v>
      </c>
    </row>
    <row r="65" spans="2:20" ht="15" thickBot="1">
      <c r="B65" s="492" t="s">
        <v>170</v>
      </c>
      <c r="C65" s="493"/>
      <c r="D65" s="33">
        <f>D63*(1-'SAR and RAR'!$AB$16)+D64*'SAR and RAR'!$AB$16</f>
        <v>100.91741764985113</v>
      </c>
      <c r="E65" s="33">
        <f>E63*(1-'SAR and RAR'!$AB$16)+E64*'SAR and RAR'!$AB$16</f>
        <v>106.33677543899712</v>
      </c>
      <c r="F65" s="33">
        <f>F63*(1-'SAR and RAR'!$AB$16)+F64*'SAR and RAR'!$AB$16</f>
        <v>107.45170055475336</v>
      </c>
      <c r="G65" s="33">
        <f>G63*(1-'SAR and RAR'!$AB$16)+G64*'SAR and RAR'!$AB$16</f>
        <v>108.80017671457855</v>
      </c>
      <c r="H65" s="34">
        <f t="shared" si="20"/>
        <v>7.8110986669098992E-2</v>
      </c>
      <c r="I65" s="34">
        <f t="shared" si="20"/>
        <v>2.3166033250600293E-2</v>
      </c>
      <c r="J65" s="35">
        <f t="shared" si="21"/>
        <v>1.2549602778394897E-2</v>
      </c>
      <c r="L65" s="492" t="s">
        <v>170</v>
      </c>
      <c r="M65" s="493"/>
      <c r="N65" s="33">
        <f>N63*(1-'SAR and RAR'!$AB$16)+N64*'SAR and RAR'!$AB$16</f>
        <v>87.530413267728008</v>
      </c>
      <c r="O65" s="33">
        <f>O63*(1-'SAR and RAR'!$AB$16)+O64*'SAR and RAR'!$AB$16</f>
        <v>94.783295358787143</v>
      </c>
      <c r="P65" s="83">
        <f>P63*(1-'SAR and RAR'!$AB$16)+P64*'SAR and RAR'!$AB$16</f>
        <v>95.750322244902264</v>
      </c>
      <c r="Q65" s="83">
        <f>Q63*(1-'SAR and RAR'!$AB$16)+Q64*'SAR and RAR'!$AB$16</f>
        <v>96.919918914138393</v>
      </c>
      <c r="R65" s="84">
        <f t="shared" si="22"/>
        <v>0.10727135056121395</v>
      </c>
      <c r="S65" s="84">
        <f t="shared" si="22"/>
        <v>2.2542195302066581E-2</v>
      </c>
      <c r="T65" s="51">
        <f t="shared" si="22"/>
        <v>1.2215067707496807E-2</v>
      </c>
    </row>
    <row r="66" spans="2:20">
      <c r="B66" s="36"/>
      <c r="C66" s="36"/>
      <c r="D66" s="77"/>
      <c r="E66" s="77"/>
      <c r="F66" s="77"/>
      <c r="G66" s="77"/>
      <c r="H66" s="78"/>
      <c r="I66" s="78"/>
      <c r="J66" s="78"/>
      <c r="L66" s="36"/>
      <c r="M66" s="36"/>
      <c r="N66" s="77"/>
      <c r="O66" s="77"/>
      <c r="P66" s="77"/>
      <c r="Q66" s="77"/>
      <c r="R66" s="78"/>
      <c r="S66" s="78"/>
      <c r="T66" s="78"/>
    </row>
    <row r="67" spans="2:20" ht="15" thickBot="1">
      <c r="D67" s="18">
        <v>3</v>
      </c>
      <c r="E67" s="18">
        <v>5</v>
      </c>
      <c r="F67" s="18">
        <v>7</v>
      </c>
      <c r="G67" s="18">
        <v>9</v>
      </c>
      <c r="N67" s="18">
        <v>3</v>
      </c>
      <c r="O67" s="18">
        <v>5</v>
      </c>
      <c r="P67" s="18">
        <v>7</v>
      </c>
      <c r="Q67" s="18">
        <v>9</v>
      </c>
    </row>
    <row r="68" spans="2:20">
      <c r="B68" s="487" t="s">
        <v>183</v>
      </c>
      <c r="C68" s="488"/>
      <c r="D68" s="488"/>
      <c r="E68" s="488"/>
      <c r="F68" s="488"/>
      <c r="G68" s="488"/>
      <c r="H68" s="488"/>
      <c r="I68" s="488"/>
      <c r="J68" s="489"/>
      <c r="L68" s="487" t="s">
        <v>184</v>
      </c>
      <c r="M68" s="488"/>
      <c r="N68" s="488"/>
      <c r="O68" s="488"/>
      <c r="P68" s="488"/>
      <c r="Q68" s="488"/>
      <c r="R68" s="488"/>
      <c r="S68" s="488"/>
      <c r="T68" s="489"/>
    </row>
    <row r="69" spans="2:20" ht="29">
      <c r="B69" s="28"/>
      <c r="C69" s="29"/>
      <c r="D69" s="12">
        <f>$D$27</f>
        <v>46023</v>
      </c>
      <c r="E69" s="12">
        <f>$E$27</f>
        <v>46082</v>
      </c>
      <c r="F69" s="15" t="str">
        <f>$D$3&amp;" Authorized"</f>
        <v>2026 Authorized</v>
      </c>
      <c r="G69" s="15" t="str">
        <f>$D$3&amp;" w/Pending"</f>
        <v>2026 w/Pending</v>
      </c>
      <c r="H69" s="15" t="str">
        <f>$H$27</f>
        <v>% Change over 01/1/2026</v>
      </c>
      <c r="I69" s="15" t="str">
        <f>$I$27</f>
        <v>% Change over 03/1/2026</v>
      </c>
      <c r="J69" s="57" t="s">
        <v>162</v>
      </c>
      <c r="L69" s="28"/>
      <c r="M69" s="29"/>
      <c r="N69" s="12">
        <f>$D$27</f>
        <v>46023</v>
      </c>
      <c r="O69" s="12">
        <f>$E$27</f>
        <v>46082</v>
      </c>
      <c r="P69" s="15" t="str">
        <f>$D$3&amp;" Authorized"</f>
        <v>2026 Authorized</v>
      </c>
      <c r="Q69" s="15" t="str">
        <f>$D$3&amp;" w/Pending"</f>
        <v>2026 w/Pending</v>
      </c>
      <c r="R69" s="15" t="str">
        <f>$H$27</f>
        <v>% Change over 01/1/2026</v>
      </c>
      <c r="S69" s="15" t="str">
        <f>$I$27</f>
        <v>% Change over 03/1/2026</v>
      </c>
      <c r="T69" s="57" t="s">
        <v>162</v>
      </c>
    </row>
    <row r="70" spans="2:20">
      <c r="B70" s="490" t="s">
        <v>177</v>
      </c>
      <c r="C70" s="491"/>
      <c r="D70" s="30">
        <f>VLOOKUP($D$4,'Res Bill Impact'!$B$70:$J$80,D67,FALSE)</f>
        <v>111.71728256249999</v>
      </c>
      <c r="E70" s="30">
        <f>VLOOKUP($D$4,'Res Bill Impact'!$B$70:$J$80,E67,FALSE)</f>
        <v>120.28519086262459</v>
      </c>
      <c r="F70" s="30">
        <f>VLOOKUP($D$4,'Res Bill Impact'!$B$70:$J$80,F67,FALSE)</f>
        <v>121.51583517378319</v>
      </c>
      <c r="G70" s="30">
        <f>VLOOKUP($D$4,'Res Bill Impact'!$B$70:$J$80,G67,FALSE)</f>
        <v>123.004271025994</v>
      </c>
      <c r="H70" s="31">
        <f t="shared" ref="H70:I72" si="23">$G70/D70-1</f>
        <v>0.10103171330881167</v>
      </c>
      <c r="I70" s="31">
        <f t="shared" si="23"/>
        <v>2.2605277872276286E-2</v>
      </c>
      <c r="J70" s="32">
        <f t="shared" ref="J70:J72" si="24">$G70/F70-1</f>
        <v>1.2248904433584062E-2</v>
      </c>
      <c r="L70" s="490" t="s">
        <v>178</v>
      </c>
      <c r="M70" s="491"/>
      <c r="N70" s="30">
        <f>VLOOKUP($D$4,'Res Bill Impact'!$L$70:$T$80,N67,FALSE)</f>
        <v>168.151786125</v>
      </c>
      <c r="O70" s="30">
        <f>VLOOKUP($D$4,'Res Bill Impact'!$L$70:$T$80,O67,FALSE)</f>
        <v>168.84832851487826</v>
      </c>
      <c r="P70" s="85">
        <f>VLOOKUP($D$4,'Res Bill Impact'!$L$70:$T$80,P67,FALSE)</f>
        <v>170.70063850899328</v>
      </c>
      <c r="Q70" s="85">
        <f>VLOOKUP($D$4,'Res Bill Impact'!$L$70:$T$80,Q67,FALSE)</f>
        <v>172.94096463706316</v>
      </c>
      <c r="R70" s="82">
        <f t="shared" ref="R70:T72" si="25">$Q70/N70-1</f>
        <v>2.8481282431951138E-2</v>
      </c>
      <c r="S70" s="82">
        <f t="shared" si="25"/>
        <v>2.4238535010574713E-2</v>
      </c>
      <c r="T70" s="32">
        <f t="shared" si="25"/>
        <v>1.3124298465654771E-2</v>
      </c>
    </row>
    <row r="71" spans="2:20">
      <c r="B71" s="490" t="s">
        <v>179</v>
      </c>
      <c r="C71" s="491"/>
      <c r="D71" s="30">
        <f>VLOOKUP($D$4,'Res Bill Impact'!$B$86:$J$96,D67,FALSE)</f>
        <v>67.97692099999999</v>
      </c>
      <c r="E71" s="30">
        <f>VLOOKUP($D$4,'Res Bill Impact'!$B$86:$J$96,E67,FALSE)</f>
        <v>65.424487171581504</v>
      </c>
      <c r="F71" s="30">
        <f>VLOOKUP($D$4,'Res Bill Impact'!$B$86:$J$96,F67,FALSE)</f>
        <v>66.185190993200024</v>
      </c>
      <c r="G71" s="30">
        <f>VLOOKUP($D$4,'Res Bill Impact'!$B$86:$J$96,G67,FALSE)</f>
        <v>67.105244684379727</v>
      </c>
      <c r="H71" s="31">
        <f t="shared" si="23"/>
        <v>-1.2823121477071098E-2</v>
      </c>
      <c r="I71" s="31">
        <f t="shared" si="23"/>
        <v>2.5690037254557208E-2</v>
      </c>
      <c r="J71" s="32">
        <f t="shared" si="24"/>
        <v>1.3901201724630941E-2</v>
      </c>
      <c r="L71" s="490" t="s">
        <v>180</v>
      </c>
      <c r="M71" s="491"/>
      <c r="N71" s="30">
        <f>VLOOKUP($D$4,'Res Bill Impact'!$L$86:$T$96,N67,FALSE)</f>
        <v>102.31577799999999</v>
      </c>
      <c r="O71" s="30">
        <f>VLOOKUP($D$4,'Res Bill Impact'!$L$86:$T$96,O67,FALSE)</f>
        <v>95.443042546916502</v>
      </c>
      <c r="P71" s="85">
        <f>VLOOKUP($D$4,'Res Bill Impact'!$L$86:$T$96,P67,FALSE)</f>
        <v>96.588019433063963</v>
      </c>
      <c r="Q71" s="85">
        <f>VLOOKUP($D$4,'Res Bill Impact'!$L$86:$T$96,Q67,FALSE)</f>
        <v>97.972842514633413</v>
      </c>
      <c r="R71" s="82">
        <f t="shared" si="25"/>
        <v>-4.2446390676583401E-2</v>
      </c>
      <c r="S71" s="82">
        <f t="shared" si="25"/>
        <v>2.6505860460948272E-2</v>
      </c>
      <c r="T71" s="32">
        <f t="shared" si="25"/>
        <v>1.4337420828150815E-2</v>
      </c>
    </row>
    <row r="72" spans="2:20" ht="15" thickBot="1">
      <c r="B72" s="492" t="s">
        <v>170</v>
      </c>
      <c r="C72" s="493"/>
      <c r="D72" s="33">
        <f>D70*(1-'SAR and RAR'!$AB$16)+D71*'SAR and RAR'!$AB$16</f>
        <v>99.887648081995479</v>
      </c>
      <c r="E72" s="33">
        <f>E70*(1-'SAR and RAR'!$AB$16)+E71*'SAR and RAR'!$AB$16</f>
        <v>105.44804620205788</v>
      </c>
      <c r="F72" s="33">
        <f>F70*(1-'SAR and RAR'!$AB$16)+F71*'SAR and RAR'!$AB$16</f>
        <v>106.55159453091863</v>
      </c>
      <c r="G72" s="33">
        <f>G70*(1-'SAR and RAR'!$AB$16)+G71*'SAR and RAR'!$AB$16</f>
        <v>107.88631072992931</v>
      </c>
      <c r="H72" s="34">
        <f t="shared" si="23"/>
        <v>8.00765940686472E-2</v>
      </c>
      <c r="I72" s="34">
        <f t="shared" si="23"/>
        <v>2.3122899054945689E-2</v>
      </c>
      <c r="J72" s="35">
        <f t="shared" si="24"/>
        <v>1.2526477946074976E-2</v>
      </c>
      <c r="L72" s="492" t="s">
        <v>170</v>
      </c>
      <c r="M72" s="493"/>
      <c r="N72" s="33">
        <f>N70*(1-'SAR and RAR'!$AB$16)+N71*'SAR and RAR'!$AB$16</f>
        <v>150.34635690692105</v>
      </c>
      <c r="O72" s="33">
        <f>O70*(1-'SAR and RAR'!$AB$16)+O71*'SAR and RAR'!$AB$16</f>
        <v>148.99577881208009</v>
      </c>
      <c r="P72" s="83">
        <f>P70*(1-'SAR and RAR'!$AB$16)+P71*'SAR and RAR'!$AB$16</f>
        <v>150.65678969881898</v>
      </c>
      <c r="Q72" s="83">
        <f>Q70*(1-'SAR and RAR'!$AB$16)+Q71*'SAR and RAR'!$AB$16</f>
        <v>152.66574397774221</v>
      </c>
      <c r="R72" s="84">
        <f t="shared" si="25"/>
        <v>1.5426958913657529E-2</v>
      </c>
      <c r="S72" s="84">
        <f t="shared" si="25"/>
        <v>2.4631336504444379E-2</v>
      </c>
      <c r="T72" s="51">
        <f t="shared" si="25"/>
        <v>1.33346414916935E-2</v>
      </c>
    </row>
    <row r="74" spans="2:20" ht="15" thickBot="1"/>
    <row r="75" spans="2:20">
      <c r="B75" s="487" t="s">
        <v>185</v>
      </c>
      <c r="C75" s="488"/>
      <c r="D75" s="488"/>
      <c r="E75" s="488"/>
      <c r="F75" s="488"/>
      <c r="G75" s="488"/>
      <c r="H75" s="488"/>
      <c r="I75" s="488"/>
      <c r="J75" s="489"/>
      <c r="L75" s="487" t="s">
        <v>186</v>
      </c>
      <c r="M75" s="488"/>
      <c r="N75" s="488"/>
      <c r="O75" s="488"/>
      <c r="P75" s="488"/>
      <c r="Q75" s="488"/>
      <c r="R75" s="488"/>
      <c r="S75" s="488"/>
      <c r="T75" s="489"/>
    </row>
    <row r="76" spans="2:20" ht="29">
      <c r="B76" s="28"/>
      <c r="C76" s="29"/>
      <c r="D76" s="12">
        <f>$D$27</f>
        <v>46023</v>
      </c>
      <c r="E76" s="12">
        <f>$E$27</f>
        <v>46082</v>
      </c>
      <c r="F76" s="15" t="str">
        <f>$D$3&amp;" Authorized"</f>
        <v>2026 Authorized</v>
      </c>
      <c r="G76" s="15" t="str">
        <f>$D$3&amp;" w/Pending"</f>
        <v>2026 w/Pending</v>
      </c>
      <c r="H76" s="15" t="str">
        <f>$H$27</f>
        <v>% Change over 01/1/2026</v>
      </c>
      <c r="I76" s="15" t="str">
        <f>$I$27</f>
        <v>% Change over 03/1/2026</v>
      </c>
      <c r="J76" s="57" t="s">
        <v>162</v>
      </c>
      <c r="L76" s="28"/>
      <c r="M76" s="29"/>
      <c r="N76" s="12">
        <f>$D$27</f>
        <v>46023</v>
      </c>
      <c r="O76" s="12">
        <f>$E$27</f>
        <v>46082</v>
      </c>
      <c r="P76" s="15" t="str">
        <f>$D$3&amp;" Authorized"</f>
        <v>2026 Authorized</v>
      </c>
      <c r="Q76" s="15" t="str">
        <f>$D$3&amp;" w/Pending"</f>
        <v>2026 w/Pending</v>
      </c>
      <c r="R76" s="15" t="str">
        <f>$H$27</f>
        <v>% Change over 01/1/2026</v>
      </c>
      <c r="S76" s="15" t="str">
        <f>$I$27</f>
        <v>% Change over 03/1/2026</v>
      </c>
      <c r="T76" s="57" t="s">
        <v>162</v>
      </c>
    </row>
    <row r="77" spans="2:20">
      <c r="B77" s="490" t="str">
        <f>$I$4&amp;"kWh Monthly Usage - Non-CARE"</f>
        <v>500kWh Monthly Usage - Non-CARE</v>
      </c>
      <c r="C77" s="491"/>
      <c r="D77" s="30">
        <f t="shared" ref="D77:G78" si="26">((D84*4)+(D91*8)+($L$8*2))/12</f>
        <v>202.65533684211184</v>
      </c>
      <c r="E77" s="30">
        <f t="shared" si="26"/>
        <v>197.51206594561299</v>
      </c>
      <c r="F77" s="30">
        <f t="shared" si="26"/>
        <v>199.80849163632703</v>
      </c>
      <c r="G77" s="30">
        <f>((G84*4)+(G91*8)+($L$8*2))/12</f>
        <v>202.58596543521764</v>
      </c>
      <c r="H77" s="31">
        <f>$G77/D77-1</f>
        <v>-3.4231226265823977E-4</v>
      </c>
      <c r="I77" s="31">
        <f>$G77/E77-1</f>
        <v>2.5689060895154769E-2</v>
      </c>
      <c r="J77" s="32">
        <f>$G77/F77-1</f>
        <v>1.3900679476355426E-2</v>
      </c>
      <c r="L77" s="490" t="str">
        <f>$I$4&amp;"kWh Monthly Usage - Non-CARE"</f>
        <v>500kWh Monthly Usage - Non-CARE</v>
      </c>
      <c r="M77" s="491"/>
      <c r="N77" s="30">
        <f t="shared" ref="N77:Q78" si="27">((N84*4)+(N91*8)+($L$8*2))/12</f>
        <v>194.11050734211184</v>
      </c>
      <c r="O77" s="30">
        <f t="shared" si="27"/>
        <v>190.24074521280056</v>
      </c>
      <c r="P77" s="30">
        <f t="shared" si="27"/>
        <v>192.44408938555901</v>
      </c>
      <c r="Q77" s="30">
        <f t="shared" si="27"/>
        <v>195.10898323974334</v>
      </c>
      <c r="R77" s="82">
        <f t="shared" ref="R77:T79" si="28">$Q77/N77-1</f>
        <v>5.1438529078269291E-3</v>
      </c>
      <c r="S77" s="82">
        <f t="shared" si="28"/>
        <v>2.5589880976849777E-2</v>
      </c>
      <c r="T77" s="32">
        <f t="shared" si="28"/>
        <v>1.3847626407716085E-2</v>
      </c>
    </row>
    <row r="78" spans="2:20">
      <c r="B78" s="490" t="str">
        <f>$I$4&amp;"kWh Monthly Usage - CARE"</f>
        <v>500kWh Monthly Usage - CARE</v>
      </c>
      <c r="C78" s="491"/>
      <c r="D78" s="30">
        <f t="shared" si="26"/>
        <v>121.75702842544517</v>
      </c>
      <c r="E78" s="30">
        <f t="shared" si="26"/>
        <v>111.38709145750688</v>
      </c>
      <c r="F78" s="30">
        <f t="shared" si="26"/>
        <v>112.81335696125596</v>
      </c>
      <c r="G78" s="30">
        <f t="shared" si="26"/>
        <v>114.53839212478989</v>
      </c>
      <c r="H78" s="31">
        <f>$G78/D78-1</f>
        <v>-5.9287224680219852E-2</v>
      </c>
      <c r="I78" s="31">
        <f>$G78/E78-1</f>
        <v>2.8291435085053829E-2</v>
      </c>
      <c r="J78" s="32">
        <f t="shared" ref="J78:J79" si="29">$G78/F78-1</f>
        <v>1.5291054268745663E-2</v>
      </c>
      <c r="L78" s="490" t="str">
        <f>$I$4&amp;"kWh Monthly Usage - CARE"</f>
        <v>500kWh Monthly Usage - CARE</v>
      </c>
      <c r="M78" s="491"/>
      <c r="N78" s="30">
        <f t="shared" si="27"/>
        <v>116.20369317544517</v>
      </c>
      <c r="O78" s="30">
        <f t="shared" si="27"/>
        <v>106.66073298117874</v>
      </c>
      <c r="P78" s="30">
        <f t="shared" si="27"/>
        <v>108.02649549825664</v>
      </c>
      <c r="Q78" s="30">
        <f t="shared" si="27"/>
        <v>109.67835369773151</v>
      </c>
      <c r="R78" s="82">
        <f t="shared" si="28"/>
        <v>-5.6154320911828925E-2</v>
      </c>
      <c r="S78" s="82">
        <f t="shared" si="28"/>
        <v>2.8291768040683341E-2</v>
      </c>
      <c r="T78" s="32">
        <f t="shared" si="28"/>
        <v>1.5291231950605333E-2</v>
      </c>
    </row>
    <row r="79" spans="2:20" ht="15" thickBot="1">
      <c r="B79" s="492" t="s">
        <v>170</v>
      </c>
      <c r="C79" s="493"/>
      <c r="D79" s="33">
        <f>((D86*4)+(D93*8)+($L$8*2))/12</f>
        <v>180.77629001958277</v>
      </c>
      <c r="E79" s="33">
        <f>((E86*4)+(E93*8)+($L$8*2))/12</f>
        <v>174.219460867777</v>
      </c>
      <c r="F79" s="33">
        <f>((F86*4)+(F93*8)+($L$8*2))/12</f>
        <v>176.28055066771256</v>
      </c>
      <c r="G79" s="33">
        <f>((G86*4)+(G93*8)+($L$8*2))/12</f>
        <v>178.77339114569102</v>
      </c>
      <c r="H79" s="34">
        <f>$G79/D79-1</f>
        <v>-1.1079433446027576E-2</v>
      </c>
      <c r="I79" s="34">
        <f>$G79/E79-1</f>
        <v>2.6139044715390414E-2</v>
      </c>
      <c r="J79" s="35">
        <f t="shared" si="29"/>
        <v>1.414132454508521E-2</v>
      </c>
      <c r="L79" s="492" t="s">
        <v>170</v>
      </c>
      <c r="M79" s="493"/>
      <c r="N79" s="33">
        <f>((N86*4)+(N93*8)+($L$8*2))/12</f>
        <v>173.04051381187131</v>
      </c>
      <c r="O79" s="33">
        <f>((O86*4)+(O93*8)+($L$8*2))/12</f>
        <v>167.63642830144144</v>
      </c>
      <c r="P79" s="33">
        <f>((P86*4)+(P93*8)+($L$8*2))/12</f>
        <v>169.61324748720088</v>
      </c>
      <c r="Q79" s="33">
        <f>((Q86*4)+(Q93*8)+($L$8*2))/12</f>
        <v>172.00416460496049</v>
      </c>
      <c r="R79" s="84">
        <f t="shared" si="28"/>
        <v>-5.9890553031848315E-3</v>
      </c>
      <c r="S79" s="84">
        <f t="shared" si="28"/>
        <v>2.6054816055046448E-2</v>
      </c>
      <c r="T79" s="51">
        <f t="shared" si="28"/>
        <v>1.4096287602417545E-2</v>
      </c>
    </row>
    <row r="80" spans="2:20">
      <c r="B80" s="36"/>
      <c r="C80" s="36"/>
      <c r="D80" s="77"/>
      <c r="E80" s="77"/>
      <c r="F80" s="77"/>
      <c r="G80" s="77"/>
      <c r="H80" s="78"/>
      <c r="I80" s="78"/>
      <c r="J80" s="78"/>
      <c r="L80" s="36"/>
      <c r="M80" s="36"/>
      <c r="N80" s="77"/>
      <c r="O80" s="77"/>
      <c r="P80" s="77"/>
      <c r="Q80" s="77"/>
      <c r="R80" s="78"/>
      <c r="S80" s="78"/>
      <c r="T80" s="78"/>
    </row>
    <row r="81" spans="2:20" ht="15" thickBot="1">
      <c r="D81" s="18">
        <v>2</v>
      </c>
      <c r="E81" s="18">
        <v>4</v>
      </c>
      <c r="F81" s="18">
        <v>6</v>
      </c>
      <c r="G81" s="18">
        <v>8</v>
      </c>
      <c r="N81" s="18">
        <v>2</v>
      </c>
      <c r="O81" s="18">
        <v>4</v>
      </c>
      <c r="P81" s="18">
        <v>6</v>
      </c>
      <c r="Q81" s="18">
        <v>8</v>
      </c>
    </row>
    <row r="82" spans="2:20">
      <c r="B82" s="487" t="s">
        <v>187</v>
      </c>
      <c r="C82" s="488"/>
      <c r="D82" s="488"/>
      <c r="E82" s="488"/>
      <c r="F82" s="488"/>
      <c r="G82" s="488"/>
      <c r="H82" s="488"/>
      <c r="I82" s="488"/>
      <c r="J82" s="489"/>
      <c r="L82" s="487" t="s">
        <v>188</v>
      </c>
      <c r="M82" s="488"/>
      <c r="N82" s="488"/>
      <c r="O82" s="488"/>
      <c r="P82" s="488"/>
      <c r="Q82" s="488"/>
      <c r="R82" s="488"/>
      <c r="S82" s="488"/>
      <c r="T82" s="489"/>
    </row>
    <row r="83" spans="2:20" ht="29">
      <c r="B83" s="28"/>
      <c r="C83" s="29"/>
      <c r="D83" s="12">
        <f>$D$27</f>
        <v>46023</v>
      </c>
      <c r="E83" s="12">
        <f>$E$27</f>
        <v>46082</v>
      </c>
      <c r="F83" s="15" t="str">
        <f>$D$3&amp;" Authorized"</f>
        <v>2026 Authorized</v>
      </c>
      <c r="G83" s="15" t="str">
        <f>$D$3&amp;" w/Pending"</f>
        <v>2026 w/Pending</v>
      </c>
      <c r="H83" s="15" t="str">
        <f>$H$27</f>
        <v>% Change over 01/1/2026</v>
      </c>
      <c r="I83" s="15" t="str">
        <f>$I$27</f>
        <v>% Change over 03/1/2026</v>
      </c>
      <c r="J83" s="57" t="s">
        <v>162</v>
      </c>
      <c r="L83" s="28"/>
      <c r="M83" s="29"/>
      <c r="N83" s="12">
        <f>$D$27</f>
        <v>46023</v>
      </c>
      <c r="O83" s="12">
        <f>$E$27</f>
        <v>46082</v>
      </c>
      <c r="P83" s="15" t="str">
        <f>$D$3&amp;" Authorized"</f>
        <v>2026 Authorized</v>
      </c>
      <c r="Q83" s="15" t="str">
        <f>$D$3&amp;" w/Pending"</f>
        <v>2026 w/Pending</v>
      </c>
      <c r="R83" s="15" t="str">
        <f>$H$27</f>
        <v>% Change over 01/1/2026</v>
      </c>
      <c r="S83" s="15" t="str">
        <f>$I$27</f>
        <v>% Change over 03/1/2026</v>
      </c>
      <c r="T83" s="57" t="s">
        <v>162</v>
      </c>
    </row>
    <row r="84" spans="2:20">
      <c r="B84" s="490" t="str">
        <f>$I$4&amp;"kWh Monthly Usage - Non-CARE"</f>
        <v>500kWh Monthly Usage - Non-CARE</v>
      </c>
      <c r="C84" s="491"/>
      <c r="D84" s="30">
        <f>VLOOKUP($D$4,'Res Bill Impact'!$B$102:$J$112,D81,FALSE)</f>
        <v>208.49081775000002</v>
      </c>
      <c r="E84" s="30">
        <f>VLOOKUP($D$4,'Res Bill Impact'!$B$102:$J$112,E81,FALSE)</f>
        <v>203.37647673360286</v>
      </c>
      <c r="F84" s="30">
        <f>VLOOKUP($D$4,'Res Bill Impact'!$B$102:$J$112,F81,FALSE)</f>
        <v>205.67078792206649</v>
      </c>
      <c r="G84" s="30">
        <f>VLOOKUP($D$4,'Res Bill Impact'!$B$102:$J$112,G81,FALSE)</f>
        <v>208.44570427935471</v>
      </c>
      <c r="H84" s="31">
        <f t="shared" ref="H84:I86" si="30">$G84/D84-1</f>
        <v>-2.1638109117783078E-4</v>
      </c>
      <c r="I84" s="31">
        <f t="shared" si="30"/>
        <v>2.4925338599467883E-2</v>
      </c>
      <c r="J84" s="32">
        <f t="shared" ref="J84:J86" si="31">$G84/F84-1</f>
        <v>1.3492029594109001E-2</v>
      </c>
      <c r="L84" s="490" t="str">
        <f>$I$4&amp;"kWh Monthly Usage - Non-CARE"</f>
        <v>500kWh Monthly Usage - Non-CARE</v>
      </c>
      <c r="M84" s="491"/>
      <c r="N84" s="30">
        <f>VLOOKUP($D$4,'Res Bill Impact'!$L$102:$T$112,N81,FALSE)</f>
        <v>199.64585500000001</v>
      </c>
      <c r="O84" s="30">
        <f>VLOOKUP($D$4,'Res Bill Impact'!$L$102:$T$112,O81,FALSE)</f>
        <v>195.84975416704626</v>
      </c>
      <c r="P84" s="85">
        <f>VLOOKUP($D$4,'Res Bill Impact'!$L$102:$T$112,P81,FALSE)</f>
        <v>198.0477143915696</v>
      </c>
      <c r="Q84" s="85">
        <f>VLOOKUP($D$4,'Res Bill Impact'!$L$102:$T$112,Q81,FALSE)</f>
        <v>200.70609648479504</v>
      </c>
      <c r="R84" s="82">
        <f t="shared" ref="R84:T86" si="32">$Q84/N84-1</f>
        <v>5.3106110557368247E-3</v>
      </c>
      <c r="S84" s="82">
        <f t="shared" si="32"/>
        <v>2.479626455699635E-2</v>
      </c>
      <c r="T84" s="32">
        <f t="shared" si="32"/>
        <v>1.3422937504693477E-2</v>
      </c>
    </row>
    <row r="85" spans="2:20">
      <c r="B85" s="490" t="str">
        <f>$I$4&amp;"kWh Monthly Usage - CARE"</f>
        <v>500kWh Monthly Usage - CARE</v>
      </c>
      <c r="C85" s="491"/>
      <c r="D85" s="30">
        <f>VLOOKUP($D$4,'Res Bill Impact'!$B$117:$J$127,D81,FALSE)</f>
        <v>127.660466125</v>
      </c>
      <c r="E85" s="30">
        <f>VLOOKUP($D$4,'Res Bill Impact'!$B$117:$J$127,E81,FALSE)</f>
        <v>117.30931531662785</v>
      </c>
      <c r="F85" s="30">
        <f>VLOOKUP($D$4,'Res Bill Impact'!$B$117:$J$127,F81,FALSE)</f>
        <v>118.73420639391412</v>
      </c>
      <c r="G85" s="30">
        <f>VLOOKUP($D$4,'Res Bill Impact'!$B$117:$J$127,G81,FALSE)</f>
        <v>120.45757922040652</v>
      </c>
      <c r="H85" s="31">
        <f t="shared" si="30"/>
        <v>-5.6422219996758449E-2</v>
      </c>
      <c r="I85" s="31">
        <f t="shared" si="30"/>
        <v>2.6837288200695975E-2</v>
      </c>
      <c r="J85" s="32">
        <f t="shared" si="31"/>
        <v>1.4514543692446313E-2</v>
      </c>
      <c r="L85" s="490" t="str">
        <f>$I$4&amp;"kWh Monthly Usage - CARE"</f>
        <v>500kWh Monthly Usage - CARE</v>
      </c>
      <c r="M85" s="491"/>
      <c r="N85" s="30">
        <f>VLOOKUP($D$4,'Res Bill Impact'!$L$117:$T$127,N81,FALSE)</f>
        <v>121.91207249999999</v>
      </c>
      <c r="O85" s="30">
        <f>VLOOKUP($D$4,'Res Bill Impact'!$L$117:$T$127,O81,FALSE)</f>
        <v>112.41694564836597</v>
      </c>
      <c r="P85" s="85">
        <f>VLOOKUP($D$4,'Res Bill Impact'!$L$117:$T$127,P81,FALSE)</f>
        <v>113.77920859909102</v>
      </c>
      <c r="Q85" s="85">
        <f>VLOOKUP($D$4,'Res Bill Impact'!$L$117:$T$127,Q81,FALSE)</f>
        <v>115.42683415394264</v>
      </c>
      <c r="R85" s="82">
        <f t="shared" si="32"/>
        <v>-5.3196030656089133E-2</v>
      </c>
      <c r="S85" s="82">
        <f t="shared" si="32"/>
        <v>2.677433093575976E-2</v>
      </c>
      <c r="T85" s="32">
        <f t="shared" si="32"/>
        <v>1.4480901872477858E-2</v>
      </c>
    </row>
    <row r="86" spans="2:20" ht="15" thickBot="1">
      <c r="B86" s="492" t="s">
        <v>170</v>
      </c>
      <c r="C86" s="493"/>
      <c r="D86" s="33">
        <f>D84*(1-'SAR and RAR'!$AB$16)+D85*'SAR and RAR'!$AB$16</f>
        <v>186.63014992520135</v>
      </c>
      <c r="E86" s="33">
        <f>E84*(1-'SAR and RAR'!$AB$16)+E85*'SAR and RAR'!$AB$16</f>
        <v>180.09950727182593</v>
      </c>
      <c r="F86" s="33">
        <f>F84*(1-'SAR and RAR'!$AB$16)+F85*'SAR and RAR'!$AB$16</f>
        <v>182.15868272391634</v>
      </c>
      <c r="G86" s="33">
        <f>G84*(1-'SAR and RAR'!$AB$16)+G85*'SAR and RAR'!$AB$16</f>
        <v>184.6492078424198</v>
      </c>
      <c r="H86" s="34">
        <f t="shared" si="30"/>
        <v>-1.0614266149255536E-2</v>
      </c>
      <c r="I86" s="34">
        <f t="shared" si="30"/>
        <v>2.5262148905976556E-2</v>
      </c>
      <c r="J86" s="35">
        <f t="shared" si="31"/>
        <v>1.3672283315081746E-2</v>
      </c>
      <c r="L86" s="492" t="s">
        <v>170</v>
      </c>
      <c r="M86" s="493"/>
      <c r="N86" s="33">
        <f>N84*(1-'SAR and RAR'!$AB$16)+N85*'SAR and RAR'!$AB$16</f>
        <v>178.62265809642417</v>
      </c>
      <c r="O86" s="33">
        <f>O84*(1-'SAR and RAR'!$AB$16)+O85*'SAR and RAR'!$AB$16</f>
        <v>173.28524868056033</v>
      </c>
      <c r="P86" s="83">
        <f>P84*(1-'SAR and RAR'!$AB$16)+P85*'SAR and RAR'!$AB$16</f>
        <v>175.25719355147797</v>
      </c>
      <c r="Q86" s="83">
        <f>Q84*(1-'SAR and RAR'!$AB$16)+Q85*'SAR and RAR'!$AB$16</f>
        <v>177.64221529808955</v>
      </c>
      <c r="R86" s="84">
        <f t="shared" si="32"/>
        <v>-5.4889049843013238E-3</v>
      </c>
      <c r="S86" s="84">
        <f t="shared" si="32"/>
        <v>2.5143320915682832E-2</v>
      </c>
      <c r="T86" s="51">
        <f t="shared" si="32"/>
        <v>1.3608695302490093E-2</v>
      </c>
    </row>
    <row r="87" spans="2:20">
      <c r="B87" s="36"/>
      <c r="C87" s="36"/>
      <c r="D87" s="77"/>
      <c r="E87" s="77"/>
      <c r="F87" s="77"/>
      <c r="G87" s="77"/>
      <c r="H87" s="78"/>
      <c r="I87" s="78"/>
      <c r="J87" s="78"/>
      <c r="L87" s="36"/>
      <c r="M87" s="36"/>
      <c r="N87" s="77"/>
      <c r="O87" s="77"/>
      <c r="P87" s="77"/>
      <c r="Q87" s="77"/>
      <c r="R87" s="78"/>
      <c r="S87" s="78"/>
      <c r="T87" s="78"/>
    </row>
    <row r="88" spans="2:20" ht="15" thickBot="1">
      <c r="D88" s="18">
        <v>3</v>
      </c>
      <c r="E88" s="18">
        <v>5</v>
      </c>
      <c r="F88" s="18">
        <v>7</v>
      </c>
      <c r="G88" s="18">
        <v>9</v>
      </c>
      <c r="N88" s="18">
        <v>3</v>
      </c>
      <c r="O88" s="18">
        <v>5</v>
      </c>
      <c r="P88" s="18">
        <v>7</v>
      </c>
      <c r="Q88" s="18">
        <v>9</v>
      </c>
    </row>
    <row r="89" spans="2:20">
      <c r="B89" s="487" t="s">
        <v>189</v>
      </c>
      <c r="C89" s="488"/>
      <c r="D89" s="488"/>
      <c r="E89" s="488"/>
      <c r="F89" s="488"/>
      <c r="G89" s="488"/>
      <c r="H89" s="488"/>
      <c r="I89" s="488"/>
      <c r="J89" s="489"/>
      <c r="L89" s="487" t="s">
        <v>190</v>
      </c>
      <c r="M89" s="488"/>
      <c r="N89" s="488"/>
      <c r="O89" s="488"/>
      <c r="P89" s="488"/>
      <c r="Q89" s="488"/>
      <c r="R89" s="488"/>
      <c r="S89" s="488"/>
      <c r="T89" s="489"/>
    </row>
    <row r="90" spans="2:20" ht="29">
      <c r="B90" s="28"/>
      <c r="C90" s="29"/>
      <c r="D90" s="12">
        <f>$D$27</f>
        <v>46023</v>
      </c>
      <c r="E90" s="12">
        <f>$E$27</f>
        <v>46082</v>
      </c>
      <c r="F90" s="15" t="str">
        <f>$D$3&amp;" Authorized"</f>
        <v>2026 Authorized</v>
      </c>
      <c r="G90" s="15" t="str">
        <f>$D$3&amp;" w/Pending"</f>
        <v>2026 w/Pending</v>
      </c>
      <c r="H90" s="15" t="str">
        <f>$H$27</f>
        <v>% Change over 01/1/2026</v>
      </c>
      <c r="I90" s="15" t="str">
        <f>$I$27</f>
        <v>% Change over 03/1/2026</v>
      </c>
      <c r="J90" s="57" t="s">
        <v>162</v>
      </c>
      <c r="L90" s="28"/>
      <c r="M90" s="29"/>
      <c r="N90" s="12">
        <f>$D$27</f>
        <v>46023</v>
      </c>
      <c r="O90" s="12">
        <f>$E$27</f>
        <v>46082</v>
      </c>
      <c r="P90" s="15" t="str">
        <f>$D$3&amp;" Authorized"</f>
        <v>2026 Authorized</v>
      </c>
      <c r="Q90" s="15" t="str">
        <f>$D$3&amp;" w/Pending"</f>
        <v>2026 w/Pending</v>
      </c>
      <c r="R90" s="15" t="str">
        <f>$H$27</f>
        <v>% Change over 01/1/2026</v>
      </c>
      <c r="S90" s="15" t="str">
        <f>$I$27</f>
        <v>% Change over 03/1/2026</v>
      </c>
      <c r="T90" s="57" t="s">
        <v>162</v>
      </c>
    </row>
    <row r="91" spans="2:20">
      <c r="B91" s="490" t="str">
        <f>$I$4&amp;"kWh Monthly Usage - Non-CARE"</f>
        <v>500kWh Monthly Usage - Non-CARE</v>
      </c>
      <c r="C91" s="491"/>
      <c r="D91" s="30">
        <f>VLOOKUP($D$4,'Res Bill Impact'!$B$102:$J$112,D88,FALSE)</f>
        <v>208.78198287500001</v>
      </c>
      <c r="E91" s="30">
        <f>VLOOKUP($D$4,'Res Bill Impact'!$B$102:$J$112,E88,FALSE)</f>
        <v>203.62424703845031</v>
      </c>
      <c r="F91" s="30">
        <f>VLOOKUP($D$4,'Res Bill Impact'!$B$102:$J$112,F88,FALSE)</f>
        <v>205.92172998028957</v>
      </c>
      <c r="G91" s="30">
        <f>VLOOKUP($D$4,'Res Bill Impact'!$B$102:$J$112,G88,FALSE)</f>
        <v>208.70048249998135</v>
      </c>
      <c r="H91" s="31">
        <f t="shared" ref="H91:I93" si="33">$G91/D91-1</f>
        <v>-3.9036115040380626E-4</v>
      </c>
      <c r="I91" s="31">
        <f t="shared" si="33"/>
        <v>2.4929425328077404E-2</v>
      </c>
      <c r="J91" s="32">
        <f t="shared" ref="J91:J93" si="34">$G91/F91-1</f>
        <v>1.3494217050127544E-2</v>
      </c>
      <c r="L91" s="490" t="str">
        <f>$I$4&amp;"kWh Monthly Usage - Non-CARE"</f>
        <v>500kWh Monthly Usage - Non-CARE</v>
      </c>
      <c r="M91" s="491"/>
      <c r="N91" s="30">
        <f>VLOOKUP($D$4,'Res Bill Impact'!$L$102:$T$112,N88,FALSE)</f>
        <v>200.38722000000001</v>
      </c>
      <c r="O91" s="30">
        <f>VLOOKUP($D$4,'Res Bill Impact'!$L$102:$T$112,O88,FALSE)</f>
        <v>196.48062722250998</v>
      </c>
      <c r="P91" s="85">
        <f>VLOOKUP($D$4,'Res Bill Impact'!$L$102:$T$112,P88,FALSE)</f>
        <v>198.686663369386</v>
      </c>
      <c r="Q91" s="85">
        <f>VLOOKUP($D$4,'Res Bill Impact'!$L$102:$T$112,Q88,FALSE)</f>
        <v>201.35481310404973</v>
      </c>
      <c r="R91" s="82">
        <f t="shared" ref="R91:T93" si="35">$Q91/N91-1</f>
        <v>4.8286168351938663E-3</v>
      </c>
      <c r="S91" s="82">
        <f t="shared" si="35"/>
        <v>2.4807462956741411E-2</v>
      </c>
      <c r="T91" s="32">
        <f t="shared" si="35"/>
        <v>1.3428932216266842E-2</v>
      </c>
    </row>
    <row r="92" spans="2:20">
      <c r="B92" s="490" t="str">
        <f>$I$4&amp;"kWh Monthly Usage - CARE"</f>
        <v>500kWh Monthly Usage - CARE</v>
      </c>
      <c r="C92" s="491"/>
      <c r="D92" s="30">
        <f>VLOOKUP($D$4,'Res Bill Impact'!$B$117:$J$127,D88,FALSE)</f>
        <v>127.84969606249999</v>
      </c>
      <c r="E92" s="30">
        <f>VLOOKUP($D$4,'Res Bill Impact'!$B$117:$J$127,E88,FALSE)</f>
        <v>117.47036601477868</v>
      </c>
      <c r="F92" s="30">
        <f>VLOOKUP($D$4,'Res Bill Impact'!$B$117:$J$127,F88,FALSE)</f>
        <v>118.89731873175913</v>
      </c>
      <c r="G92" s="30">
        <f>VLOOKUP($D$4,'Res Bill Impact'!$B$117:$J$127,G88,FALSE)</f>
        <v>120.62318506381385</v>
      </c>
      <c r="H92" s="31">
        <f t="shared" si="33"/>
        <v>-5.6523489857601361E-2</v>
      </c>
      <c r="I92" s="31">
        <f t="shared" si="33"/>
        <v>2.6839271520091579E-2</v>
      </c>
      <c r="J92" s="32">
        <f t="shared" si="34"/>
        <v>1.4515603467462501E-2</v>
      </c>
      <c r="L92" s="490" t="str">
        <f>$I$4&amp;"kWh Monthly Usage - CARE"</f>
        <v>500kWh Monthly Usage - CARE</v>
      </c>
      <c r="M92" s="491"/>
      <c r="N92" s="30">
        <f>VLOOKUP($D$4,'Res Bill Impact'!$L$117:$T$127,N88,FALSE)</f>
        <v>122.39389</v>
      </c>
      <c r="O92" s="30">
        <f>VLOOKUP($D$4,'Res Bill Impact'!$L$117:$T$127,O88,FALSE)</f>
        <v>112.82701313441738</v>
      </c>
      <c r="P92" s="85">
        <f>VLOOKUP($D$4,'Res Bill Impact'!$L$117:$T$127,P88,FALSE)</f>
        <v>114.1945254346717</v>
      </c>
      <c r="Q92" s="85">
        <f>VLOOKUP($D$4,'Res Bill Impact'!$L$117:$T$127,Q88,FALSE)</f>
        <v>115.8484999564582</v>
      </c>
      <c r="R92" s="82">
        <f t="shared" si="35"/>
        <v>-5.3478078387261041E-2</v>
      </c>
      <c r="S92" s="82">
        <f t="shared" si="35"/>
        <v>2.6779817510910631E-2</v>
      </c>
      <c r="T92" s="32">
        <f t="shared" si="35"/>
        <v>1.4483833752019004E-2</v>
      </c>
    </row>
    <row r="93" spans="2:20" ht="15" thickBot="1">
      <c r="B93" s="492" t="s">
        <v>170</v>
      </c>
      <c r="C93" s="493"/>
      <c r="D93" s="33">
        <f>D91*(1-'SAR and RAR'!$AB$16)+D92*'SAR and RAR'!$AB$16</f>
        <v>186.89374655360575</v>
      </c>
      <c r="E93" s="33">
        <f>E91*(1-'SAR and RAR'!$AB$16)+E92*'SAR and RAR'!$AB$16</f>
        <v>180.32382415258476</v>
      </c>
      <c r="F93" s="33">
        <f>F91*(1-'SAR and RAR'!$AB$16)+F92*'SAR and RAR'!$AB$16</f>
        <v>182.38587112644291</v>
      </c>
      <c r="G93" s="33">
        <f>G91*(1-'SAR and RAR'!$AB$16)+G92*'SAR and RAR'!$AB$16</f>
        <v>184.87986928415893</v>
      </c>
      <c r="H93" s="34">
        <f t="shared" si="33"/>
        <v>-1.077551981585001E-2</v>
      </c>
      <c r="I93" s="34">
        <f t="shared" si="33"/>
        <v>2.5265907890900552E-2</v>
      </c>
      <c r="J93" s="35">
        <f t="shared" si="34"/>
        <v>1.3674294737375803E-2</v>
      </c>
      <c r="L93" s="492" t="s">
        <v>170</v>
      </c>
      <c r="M93" s="493"/>
      <c r="N93" s="33">
        <f>N91*(1-'SAR and RAR'!$AB$16)+N92*'SAR and RAR'!$AB$16</f>
        <v>179.29382815642714</v>
      </c>
      <c r="O93" s="33">
        <f>O91*(1-'SAR and RAR'!$AB$16)+O92*'SAR and RAR'!$AB$16</f>
        <v>173.85640459871425</v>
      </c>
      <c r="P93" s="83">
        <f>P91*(1-'SAR and RAR'!$AB$16)+P92*'SAR and RAR'!$AB$16</f>
        <v>175.83566094189459</v>
      </c>
      <c r="Q93" s="83">
        <f>Q91*(1-'SAR and RAR'!$AB$16)+Q92*'SAR and RAR'!$AB$16</f>
        <v>178.22952574522822</v>
      </c>
      <c r="R93" s="84">
        <f t="shared" si="35"/>
        <v>-5.9360794632058456E-3</v>
      </c>
      <c r="S93" s="84">
        <f t="shared" si="35"/>
        <v>2.5153638467376283E-2</v>
      </c>
      <c r="T93" s="51">
        <f t="shared" si="35"/>
        <v>1.3614216766442366E-2</v>
      </c>
    </row>
    <row r="94" spans="2:20" ht="15" thickBot="1"/>
    <row r="95" spans="2:20">
      <c r="B95" s="484" t="s">
        <v>191</v>
      </c>
      <c r="C95" s="485"/>
      <c r="D95" s="485"/>
      <c r="E95" s="485"/>
      <c r="F95" s="485"/>
      <c r="G95" s="485"/>
      <c r="H95" s="485"/>
      <c r="I95" s="485"/>
      <c r="J95" s="486"/>
    </row>
    <row r="96" spans="2:20" ht="29">
      <c r="B96" s="28"/>
      <c r="C96" s="29"/>
      <c r="D96" s="12">
        <f>$D$27</f>
        <v>46023</v>
      </c>
      <c r="E96" s="12">
        <f>$E$27</f>
        <v>46082</v>
      </c>
      <c r="F96" s="15" t="str">
        <f>$D$3&amp;" Authorized"</f>
        <v>2026 Authorized</v>
      </c>
      <c r="G96" s="15" t="str">
        <f>$D$3&amp;" w/Pending"</f>
        <v>2026 w/Pending</v>
      </c>
      <c r="H96" s="15" t="s">
        <v>192</v>
      </c>
      <c r="I96" s="61" t="str">
        <f>I27</f>
        <v>% Change over 03/1/2026</v>
      </c>
      <c r="J96" s="57" t="s">
        <v>162</v>
      </c>
    </row>
    <row r="97" spans="2:10">
      <c r="B97" s="490" t="s">
        <v>63</v>
      </c>
      <c r="C97" s="491"/>
      <c r="D97" s="108">
        <f>('Bill Impact (B-1)'!C33*4+'Bill Impact (B-1)'!D33*8)/12</f>
        <v>340.70264291666666</v>
      </c>
      <c r="E97" s="108">
        <f>('Bill Impact (B-1)'!E33*4+'Bill Impact (B-1)'!F33*8)/12</f>
        <v>334.91938291666673</v>
      </c>
      <c r="F97" s="108">
        <f>('Bill Impact (B-1)'!G33*4+'Bill Impact (B-1)'!H33*8)/12</f>
        <v>334.43187080009761</v>
      </c>
      <c r="G97" s="108">
        <f>('Bill Impact (B-1)'!I33*4+'Bill Impact (B-1)'!J33*8)/12</f>
        <v>339.59336740714394</v>
      </c>
      <c r="H97" s="31">
        <f t="shared" ref="H97:I99" si="36">$G97/D97-1</f>
        <v>-3.2558465059927544E-3</v>
      </c>
      <c r="I97" s="31">
        <f t="shared" si="36"/>
        <v>1.3955550884435342E-2</v>
      </c>
      <c r="J97" s="32">
        <f t="shared" ref="J97:J99" si="37">$G97/F97-1</f>
        <v>1.5433626570033221E-2</v>
      </c>
    </row>
    <row r="98" spans="2:10">
      <c r="B98" s="490" t="s">
        <v>64</v>
      </c>
      <c r="C98" s="491"/>
      <c r="D98" s="30">
        <f>('Bill Impact (B-1)'!C34*4+'Bill Impact (B-1)'!D34*8)/12</f>
        <v>549.26858625</v>
      </c>
      <c r="E98" s="30">
        <f>('Bill Impact (B-1)'!E34*4+'Bill Impact (B-1)'!F34*8)/12</f>
        <v>539.86548625000012</v>
      </c>
      <c r="F98" s="30">
        <f>('Bill Impact (B-1)'!G34*4+'Bill Impact (B-1)'!H34*8)/12</f>
        <v>539.07283207513831</v>
      </c>
      <c r="G98" s="30">
        <f>('Bill Impact (B-1)'!I34*4+'Bill Impact (B-1)'!J34*8)/12</f>
        <v>547.46499648512815</v>
      </c>
      <c r="H98" s="31">
        <f t="shared" si="36"/>
        <v>-3.2836208187062566E-3</v>
      </c>
      <c r="I98" s="31">
        <f t="shared" si="36"/>
        <v>1.4076673594964451E-2</v>
      </c>
      <c r="J98" s="32">
        <f t="shared" si="37"/>
        <v>1.5567774724770667E-2</v>
      </c>
    </row>
    <row r="99" spans="2:10" ht="15" thickBot="1">
      <c r="B99" s="492" t="s">
        <v>65</v>
      </c>
      <c r="C99" s="493"/>
      <c r="D99" s="33">
        <f>('Bill Impact (B-1)'!C35*4+'Bill Impact (B-1)'!D35*8)/12</f>
        <v>1226.6826829166666</v>
      </c>
      <c r="E99" s="33">
        <f>('Bill Impact (B-1)'!E35*4+'Bill Impact (B-1)'!F35*8)/12</f>
        <v>1205.5716629166666</v>
      </c>
      <c r="F99" s="33">
        <f>('Bill Impact (B-1)'!G35*4+'Bill Impact (B-1)'!H35*8)/12</f>
        <v>1203.7920648970148</v>
      </c>
      <c r="G99" s="33">
        <f>('Bill Impact (B-1)'!I35*4+'Bill Impact (B-1)'!J35*8)/12</f>
        <v>1222.6334204821499</v>
      </c>
      <c r="H99" s="34">
        <f t="shared" si="36"/>
        <v>-3.3009860585044848E-3</v>
      </c>
      <c r="I99" s="34">
        <f t="shared" si="36"/>
        <v>1.4152420872439286E-2</v>
      </c>
      <c r="J99" s="35">
        <f t="shared" si="37"/>
        <v>1.5651669532102286E-2</v>
      </c>
    </row>
    <row r="100" spans="2:10" ht="15" thickBot="1"/>
    <row r="101" spans="2:10">
      <c r="B101" s="484" t="s">
        <v>193</v>
      </c>
      <c r="C101" s="485"/>
      <c r="D101" s="485"/>
      <c r="E101" s="485"/>
      <c r="F101" s="485"/>
      <c r="G101" s="485"/>
      <c r="H101" s="485"/>
      <c r="I101" s="485"/>
      <c r="J101" s="486"/>
    </row>
    <row r="102" spans="2:10" ht="29">
      <c r="B102" s="28"/>
      <c r="C102" s="29"/>
      <c r="D102" s="12">
        <f>$D$27</f>
        <v>46023</v>
      </c>
      <c r="E102" s="12">
        <f>$E$27</f>
        <v>46082</v>
      </c>
      <c r="F102" s="15" t="str">
        <f>$D$3&amp;" Authorized"</f>
        <v>2026 Authorized</v>
      </c>
      <c r="G102" s="15" t="str">
        <f>$D$3&amp;" w/Pending"</f>
        <v>2026 w/Pending</v>
      </c>
      <c r="H102" s="15" t="s">
        <v>192</v>
      </c>
      <c r="I102" s="61" t="str">
        <f>I27</f>
        <v>% Change over 03/1/2026</v>
      </c>
      <c r="J102" s="57" t="s">
        <v>162</v>
      </c>
    </row>
    <row r="103" spans="2:10">
      <c r="B103" s="490" t="s">
        <v>63</v>
      </c>
      <c r="C103" s="491"/>
      <c r="D103" s="30">
        <f>'Bill Impact (B-1)'!C33</f>
        <v>412.32505624999999</v>
      </c>
      <c r="E103" s="30">
        <f>'Bill Impact (B-1)'!E33</f>
        <v>405.69339625000009</v>
      </c>
      <c r="F103" s="30">
        <f>'Bill Impact (B-1)'!G33</f>
        <v>405.13436646351863</v>
      </c>
      <c r="G103" s="30">
        <f>'Bill Impact (B-1)'!I33</f>
        <v>411.05305083687983</v>
      </c>
      <c r="H103" s="31">
        <f t="shared" ref="H103:I105" si="38">$G103/D103-1</f>
        <v>-3.0849578356667573E-3</v>
      </c>
      <c r="I103" s="31">
        <f t="shared" si="38"/>
        <v>1.3211096449736059E-2</v>
      </c>
      <c r="J103" s="32">
        <f t="shared" ref="J103:J105" si="39">$G103/F103-1</f>
        <v>1.4609188613215807E-2</v>
      </c>
    </row>
    <row r="104" spans="2:10">
      <c r="B104" s="490" t="s">
        <v>64</v>
      </c>
      <c r="C104" s="491"/>
      <c r="D104" s="30">
        <f>'Bill Impact (B-1)'!C34</f>
        <v>742.40728624999997</v>
      </c>
      <c r="E104" s="30">
        <f>'Bill Impact (B-1)'!E34</f>
        <v>730.33172625000009</v>
      </c>
      <c r="F104" s="30">
        <f>'Bill Impact (B-1)'!G34</f>
        <v>729.31379141491448</v>
      </c>
      <c r="G104" s="30">
        <f>'Bill Impact (B-1)'!I34</f>
        <v>740.09109728879616</v>
      </c>
      <c r="H104" s="31">
        <f t="shared" si="38"/>
        <v>-3.1198359769651907E-3</v>
      </c>
      <c r="I104" s="31">
        <f t="shared" si="38"/>
        <v>1.3362929047197492E-2</v>
      </c>
      <c r="J104" s="32">
        <f t="shared" si="39"/>
        <v>1.4777323561882882E-2</v>
      </c>
    </row>
    <row r="105" spans="2:10" ht="15" thickBot="1">
      <c r="B105" s="492" t="s">
        <v>65</v>
      </c>
      <c r="C105" s="493"/>
      <c r="D105" s="33">
        <f>'Bill Impact (B-1)'!C35</f>
        <v>1640.8302962499999</v>
      </c>
      <c r="E105" s="33">
        <f>'Bill Impact (B-1)'!E35</f>
        <v>1614.1763962500002</v>
      </c>
      <c r="F105" s="33">
        <f>'Bill Impact (B-1)'!G35</f>
        <v>1611.9295494535875</v>
      </c>
      <c r="G105" s="33">
        <f>'Bill Impact (B-1)'!I35</f>
        <v>1635.71786511198</v>
      </c>
      <c r="H105" s="34">
        <f t="shared" si="38"/>
        <v>-3.1157586190991848E-3</v>
      </c>
      <c r="I105" s="34">
        <f t="shared" si="38"/>
        <v>1.3345176470195064E-2</v>
      </c>
      <c r="J105" s="35">
        <f t="shared" si="39"/>
        <v>1.4757664605414167E-2</v>
      </c>
    </row>
    <row r="106" spans="2:10" ht="15" thickBot="1"/>
    <row r="107" spans="2:10">
      <c r="B107" s="484" t="s">
        <v>194</v>
      </c>
      <c r="C107" s="485"/>
      <c r="D107" s="485"/>
      <c r="E107" s="485"/>
      <c r="F107" s="485"/>
      <c r="G107" s="485"/>
      <c r="H107" s="485"/>
      <c r="I107" s="485"/>
      <c r="J107" s="486"/>
    </row>
    <row r="108" spans="2:10" ht="29">
      <c r="B108" s="28"/>
      <c r="C108" s="29"/>
      <c r="D108" s="12">
        <f>$D$27</f>
        <v>46023</v>
      </c>
      <c r="E108" s="12">
        <f>$E$27</f>
        <v>46082</v>
      </c>
      <c r="F108" s="15" t="str">
        <f>$D$3&amp;" Authorized"</f>
        <v>2026 Authorized</v>
      </c>
      <c r="G108" s="15" t="str">
        <f>$D$3&amp;" w/Pending"</f>
        <v>2026 w/Pending</v>
      </c>
      <c r="H108" s="15" t="s">
        <v>192</v>
      </c>
      <c r="I108" s="61" t="str">
        <f>I27</f>
        <v>% Change over 03/1/2026</v>
      </c>
      <c r="J108" s="57" t="s">
        <v>162</v>
      </c>
    </row>
    <row r="109" spans="2:10">
      <c r="B109" s="490" t="s">
        <v>63</v>
      </c>
      <c r="C109" s="491"/>
      <c r="D109" s="30">
        <f>'Bill Impact (B-1)'!D33</f>
        <v>304.89143624999997</v>
      </c>
      <c r="E109" s="30">
        <f>'Bill Impact (B-1)'!F33</f>
        <v>299.53237625000008</v>
      </c>
      <c r="F109" s="30">
        <f>'Bill Impact (B-1)'!H33</f>
        <v>299.0806229683871</v>
      </c>
      <c r="G109" s="30">
        <f>'Bill Impact (B-1)'!J33</f>
        <v>303.86352569227603</v>
      </c>
      <c r="H109" s="31">
        <f t="shared" ref="H109:I111" si="40">$G109/D109-1</f>
        <v>-3.3713985881882458E-3</v>
      </c>
      <c r="I109" s="31">
        <f t="shared" si="40"/>
        <v>1.4459703810652647E-2</v>
      </c>
      <c r="J109" s="32">
        <f t="shared" ref="J109:J111" si="41">$G109/F109-1</f>
        <v>1.5992018059941326E-2</v>
      </c>
    </row>
    <row r="110" spans="2:10">
      <c r="B110" s="490" t="s">
        <v>64</v>
      </c>
      <c r="C110" s="491"/>
      <c r="D110" s="30">
        <f>'Bill Impact (B-1)'!D34</f>
        <v>452.69923625000001</v>
      </c>
      <c r="E110" s="30">
        <f>'Bill Impact (B-1)'!F34</f>
        <v>444.63236625000002</v>
      </c>
      <c r="F110" s="30">
        <f>'Bill Impact (B-1)'!H34</f>
        <v>443.95235240525022</v>
      </c>
      <c r="G110" s="30">
        <f>'Bill Impact (B-1)'!J34</f>
        <v>451.15194608329415</v>
      </c>
      <c r="H110" s="31">
        <f t="shared" si="40"/>
        <v>-3.4179208684402829E-3</v>
      </c>
      <c r="I110" s="31">
        <f t="shared" si="40"/>
        <v>1.4662854817070192E-2</v>
      </c>
      <c r="J110" s="32">
        <f t="shared" si="41"/>
        <v>1.6217041398784993E-2</v>
      </c>
    </row>
    <row r="111" spans="2:10" ht="15" thickBot="1">
      <c r="B111" s="492" t="s">
        <v>65</v>
      </c>
      <c r="C111" s="493"/>
      <c r="D111" s="33">
        <f>'Bill Impact (B-1)'!D35</f>
        <v>1019.60887625</v>
      </c>
      <c r="E111" s="33">
        <f>'Bill Impact (B-1)'!F35</f>
        <v>1001.26929625</v>
      </c>
      <c r="F111" s="33">
        <f>'Bill Impact (B-1)'!H35</f>
        <v>999.72332261872839</v>
      </c>
      <c r="G111" s="33">
        <f>'Bill Impact (B-1)'!J35</f>
        <v>1016.0911981672349</v>
      </c>
      <c r="H111" s="34">
        <f t="shared" si="40"/>
        <v>-3.4500269316041221E-3</v>
      </c>
      <c r="I111" s="34">
        <f t="shared" si="40"/>
        <v>1.480311238219989E-2</v>
      </c>
      <c r="J111" s="35">
        <f t="shared" si="41"/>
        <v>1.637240542276408E-2</v>
      </c>
    </row>
  </sheetData>
  <mergeCells count="92">
    <mergeCell ref="B97:C97"/>
    <mergeCell ref="B98:C98"/>
    <mergeCell ref="B99:C99"/>
    <mergeCell ref="B103:C103"/>
    <mergeCell ref="B104:C104"/>
    <mergeCell ref="B101:J101"/>
    <mergeCell ref="B105:C105"/>
    <mergeCell ref="B109:C109"/>
    <mergeCell ref="B110:C110"/>
    <mergeCell ref="B111:C111"/>
    <mergeCell ref="B107:J107"/>
    <mergeCell ref="B93:C93"/>
    <mergeCell ref="L58:M58"/>
    <mergeCell ref="L79:M79"/>
    <mergeCell ref="L65:M65"/>
    <mergeCell ref="L72:M72"/>
    <mergeCell ref="L86:M86"/>
    <mergeCell ref="L93:M93"/>
    <mergeCell ref="B58:C58"/>
    <mergeCell ref="B65:C65"/>
    <mergeCell ref="B72:C72"/>
    <mergeCell ref="B79:C79"/>
    <mergeCell ref="B86:C86"/>
    <mergeCell ref="B61:J61"/>
    <mergeCell ref="B63:C63"/>
    <mergeCell ref="B64:C64"/>
    <mergeCell ref="L63:M63"/>
    <mergeCell ref="B50:C50"/>
    <mergeCell ref="B51:C51"/>
    <mergeCell ref="B42:C42"/>
    <mergeCell ref="B43:C43"/>
    <mergeCell ref="B44:C44"/>
    <mergeCell ref="B47:J47"/>
    <mergeCell ref="B49:C49"/>
    <mergeCell ref="B37:C37"/>
    <mergeCell ref="B26:J26"/>
    <mergeCell ref="L26:T26"/>
    <mergeCell ref="B27:C27"/>
    <mergeCell ref="L27:M27"/>
    <mergeCell ref="B28:C28"/>
    <mergeCell ref="L28:M28"/>
    <mergeCell ref="B30:C30"/>
    <mergeCell ref="L30:M30"/>
    <mergeCell ref="B33:J33"/>
    <mergeCell ref="B35:C35"/>
    <mergeCell ref="B36:C36"/>
    <mergeCell ref="L37:M37"/>
    <mergeCell ref="L33:T33"/>
    <mergeCell ref="L35:M35"/>
    <mergeCell ref="L36:M36"/>
    <mergeCell ref="B54:J54"/>
    <mergeCell ref="B56:C56"/>
    <mergeCell ref="B57:C57"/>
    <mergeCell ref="L56:M56"/>
    <mergeCell ref="L57:M57"/>
    <mergeCell ref="L64:M64"/>
    <mergeCell ref="B68:J68"/>
    <mergeCell ref="B70:C70"/>
    <mergeCell ref="B71:C71"/>
    <mergeCell ref="L70:M70"/>
    <mergeCell ref="L71:M71"/>
    <mergeCell ref="B85:C85"/>
    <mergeCell ref="B89:J89"/>
    <mergeCell ref="B91:C91"/>
    <mergeCell ref="B92:C92"/>
    <mergeCell ref="B77:C77"/>
    <mergeCell ref="B78:C78"/>
    <mergeCell ref="B82:J82"/>
    <mergeCell ref="B84:C84"/>
    <mergeCell ref="L51:M51"/>
    <mergeCell ref="L54:T54"/>
    <mergeCell ref="L40:T40"/>
    <mergeCell ref="L42:M42"/>
    <mergeCell ref="L43:M43"/>
    <mergeCell ref="L44:M44"/>
    <mergeCell ref="L47:T47"/>
    <mergeCell ref="B95:J95"/>
    <mergeCell ref="B75:J75"/>
    <mergeCell ref="B40:J40"/>
    <mergeCell ref="L85:M85"/>
    <mergeCell ref="L89:T89"/>
    <mergeCell ref="L91:M91"/>
    <mergeCell ref="L92:M92"/>
    <mergeCell ref="L68:T68"/>
    <mergeCell ref="L75:T75"/>
    <mergeCell ref="L77:M77"/>
    <mergeCell ref="L78:M78"/>
    <mergeCell ref="L82:T82"/>
    <mergeCell ref="L84:M84"/>
    <mergeCell ref="L61:T61"/>
    <mergeCell ref="L49:M49"/>
    <mergeCell ref="L50:M50"/>
  </mergeCells>
  <dataValidations count="1">
    <dataValidation type="list" allowBlank="1" showInputMessage="1" showErrorMessage="1" sqref="D21 I3 D8:D17" xr:uid="{354941C3-A61C-4949-AD7A-6FDCCAD6EF31}">
      <formula1>"Y, N"</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79BB42E-AD85-4A2B-9997-07E27F992333}">
          <x14:formula1>
            <xm:f>'Res Bill Impact'!$B$38:$B$48</xm:f>
          </x14:formula1>
          <xm:sqref>D4</xm:sqref>
        </x14:dataValidation>
        <x14:dataValidation type="list" allowBlank="1" showInputMessage="1" showErrorMessage="1" xr:uid="{6CEA4254-2AB3-4A10-98BB-1E095F347CB6}">
          <x14:formula1>
            <xm:f>'Incremental Rev Req'!$S$9:$V$9</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9D28-87E3-445F-89CF-C3F304F54B9A}">
  <sheetPr codeName="Sheet1"/>
  <dimension ref="A1:T170"/>
  <sheetViews>
    <sheetView tabSelected="1" topLeftCell="B1" zoomScaleNormal="100" workbookViewId="0">
      <selection activeCell="E20" sqref="E20"/>
    </sheetView>
  </sheetViews>
  <sheetFormatPr defaultColWidth="9.1796875" defaultRowHeight="14.5"/>
  <cols>
    <col min="1" max="1" width="60.1796875" customWidth="1"/>
    <col min="2" max="4" width="46.453125" customWidth="1"/>
    <col min="5" max="5" width="33.26953125" customWidth="1"/>
    <col min="6" max="6" width="34" customWidth="1"/>
    <col min="7" max="11" width="19.7265625" style="268" customWidth="1"/>
    <col min="12" max="12" width="45.81640625" customWidth="1"/>
    <col min="13" max="13" width="19.81640625" customWidth="1"/>
    <col min="14" max="14" width="20.453125" customWidth="1"/>
    <col min="15" max="15" width="25.7265625" bestFit="1" customWidth="1"/>
    <col min="16" max="16" width="19.54296875" bestFit="1" customWidth="1"/>
    <col min="17" max="17" width="20.1796875" bestFit="1" customWidth="1"/>
    <col min="18" max="18" width="19.81640625" customWidth="1"/>
    <col min="20" max="20" width="11.26953125" bestFit="1" customWidth="1"/>
  </cols>
  <sheetData>
    <row r="1" spans="1:20">
      <c r="G1"/>
      <c r="H1" s="91"/>
      <c r="I1" s="91"/>
      <c r="J1" s="91"/>
      <c r="K1" s="91"/>
    </row>
    <row r="2" spans="1:20">
      <c r="A2" t="s">
        <v>195</v>
      </c>
      <c r="G2"/>
      <c r="H2"/>
      <c r="I2"/>
      <c r="J2"/>
      <c r="K2"/>
    </row>
    <row r="3" spans="1:20">
      <c r="A3" t="s">
        <v>196</v>
      </c>
      <c r="G3"/>
      <c r="H3"/>
      <c r="I3"/>
      <c r="J3"/>
      <c r="K3"/>
    </row>
    <row r="4" spans="1:20">
      <c r="G4"/>
      <c r="H4"/>
      <c r="I4"/>
      <c r="J4"/>
      <c r="K4"/>
    </row>
    <row r="5" spans="1:20">
      <c r="A5" s="10"/>
      <c r="B5" s="260" t="s">
        <v>197</v>
      </c>
      <c r="C5" s="260" t="s">
        <v>198</v>
      </c>
      <c r="D5" s="260" t="s">
        <v>199</v>
      </c>
      <c r="E5" s="260" t="s">
        <v>200</v>
      </c>
      <c r="F5" s="260" t="s">
        <v>201</v>
      </c>
      <c r="G5" s="260" t="s">
        <v>197</v>
      </c>
      <c r="H5" s="260" t="s">
        <v>198</v>
      </c>
      <c r="I5" s="260" t="s">
        <v>199</v>
      </c>
      <c r="J5" s="260" t="s">
        <v>200</v>
      </c>
      <c r="K5" s="260" t="s">
        <v>201</v>
      </c>
    </row>
    <row r="6" spans="1:20">
      <c r="B6" s="11" t="s">
        <v>202</v>
      </c>
      <c r="C6" s="261" t="s">
        <v>203</v>
      </c>
      <c r="D6" t="s">
        <v>204</v>
      </c>
      <c r="E6" t="s">
        <v>205</v>
      </c>
      <c r="F6" t="s">
        <v>206</v>
      </c>
      <c r="G6" s="11" t="s">
        <v>202</v>
      </c>
      <c r="H6" s="261" t="s">
        <v>203</v>
      </c>
      <c r="I6" t="s">
        <v>204</v>
      </c>
      <c r="J6" t="s">
        <v>205</v>
      </c>
      <c r="K6" t="s">
        <v>206</v>
      </c>
      <c r="O6" s="262"/>
    </row>
    <row r="7" spans="1:20" ht="28.5" customHeight="1">
      <c r="A7" s="263" t="s">
        <v>207</v>
      </c>
      <c r="B7" s="264"/>
      <c r="C7" s="264"/>
      <c r="D7" s="264"/>
      <c r="E7" s="264"/>
      <c r="F7" s="264"/>
      <c r="G7" s="265"/>
      <c r="H7" s="265"/>
      <c r="I7" s="265"/>
      <c r="J7" s="265"/>
      <c r="K7" s="265"/>
      <c r="L7" s="266" t="s">
        <v>208</v>
      </c>
      <c r="M7" s="266" t="s">
        <v>209</v>
      </c>
      <c r="N7" s="266" t="s">
        <v>210</v>
      </c>
    </row>
    <row r="8" spans="1:20">
      <c r="A8" s="10" t="s">
        <v>211</v>
      </c>
      <c r="B8" s="267"/>
      <c r="C8" s="267"/>
      <c r="D8" s="267"/>
      <c r="E8" s="267"/>
      <c r="F8" s="267"/>
      <c r="O8" s="262"/>
    </row>
    <row r="9" spans="1:20">
      <c r="A9" t="s">
        <v>212</v>
      </c>
      <c r="B9" s="267" t="s">
        <v>213</v>
      </c>
      <c r="C9" s="267" t="str">
        <f>B9</f>
        <v>D.23-11-069</v>
      </c>
      <c r="D9" s="267" t="str">
        <f t="shared" ref="D9:E74" si="0">C9</f>
        <v>D.23-11-069</v>
      </c>
      <c r="E9" s="267" t="str">
        <f>D9</f>
        <v>D.23-11-069</v>
      </c>
      <c r="F9" s="267" t="str">
        <f>E9</f>
        <v>D.23-11-069</v>
      </c>
      <c r="G9" s="91">
        <v>6884278.1674621208</v>
      </c>
      <c r="H9" s="91">
        <f t="shared" ref="H9:H31" si="1">G9</f>
        <v>6884278.1674621208</v>
      </c>
      <c r="I9" s="91">
        <f>H9</f>
        <v>6884278.1674621208</v>
      </c>
      <c r="J9" s="91">
        <v>7264014.529740354</v>
      </c>
      <c r="K9" s="91">
        <f>J9</f>
        <v>7264014.529740354</v>
      </c>
      <c r="L9" t="s">
        <v>214</v>
      </c>
      <c r="M9" t="str">
        <f t="shared" ref="M9:M40" si="2">IF(RIGHT(A9,1)="*","Y","N")</f>
        <v>N</v>
      </c>
      <c r="N9" t="s">
        <v>215</v>
      </c>
      <c r="O9" s="67"/>
      <c r="R9" s="269"/>
    </row>
    <row r="10" spans="1:20">
      <c r="A10" t="s">
        <v>216</v>
      </c>
      <c r="B10" s="267" t="s">
        <v>213</v>
      </c>
      <c r="C10" s="267" t="str">
        <f>B10</f>
        <v>D.23-11-069</v>
      </c>
      <c r="D10" s="267" t="str">
        <f t="shared" si="0"/>
        <v>D.23-11-069</v>
      </c>
      <c r="E10" s="267" t="str">
        <f t="shared" ref="E10:F73" si="3">D10</f>
        <v>D.23-11-069</v>
      </c>
      <c r="F10" s="267" t="str">
        <f t="shared" si="3"/>
        <v>D.23-11-069</v>
      </c>
      <c r="G10" s="91">
        <v>978572.41428428795</v>
      </c>
      <c r="H10" s="91">
        <f t="shared" si="1"/>
        <v>978572.41428428795</v>
      </c>
      <c r="I10" s="91">
        <f t="shared" ref="I10:J77" si="4">H10</f>
        <v>978572.41428428795</v>
      </c>
      <c r="J10" s="91">
        <v>1182071.4236695445</v>
      </c>
      <c r="K10" s="91">
        <f t="shared" ref="K10:K73" si="5">J10</f>
        <v>1182071.4236695445</v>
      </c>
      <c r="L10" t="s">
        <v>217</v>
      </c>
      <c r="M10" t="str">
        <f t="shared" si="2"/>
        <v>N</v>
      </c>
      <c r="N10" t="s">
        <v>215</v>
      </c>
      <c r="O10" s="67"/>
      <c r="R10" s="269"/>
    </row>
    <row r="11" spans="1:20">
      <c r="A11" t="s">
        <v>218</v>
      </c>
      <c r="B11" s="267" t="s">
        <v>219</v>
      </c>
      <c r="C11" s="267" t="s">
        <v>213</v>
      </c>
      <c r="D11" s="267" t="str">
        <f t="shared" si="0"/>
        <v>D.23-11-069</v>
      </c>
      <c r="E11" s="267" t="str">
        <f t="shared" si="3"/>
        <v>D.23-11-069</v>
      </c>
      <c r="F11" s="267" t="str">
        <f t="shared" si="3"/>
        <v>D.23-11-069</v>
      </c>
      <c r="G11" s="91">
        <v>1523645.7921620212</v>
      </c>
      <c r="H11" s="91">
        <f t="shared" si="1"/>
        <v>1523645.7921620212</v>
      </c>
      <c r="I11" s="91">
        <f t="shared" si="4"/>
        <v>1523645.7921620212</v>
      </c>
      <c r="J11" s="91">
        <v>1299232.8186116298</v>
      </c>
      <c r="K11" s="91">
        <f t="shared" si="5"/>
        <v>1299232.8186116298</v>
      </c>
      <c r="L11" t="s">
        <v>214</v>
      </c>
      <c r="M11" t="str">
        <f t="shared" si="2"/>
        <v>Y</v>
      </c>
      <c r="N11" t="s">
        <v>215</v>
      </c>
      <c r="O11" s="262"/>
      <c r="R11" s="269"/>
    </row>
    <row r="12" spans="1:20">
      <c r="A12" t="s">
        <v>220</v>
      </c>
      <c r="B12" s="267" t="s">
        <v>213</v>
      </c>
      <c r="C12" s="267" t="str">
        <f t="shared" ref="C12:C31" si="6">B12</f>
        <v>D.23-11-069</v>
      </c>
      <c r="D12" s="267" t="str">
        <f t="shared" si="0"/>
        <v>D.23-11-069</v>
      </c>
      <c r="E12" s="267" t="str">
        <f t="shared" si="3"/>
        <v>D.23-11-069</v>
      </c>
      <c r="F12" s="267" t="str">
        <f t="shared" si="3"/>
        <v>D.23-11-069</v>
      </c>
      <c r="G12" s="91">
        <v>872096.71037771134</v>
      </c>
      <c r="H12" s="91">
        <f t="shared" si="1"/>
        <v>872096.71037771134</v>
      </c>
      <c r="I12" s="91">
        <f t="shared" si="4"/>
        <v>872096.71037771134</v>
      </c>
      <c r="J12" s="91">
        <v>0</v>
      </c>
      <c r="K12" s="91">
        <f t="shared" si="5"/>
        <v>0</v>
      </c>
      <c r="L12" t="s">
        <v>214</v>
      </c>
      <c r="M12" t="str">
        <f t="shared" si="2"/>
        <v>N</v>
      </c>
      <c r="N12" t="s">
        <v>215</v>
      </c>
      <c r="O12" s="270"/>
      <c r="R12" s="269"/>
    </row>
    <row r="13" spans="1:20">
      <c r="A13" t="s">
        <v>221</v>
      </c>
      <c r="B13" s="267" t="s">
        <v>222</v>
      </c>
      <c r="C13" s="267" t="str">
        <f t="shared" si="6"/>
        <v>D.23-01-005</v>
      </c>
      <c r="D13" s="267" t="str">
        <f t="shared" si="0"/>
        <v>D.23-01-005</v>
      </c>
      <c r="E13" s="267" t="str">
        <f t="shared" si="3"/>
        <v>D.23-01-005</v>
      </c>
      <c r="F13" s="267" t="str">
        <f t="shared" si="3"/>
        <v>D.23-01-005</v>
      </c>
      <c r="G13" s="91">
        <v>8940.0690988847255</v>
      </c>
      <c r="H13" s="91">
        <f t="shared" si="1"/>
        <v>8940.0690988847255</v>
      </c>
      <c r="I13" s="91">
        <f t="shared" si="4"/>
        <v>8940.0690988847255</v>
      </c>
      <c r="J13" s="91">
        <v>0</v>
      </c>
      <c r="K13" s="91">
        <f t="shared" si="5"/>
        <v>0</v>
      </c>
      <c r="L13" t="s">
        <v>214</v>
      </c>
      <c r="M13" t="str">
        <f t="shared" si="2"/>
        <v>N</v>
      </c>
      <c r="N13" t="s">
        <v>215</v>
      </c>
      <c r="P13" s="67"/>
      <c r="Q13" s="67"/>
      <c r="R13" s="269"/>
      <c r="T13" s="67"/>
    </row>
    <row r="14" spans="1:20">
      <c r="A14" t="s">
        <v>223</v>
      </c>
      <c r="B14" s="267" t="s">
        <v>224</v>
      </c>
      <c r="C14" s="267" t="str">
        <f t="shared" si="6"/>
        <v>n/a</v>
      </c>
      <c r="D14" s="267" t="str">
        <f t="shared" si="0"/>
        <v>n/a</v>
      </c>
      <c r="E14" s="267" t="str">
        <f t="shared" si="3"/>
        <v>n/a</v>
      </c>
      <c r="F14" s="267" t="str">
        <f t="shared" si="3"/>
        <v>n/a</v>
      </c>
      <c r="G14" s="91">
        <v>0</v>
      </c>
      <c r="H14" s="91">
        <f t="shared" si="1"/>
        <v>0</v>
      </c>
      <c r="I14" s="91">
        <f t="shared" si="4"/>
        <v>0</v>
      </c>
      <c r="J14" s="91">
        <f>I14</f>
        <v>0</v>
      </c>
      <c r="K14" s="91">
        <f t="shared" si="5"/>
        <v>0</v>
      </c>
      <c r="L14" t="s">
        <v>214</v>
      </c>
      <c r="M14" t="str">
        <f t="shared" si="2"/>
        <v>N</v>
      </c>
      <c r="N14" t="s">
        <v>215</v>
      </c>
      <c r="O14" s="262"/>
      <c r="P14" s="67"/>
      <c r="Q14" s="67"/>
      <c r="R14" s="269"/>
      <c r="T14" s="67"/>
    </row>
    <row r="15" spans="1:20">
      <c r="A15" t="s">
        <v>212</v>
      </c>
      <c r="B15" s="267" t="s">
        <v>213</v>
      </c>
      <c r="C15" s="267" t="str">
        <f t="shared" si="6"/>
        <v>D.23-11-069</v>
      </c>
      <c r="D15" s="267" t="str">
        <f t="shared" si="0"/>
        <v>D.23-11-069</v>
      </c>
      <c r="E15" s="267" t="str">
        <f t="shared" si="3"/>
        <v>D.23-11-069</v>
      </c>
      <c r="F15" s="267" t="str">
        <f t="shared" si="3"/>
        <v>D.23-11-069</v>
      </c>
      <c r="G15" s="91">
        <v>1850084.3723644684</v>
      </c>
      <c r="H15" s="91">
        <f t="shared" si="1"/>
        <v>1850084.3723644684</v>
      </c>
      <c r="I15" s="91">
        <f t="shared" si="4"/>
        <v>1850084.3723644684</v>
      </c>
      <c r="J15" s="91">
        <v>1203523.6645707237</v>
      </c>
      <c r="K15" s="91">
        <f t="shared" si="5"/>
        <v>1203523.6645707237</v>
      </c>
      <c r="L15" t="s">
        <v>225</v>
      </c>
      <c r="M15" t="str">
        <f t="shared" si="2"/>
        <v>N</v>
      </c>
      <c r="N15" t="s">
        <v>215</v>
      </c>
      <c r="O15" s="262"/>
      <c r="P15" s="67"/>
      <c r="Q15" s="67"/>
      <c r="R15" s="269"/>
      <c r="T15" s="67"/>
    </row>
    <row r="16" spans="1:20">
      <c r="A16" t="s">
        <v>220</v>
      </c>
      <c r="B16" s="267" t="s">
        <v>213</v>
      </c>
      <c r="C16" s="267" t="str">
        <f t="shared" si="6"/>
        <v>D.23-11-069</v>
      </c>
      <c r="D16" s="267" t="str">
        <f t="shared" si="0"/>
        <v>D.23-11-069</v>
      </c>
      <c r="E16" s="267" t="str">
        <f t="shared" si="3"/>
        <v>D.23-11-069</v>
      </c>
      <c r="F16" s="267" t="str">
        <f t="shared" si="3"/>
        <v>D.23-11-069</v>
      </c>
      <c r="G16" s="91">
        <v>-993.7272371893788</v>
      </c>
      <c r="H16" s="91">
        <f t="shared" si="1"/>
        <v>-993.7272371893788</v>
      </c>
      <c r="I16" s="91">
        <f t="shared" si="4"/>
        <v>-993.7272371893788</v>
      </c>
      <c r="J16" s="91">
        <v>0</v>
      </c>
      <c r="K16" s="91">
        <f t="shared" si="5"/>
        <v>0</v>
      </c>
      <c r="L16" t="s">
        <v>225</v>
      </c>
      <c r="M16" t="str">
        <f t="shared" si="2"/>
        <v>N</v>
      </c>
      <c r="N16" t="s">
        <v>215</v>
      </c>
      <c r="P16" s="67"/>
      <c r="Q16" s="67"/>
      <c r="R16" s="269"/>
      <c r="T16" s="67"/>
    </row>
    <row r="17" spans="1:20">
      <c r="A17" t="s">
        <v>226</v>
      </c>
      <c r="B17" s="271" t="s">
        <v>227</v>
      </c>
      <c r="C17" s="271" t="str">
        <f t="shared" si="6"/>
        <v>AL 4880-G/7216-E</v>
      </c>
      <c r="D17" s="267" t="str">
        <f t="shared" si="0"/>
        <v>AL 4880-G/7216-E</v>
      </c>
      <c r="E17" s="267" t="str">
        <f t="shared" si="3"/>
        <v>AL 4880-G/7216-E</v>
      </c>
      <c r="F17" s="267" t="str">
        <f t="shared" si="3"/>
        <v>AL 4880-G/7216-E</v>
      </c>
      <c r="G17" s="91">
        <v>71556.30161158042</v>
      </c>
      <c r="H17" s="91">
        <f t="shared" si="1"/>
        <v>71556.30161158042</v>
      </c>
      <c r="I17" s="91">
        <v>81329.474154799595</v>
      </c>
      <c r="J17" s="91">
        <v>81329.474154799551</v>
      </c>
      <c r="K17" s="91">
        <f t="shared" si="5"/>
        <v>81329.474154799551</v>
      </c>
      <c r="L17" t="s">
        <v>214</v>
      </c>
      <c r="M17" t="str">
        <f t="shared" si="2"/>
        <v>N</v>
      </c>
      <c r="N17" t="s">
        <v>215</v>
      </c>
      <c r="O17" s="262"/>
      <c r="P17" s="67"/>
      <c r="Q17" s="67"/>
      <c r="R17" s="269"/>
      <c r="T17" s="67"/>
    </row>
    <row r="18" spans="1:20">
      <c r="A18" t="s">
        <v>228</v>
      </c>
      <c r="B18" s="267" t="s">
        <v>229</v>
      </c>
      <c r="C18" s="267" t="str">
        <f t="shared" si="6"/>
        <v>AL 4568-G-B/6492-E-B</v>
      </c>
      <c r="D18" s="267" t="str">
        <f t="shared" si="0"/>
        <v>AL 4568-G-B/6492-E-B</v>
      </c>
      <c r="E18" s="267" t="str">
        <f t="shared" si="3"/>
        <v>AL 4568-G-B/6492-E-B</v>
      </c>
      <c r="F18" s="267" t="str">
        <f t="shared" si="3"/>
        <v>AL 4568-G-B/6492-E-B</v>
      </c>
      <c r="G18" s="91">
        <v>-1.3162760000000001E-4</v>
      </c>
      <c r="H18" s="91">
        <f t="shared" si="1"/>
        <v>-1.3162760000000001E-4</v>
      </c>
      <c r="I18" s="91">
        <f t="shared" si="4"/>
        <v>-1.3162760000000001E-4</v>
      </c>
      <c r="J18" s="91">
        <v>0</v>
      </c>
      <c r="K18" s="91">
        <f t="shared" si="5"/>
        <v>0</v>
      </c>
      <c r="L18" t="s">
        <v>214</v>
      </c>
      <c r="M18" t="str">
        <f t="shared" si="2"/>
        <v>Y</v>
      </c>
      <c r="N18" t="s">
        <v>215</v>
      </c>
      <c r="P18" s="67"/>
      <c r="Q18" s="67"/>
      <c r="R18" s="269"/>
      <c r="S18" s="262"/>
      <c r="T18" s="67"/>
    </row>
    <row r="19" spans="1:20">
      <c r="A19" t="s">
        <v>226</v>
      </c>
      <c r="B19" s="267" t="s">
        <v>229</v>
      </c>
      <c r="C19" s="267" t="str">
        <f t="shared" si="6"/>
        <v>AL 4568-G-B/6492-E-B</v>
      </c>
      <c r="D19" s="267" t="str">
        <f t="shared" si="0"/>
        <v>AL 4568-G-B/6492-E-B</v>
      </c>
      <c r="E19" s="267" t="str">
        <f t="shared" si="3"/>
        <v>AL 4568-G-B/6492-E-B</v>
      </c>
      <c r="F19" s="267" t="str">
        <f t="shared" si="3"/>
        <v>AL 4568-G-B/6492-E-B</v>
      </c>
      <c r="G19" s="91">
        <v>39491.613222698499</v>
      </c>
      <c r="H19" s="91">
        <f t="shared" si="1"/>
        <v>39491.613222698499</v>
      </c>
      <c r="I19" s="91">
        <f t="shared" si="4"/>
        <v>39491.613222698499</v>
      </c>
      <c r="J19" s="91">
        <v>30252.385753378665</v>
      </c>
      <c r="K19" s="91">
        <f t="shared" si="5"/>
        <v>30252.385753378665</v>
      </c>
      <c r="L19" t="s">
        <v>225</v>
      </c>
      <c r="M19" t="str">
        <f t="shared" si="2"/>
        <v>N</v>
      </c>
      <c r="N19" t="s">
        <v>215</v>
      </c>
      <c r="O19" s="262"/>
      <c r="P19" s="67"/>
      <c r="Q19" s="67"/>
      <c r="R19" s="269"/>
      <c r="T19" s="67"/>
    </row>
    <row r="20" spans="1:20">
      <c r="A20" s="267" t="s">
        <v>230</v>
      </c>
      <c r="B20" s="267" t="s">
        <v>213</v>
      </c>
      <c r="C20" s="267" t="str">
        <f t="shared" si="6"/>
        <v>D.23-11-069</v>
      </c>
      <c r="D20" s="267" t="str">
        <f t="shared" si="0"/>
        <v>D.23-11-069</v>
      </c>
      <c r="E20" s="267" t="str">
        <f t="shared" si="3"/>
        <v>D.23-11-069</v>
      </c>
      <c r="F20" s="267" t="str">
        <f t="shared" si="3"/>
        <v>D.23-11-069</v>
      </c>
      <c r="G20" s="91">
        <v>-1939</v>
      </c>
      <c r="H20" s="91">
        <f t="shared" si="1"/>
        <v>-1939</v>
      </c>
      <c r="I20" s="91">
        <f t="shared" si="4"/>
        <v>-1939</v>
      </c>
      <c r="J20" s="91">
        <v>0</v>
      </c>
      <c r="K20" s="91">
        <f t="shared" si="5"/>
        <v>0</v>
      </c>
      <c r="L20" t="s">
        <v>225</v>
      </c>
      <c r="M20" t="str">
        <f t="shared" si="2"/>
        <v>N</v>
      </c>
      <c r="N20" t="s">
        <v>215</v>
      </c>
      <c r="O20" s="262"/>
      <c r="P20" s="67"/>
      <c r="Q20" s="67"/>
      <c r="R20" s="269"/>
      <c r="T20" s="67"/>
    </row>
    <row r="21" spans="1:20">
      <c r="A21" t="s">
        <v>231</v>
      </c>
      <c r="B21" s="267" t="s">
        <v>232</v>
      </c>
      <c r="C21" s="267" t="str">
        <f t="shared" si="6"/>
        <v>D.23-12-022</v>
      </c>
      <c r="D21" s="267" t="str">
        <f t="shared" si="0"/>
        <v>D.23-12-022</v>
      </c>
      <c r="E21" s="267" t="str">
        <f t="shared" si="3"/>
        <v>D.23-12-022</v>
      </c>
      <c r="F21" s="267" t="str">
        <f t="shared" si="3"/>
        <v>D.23-12-022</v>
      </c>
      <c r="G21" s="91">
        <v>4499559.0665874425</v>
      </c>
      <c r="H21" s="91">
        <f t="shared" si="1"/>
        <v>4499559.0665874425</v>
      </c>
      <c r="I21" s="91">
        <f t="shared" si="4"/>
        <v>4499559.0665874425</v>
      </c>
      <c r="J21" s="91">
        <v>3072849.9094557511</v>
      </c>
      <c r="K21" s="91">
        <f t="shared" si="5"/>
        <v>3072849.9094557511</v>
      </c>
      <c r="L21" t="s">
        <v>233</v>
      </c>
      <c r="M21" t="str">
        <f t="shared" si="2"/>
        <v>N</v>
      </c>
      <c r="N21" t="s">
        <v>215</v>
      </c>
      <c r="O21" s="262"/>
      <c r="P21" s="67"/>
      <c r="Q21" s="67"/>
      <c r="R21" s="269"/>
      <c r="T21" s="67"/>
    </row>
    <row r="22" spans="1:20">
      <c r="A22" t="s">
        <v>234</v>
      </c>
      <c r="B22" s="267" t="s">
        <v>232</v>
      </c>
      <c r="C22" s="267" t="str">
        <f t="shared" si="6"/>
        <v>D.23-12-022</v>
      </c>
      <c r="D22" s="267" t="str">
        <f t="shared" si="0"/>
        <v>D.23-12-022</v>
      </c>
      <c r="E22" s="267" t="str">
        <f t="shared" si="3"/>
        <v>D.23-12-022</v>
      </c>
      <c r="F22" s="267" t="str">
        <f t="shared" si="3"/>
        <v>D.23-12-022</v>
      </c>
      <c r="G22" s="91">
        <v>-2331331.0225770986</v>
      </c>
      <c r="H22" s="91">
        <f t="shared" si="1"/>
        <v>-2331331.0225770986</v>
      </c>
      <c r="I22" s="91">
        <f t="shared" si="4"/>
        <v>-2331331.0225770986</v>
      </c>
      <c r="J22" s="91">
        <v>-685483.59337892663</v>
      </c>
      <c r="K22" s="91">
        <f t="shared" si="5"/>
        <v>-685483.59337892663</v>
      </c>
      <c r="L22" t="s">
        <v>225</v>
      </c>
      <c r="M22" t="str">
        <f t="shared" si="2"/>
        <v>N</v>
      </c>
      <c r="N22" t="s">
        <v>215</v>
      </c>
      <c r="P22" s="67"/>
      <c r="Q22" s="67"/>
      <c r="R22" s="269"/>
      <c r="T22" s="67"/>
    </row>
    <row r="23" spans="1:20">
      <c r="A23" t="s">
        <v>235</v>
      </c>
      <c r="B23" s="267" t="s">
        <v>224</v>
      </c>
      <c r="C23" s="267" t="str">
        <f t="shared" si="6"/>
        <v>n/a</v>
      </c>
      <c r="D23" s="267" t="str">
        <f t="shared" si="0"/>
        <v>n/a</v>
      </c>
      <c r="E23" s="267" t="str">
        <f t="shared" si="3"/>
        <v>n/a</v>
      </c>
      <c r="F23" s="267" t="str">
        <f t="shared" si="3"/>
        <v>n/a</v>
      </c>
      <c r="G23" s="91">
        <v>0</v>
      </c>
      <c r="H23" s="91">
        <f t="shared" si="1"/>
        <v>0</v>
      </c>
      <c r="I23" s="91">
        <f t="shared" si="4"/>
        <v>0</v>
      </c>
      <c r="J23" s="91">
        <v>628558.31638215226</v>
      </c>
      <c r="K23" s="91">
        <f t="shared" si="5"/>
        <v>628558.31638215226</v>
      </c>
      <c r="L23" t="s">
        <v>225</v>
      </c>
      <c r="M23" t="str">
        <f t="shared" si="2"/>
        <v>Y</v>
      </c>
      <c r="N23" t="s">
        <v>215</v>
      </c>
      <c r="P23" s="67"/>
      <c r="Q23" s="67"/>
      <c r="R23" s="269"/>
      <c r="T23" s="67"/>
    </row>
    <row r="24" spans="1:20">
      <c r="A24" t="s">
        <v>236</v>
      </c>
      <c r="B24" s="267" t="s">
        <v>224</v>
      </c>
      <c r="C24" s="267" t="str">
        <f t="shared" si="6"/>
        <v>n/a</v>
      </c>
      <c r="D24" s="267" t="str">
        <f t="shared" si="0"/>
        <v>n/a</v>
      </c>
      <c r="E24" s="267" t="str">
        <f t="shared" si="3"/>
        <v>n/a</v>
      </c>
      <c r="F24" s="267" t="str">
        <f t="shared" si="3"/>
        <v>n/a</v>
      </c>
      <c r="G24" s="91">
        <v>0</v>
      </c>
      <c r="H24" s="91">
        <f t="shared" si="1"/>
        <v>0</v>
      </c>
      <c r="I24" s="91">
        <f t="shared" si="4"/>
        <v>0</v>
      </c>
      <c r="J24" s="91">
        <f t="shared" si="4"/>
        <v>0</v>
      </c>
      <c r="K24" s="91">
        <f t="shared" si="5"/>
        <v>0</v>
      </c>
      <c r="L24" t="s">
        <v>233</v>
      </c>
      <c r="M24" t="str">
        <f t="shared" si="2"/>
        <v>N</v>
      </c>
      <c r="N24" t="s">
        <v>215</v>
      </c>
      <c r="O24" s="262"/>
      <c r="P24" s="67"/>
      <c r="Q24" s="67"/>
      <c r="R24" s="269"/>
      <c r="T24" s="67"/>
    </row>
    <row r="25" spans="1:20">
      <c r="A25" t="s">
        <v>237</v>
      </c>
      <c r="B25" s="267" t="s">
        <v>224</v>
      </c>
      <c r="C25" s="267" t="str">
        <f t="shared" si="6"/>
        <v>n/a</v>
      </c>
      <c r="D25" s="267" t="str">
        <f t="shared" si="0"/>
        <v>n/a</v>
      </c>
      <c r="E25" s="267" t="str">
        <f t="shared" si="3"/>
        <v>n/a</v>
      </c>
      <c r="F25" s="267" t="str">
        <f t="shared" si="3"/>
        <v>n/a</v>
      </c>
      <c r="G25" s="91">
        <v>0</v>
      </c>
      <c r="H25" s="91">
        <f t="shared" si="1"/>
        <v>0</v>
      </c>
      <c r="I25" s="91">
        <f t="shared" si="4"/>
        <v>0</v>
      </c>
      <c r="J25" s="91">
        <v>0</v>
      </c>
      <c r="K25" s="91">
        <f t="shared" si="5"/>
        <v>0</v>
      </c>
      <c r="L25" t="s">
        <v>225</v>
      </c>
      <c r="M25" t="str">
        <f t="shared" si="2"/>
        <v>Y</v>
      </c>
      <c r="N25" t="s">
        <v>215</v>
      </c>
      <c r="P25" s="67"/>
      <c r="Q25" s="67"/>
      <c r="R25" s="269"/>
      <c r="T25" s="67"/>
    </row>
    <row r="26" spans="1:20">
      <c r="A26" t="s">
        <v>238</v>
      </c>
      <c r="B26" t="s">
        <v>239</v>
      </c>
      <c r="C26" s="267" t="str">
        <f t="shared" si="6"/>
        <v>Electric Preliminary HS</v>
      </c>
      <c r="D26" s="267" t="str">
        <f t="shared" si="0"/>
        <v>Electric Preliminary HS</v>
      </c>
      <c r="E26" s="267" t="str">
        <f t="shared" si="3"/>
        <v>Electric Preliminary HS</v>
      </c>
      <c r="F26" s="267" t="str">
        <f t="shared" si="3"/>
        <v>Electric Preliminary HS</v>
      </c>
      <c r="G26" s="91">
        <v>636.0636591284989</v>
      </c>
      <c r="H26" s="91">
        <f t="shared" si="1"/>
        <v>636.0636591284989</v>
      </c>
      <c r="I26" s="91">
        <f t="shared" si="4"/>
        <v>636.0636591284989</v>
      </c>
      <c r="J26" s="91">
        <v>654.55504240994981</v>
      </c>
      <c r="K26" s="91">
        <f t="shared" si="5"/>
        <v>654.55504240994981</v>
      </c>
      <c r="L26" t="s">
        <v>225</v>
      </c>
      <c r="M26" t="str">
        <f t="shared" si="2"/>
        <v>Y</v>
      </c>
      <c r="N26" t="s">
        <v>115</v>
      </c>
    </row>
    <row r="27" spans="1:20">
      <c r="A27" t="s">
        <v>240</v>
      </c>
      <c r="B27" s="267" t="s">
        <v>241</v>
      </c>
      <c r="C27" s="267" t="str">
        <f t="shared" si="6"/>
        <v>Preliminary Statement  DT</v>
      </c>
      <c r="D27" s="267" t="str">
        <f t="shared" si="0"/>
        <v>Preliminary Statement  DT</v>
      </c>
      <c r="E27" s="267" t="str">
        <f t="shared" si="3"/>
        <v>Preliminary Statement  DT</v>
      </c>
      <c r="F27" s="267" t="str">
        <f t="shared" si="3"/>
        <v>Preliminary Statement  DT</v>
      </c>
      <c r="G27" s="91">
        <v>699.27697046948424</v>
      </c>
      <c r="H27" s="91">
        <f t="shared" si="1"/>
        <v>699.27697046948424</v>
      </c>
      <c r="I27" s="91">
        <f t="shared" si="4"/>
        <v>699.27697046948424</v>
      </c>
      <c r="J27" s="91">
        <v>1685.3200572805854</v>
      </c>
      <c r="K27" s="91">
        <f t="shared" si="5"/>
        <v>1685.3200572805854</v>
      </c>
      <c r="L27" t="s">
        <v>242</v>
      </c>
      <c r="M27" t="str">
        <f t="shared" si="2"/>
        <v>Y</v>
      </c>
      <c r="N27" t="s">
        <v>215</v>
      </c>
      <c r="P27" s="262"/>
      <c r="Q27" s="272"/>
      <c r="R27" s="269"/>
    </row>
    <row r="28" spans="1:20">
      <c r="A28" t="s">
        <v>243</v>
      </c>
      <c r="B28" s="267" t="s">
        <v>244</v>
      </c>
      <c r="C28" s="267" t="str">
        <f t="shared" si="6"/>
        <v>D.24-12-038</v>
      </c>
      <c r="D28" s="267" t="str">
        <f t="shared" si="0"/>
        <v>D.24-12-038</v>
      </c>
      <c r="E28" s="267" t="str">
        <f t="shared" si="3"/>
        <v>D.24-12-038</v>
      </c>
      <c r="F28" s="267" t="str">
        <f t="shared" si="3"/>
        <v>D.24-12-038</v>
      </c>
      <c r="G28" s="91">
        <v>-28147.512925982206</v>
      </c>
      <c r="H28" s="91">
        <f t="shared" si="1"/>
        <v>-28147.512925982206</v>
      </c>
      <c r="I28" s="91">
        <f t="shared" si="4"/>
        <v>-28147.512925982206</v>
      </c>
      <c r="J28" s="91">
        <v>-3377.8111523794842</v>
      </c>
      <c r="K28" s="91">
        <f t="shared" si="5"/>
        <v>-3377.8111523794842</v>
      </c>
      <c r="L28" t="s">
        <v>243</v>
      </c>
      <c r="M28" t="str">
        <f t="shared" si="2"/>
        <v>N</v>
      </c>
      <c r="N28" t="s">
        <v>215</v>
      </c>
      <c r="O28" s="262"/>
      <c r="P28" s="262"/>
    </row>
    <row r="29" spans="1:20">
      <c r="A29" t="s">
        <v>245</v>
      </c>
      <c r="B29" s="267" t="s">
        <v>246</v>
      </c>
      <c r="C29" s="267" t="str">
        <f t="shared" si="6"/>
        <v>Electric Preliminary Statement Part CQ</v>
      </c>
      <c r="D29" s="267" t="str">
        <f t="shared" si="0"/>
        <v>Electric Preliminary Statement Part CQ</v>
      </c>
      <c r="E29" s="267" t="str">
        <f t="shared" si="3"/>
        <v>Electric Preliminary Statement Part CQ</v>
      </c>
      <c r="F29" s="267" t="str">
        <f t="shared" si="3"/>
        <v>Electric Preliminary Statement Part CQ</v>
      </c>
      <c r="G29" s="91">
        <v>-23567.041614043021</v>
      </c>
      <c r="H29" s="91">
        <f t="shared" si="1"/>
        <v>-23567.041614043021</v>
      </c>
      <c r="I29" s="91">
        <f t="shared" si="4"/>
        <v>-23567.041614043021</v>
      </c>
      <c r="J29" s="91">
        <v>23369.877054782319</v>
      </c>
      <c r="K29" s="91">
        <f t="shared" si="5"/>
        <v>23369.877054782319</v>
      </c>
      <c r="L29" t="s">
        <v>243</v>
      </c>
      <c r="M29" t="str">
        <f t="shared" si="2"/>
        <v>Y</v>
      </c>
      <c r="N29" t="s">
        <v>215</v>
      </c>
      <c r="P29" s="273"/>
    </row>
    <row r="30" spans="1:20">
      <c r="A30" t="s">
        <v>247</v>
      </c>
      <c r="B30" s="267" t="s">
        <v>244</v>
      </c>
      <c r="C30" s="267" t="str">
        <f t="shared" si="6"/>
        <v>D.24-12-038</v>
      </c>
      <c r="D30" s="267" t="str">
        <f t="shared" si="0"/>
        <v>D.24-12-038</v>
      </c>
      <c r="E30" s="267" t="str">
        <f t="shared" si="3"/>
        <v>D.24-12-038</v>
      </c>
      <c r="F30" s="267" t="str">
        <f t="shared" si="3"/>
        <v>D.24-12-038</v>
      </c>
      <c r="G30" s="91">
        <v>373939.22244951449</v>
      </c>
      <c r="H30" s="91">
        <f t="shared" si="1"/>
        <v>373939.22244951449</v>
      </c>
      <c r="I30" s="91">
        <f t="shared" si="4"/>
        <v>373939.22244951449</v>
      </c>
      <c r="J30" s="91">
        <v>244371.67766520652</v>
      </c>
      <c r="K30" s="91">
        <f t="shared" si="5"/>
        <v>244371.67766520652</v>
      </c>
      <c r="L30" t="s">
        <v>248</v>
      </c>
      <c r="M30" t="str">
        <f t="shared" si="2"/>
        <v>N</v>
      </c>
      <c r="N30" t="s">
        <v>215</v>
      </c>
    </row>
    <row r="31" spans="1:20">
      <c r="A31" t="s">
        <v>249</v>
      </c>
      <c r="B31" s="267" t="s">
        <v>250</v>
      </c>
      <c r="C31" s="267" t="str">
        <f t="shared" si="6"/>
        <v>Electric Preliminary Statement Part FS</v>
      </c>
      <c r="D31" s="267" t="str">
        <f t="shared" si="0"/>
        <v>Electric Preliminary Statement Part FS</v>
      </c>
      <c r="E31" s="267" t="str">
        <f t="shared" si="3"/>
        <v>Electric Preliminary Statement Part FS</v>
      </c>
      <c r="F31" s="267" t="str">
        <f t="shared" si="3"/>
        <v>Electric Preliminary Statement Part FS</v>
      </c>
      <c r="G31" s="91">
        <v>-48400.206227758164</v>
      </c>
      <c r="H31" s="91">
        <f t="shared" si="1"/>
        <v>-48400.206227758164</v>
      </c>
      <c r="I31" s="91">
        <f t="shared" si="4"/>
        <v>-48400.206227758164</v>
      </c>
      <c r="J31" s="91">
        <v>186758.54768650109</v>
      </c>
      <c r="K31" s="91">
        <f t="shared" si="5"/>
        <v>186758.54768650109</v>
      </c>
      <c r="L31" t="s">
        <v>248</v>
      </c>
      <c r="M31" t="str">
        <f t="shared" si="2"/>
        <v>Y</v>
      </c>
      <c r="N31" t="s">
        <v>215</v>
      </c>
    </row>
    <row r="32" spans="1:20">
      <c r="A32" t="s">
        <v>251</v>
      </c>
      <c r="B32" s="267" t="s">
        <v>252</v>
      </c>
      <c r="C32" s="267" t="s">
        <v>224</v>
      </c>
      <c r="D32" s="267" t="str">
        <f t="shared" si="0"/>
        <v>n/a</v>
      </c>
      <c r="E32" s="267" t="str">
        <f t="shared" si="3"/>
        <v>n/a</v>
      </c>
      <c r="F32" s="267" t="str">
        <f t="shared" si="3"/>
        <v>n/a</v>
      </c>
      <c r="G32" s="91">
        <v>320389.17230000003</v>
      </c>
      <c r="H32" s="91">
        <v>0</v>
      </c>
      <c r="I32" s="91">
        <f t="shared" si="4"/>
        <v>0</v>
      </c>
      <c r="J32" s="91">
        <v>0</v>
      </c>
      <c r="K32" s="91">
        <f t="shared" si="5"/>
        <v>0</v>
      </c>
      <c r="L32" t="s">
        <v>217</v>
      </c>
      <c r="M32" t="str">
        <f t="shared" si="2"/>
        <v>N</v>
      </c>
      <c r="N32" t="s">
        <v>215</v>
      </c>
      <c r="O32" s="274"/>
      <c r="P32" s="67"/>
    </row>
    <row r="33" spans="1:16">
      <c r="A33" t="s">
        <v>253</v>
      </c>
      <c r="B33" s="267" t="s">
        <v>254</v>
      </c>
      <c r="C33" s="267" t="str">
        <f>B33</f>
        <v>D.24-10-008/ AL 7423-E</v>
      </c>
      <c r="D33" s="267" t="str">
        <f t="shared" si="0"/>
        <v>D.24-10-008/ AL 7423-E</v>
      </c>
      <c r="E33" s="267" t="str">
        <f t="shared" si="3"/>
        <v>D.24-10-008/ AL 7423-E</v>
      </c>
      <c r="F33" s="267" t="str">
        <f t="shared" si="3"/>
        <v>D.24-10-008/ AL 7423-E</v>
      </c>
      <c r="G33" s="91">
        <v>127793.28740318524</v>
      </c>
      <c r="H33" s="91">
        <f>G33</f>
        <v>127793.28740318524</v>
      </c>
      <c r="I33" s="91">
        <f t="shared" si="4"/>
        <v>127793.28740318524</v>
      </c>
      <c r="J33" s="91">
        <v>112764.45348588808</v>
      </c>
      <c r="K33" s="91">
        <f t="shared" si="5"/>
        <v>112764.45348588808</v>
      </c>
      <c r="L33" t="s">
        <v>214</v>
      </c>
      <c r="M33" t="str">
        <f t="shared" si="2"/>
        <v>N</v>
      </c>
      <c r="N33" t="s">
        <v>215</v>
      </c>
      <c r="O33" s="274"/>
      <c r="P33" s="67"/>
    </row>
    <row r="34" spans="1:16">
      <c r="A34" t="s">
        <v>253</v>
      </c>
      <c r="B34" s="267" t="s">
        <v>255</v>
      </c>
      <c r="C34" s="267" t="str">
        <f>B34</f>
        <v>AL 4813-G/7046-E/ D.24-10-008/ AL 7423-E</v>
      </c>
      <c r="D34" s="267" t="str">
        <f t="shared" si="0"/>
        <v>AL 4813-G/7046-E/ D.24-10-008/ AL 7423-E</v>
      </c>
      <c r="E34" s="267" t="str">
        <f t="shared" si="3"/>
        <v>AL 4813-G/7046-E/ D.24-10-008/ AL 7423-E</v>
      </c>
      <c r="F34" s="267" t="str">
        <f t="shared" si="3"/>
        <v>AL 4813-G/7046-E/ D.24-10-008/ AL 7423-E</v>
      </c>
      <c r="G34" s="91">
        <v>16480.830059694865</v>
      </c>
      <c r="H34" s="91">
        <f>G34</f>
        <v>16480.830059694865</v>
      </c>
      <c r="I34" s="91">
        <f t="shared" si="4"/>
        <v>16480.830059694865</v>
      </c>
      <c r="J34" s="91">
        <v>13265.78796677478</v>
      </c>
      <c r="K34" s="91">
        <f t="shared" si="5"/>
        <v>13265.78796677478</v>
      </c>
      <c r="L34" t="s">
        <v>225</v>
      </c>
      <c r="M34" t="str">
        <f t="shared" si="2"/>
        <v>N</v>
      </c>
      <c r="N34" t="s">
        <v>215</v>
      </c>
      <c r="O34" s="274"/>
      <c r="P34" s="67"/>
    </row>
    <row r="35" spans="1:16">
      <c r="A35" t="s">
        <v>253</v>
      </c>
      <c r="B35" s="267" t="s">
        <v>224</v>
      </c>
      <c r="C35" s="267" t="s">
        <v>224</v>
      </c>
      <c r="D35" s="267" t="str">
        <f t="shared" si="0"/>
        <v>n/a</v>
      </c>
      <c r="E35" s="267" t="str">
        <f t="shared" si="3"/>
        <v>n/a</v>
      </c>
      <c r="F35" s="267" t="str">
        <f t="shared" si="3"/>
        <v>n/a</v>
      </c>
      <c r="G35" s="91">
        <v>0.14518709895141907</v>
      </c>
      <c r="H35" s="91">
        <f>G35</f>
        <v>0.14518709895141907</v>
      </c>
      <c r="I35" s="91">
        <f t="shared" si="4"/>
        <v>0.14518709895141907</v>
      </c>
      <c r="J35" s="91">
        <v>0</v>
      </c>
      <c r="K35" s="91">
        <f t="shared" si="5"/>
        <v>0</v>
      </c>
      <c r="L35" t="s">
        <v>233</v>
      </c>
      <c r="M35" t="str">
        <f t="shared" si="2"/>
        <v>N</v>
      </c>
      <c r="N35" t="s">
        <v>215</v>
      </c>
      <c r="O35" s="274"/>
      <c r="P35" s="67"/>
    </row>
    <row r="36" spans="1:16">
      <c r="A36" t="s">
        <v>253</v>
      </c>
      <c r="B36" s="267" t="s">
        <v>224</v>
      </c>
      <c r="C36" s="267" t="str">
        <f t="shared" ref="C36:C56" si="7">B36</f>
        <v>n/a</v>
      </c>
      <c r="D36" s="267" t="str">
        <f t="shared" si="0"/>
        <v>n/a</v>
      </c>
      <c r="E36" s="267" t="str">
        <f t="shared" si="3"/>
        <v>n/a</v>
      </c>
      <c r="F36" s="267" t="str">
        <f t="shared" si="3"/>
        <v>n/a</v>
      </c>
      <c r="G36" s="91">
        <v>0</v>
      </c>
      <c r="H36" s="91">
        <f>G36</f>
        <v>0</v>
      </c>
      <c r="I36" s="91">
        <f t="shared" si="4"/>
        <v>0</v>
      </c>
      <c r="J36" s="91">
        <v>0</v>
      </c>
      <c r="K36" s="91">
        <f t="shared" si="5"/>
        <v>0</v>
      </c>
      <c r="L36" t="s">
        <v>248</v>
      </c>
      <c r="M36" t="str">
        <f t="shared" si="2"/>
        <v>N</v>
      </c>
      <c r="N36" t="s">
        <v>215</v>
      </c>
      <c r="O36" s="274"/>
      <c r="P36" s="67"/>
    </row>
    <row r="37" spans="1:16" ht="17.25" customHeight="1">
      <c r="A37" s="267" t="s">
        <v>256</v>
      </c>
      <c r="B37" s="267" t="s">
        <v>224</v>
      </c>
      <c r="C37" s="267" t="str">
        <f t="shared" si="7"/>
        <v>n/a</v>
      </c>
      <c r="D37" s="267" t="str">
        <f t="shared" si="0"/>
        <v>n/a</v>
      </c>
      <c r="E37" s="267" t="str">
        <f t="shared" si="3"/>
        <v>n/a</v>
      </c>
      <c r="F37" s="267" t="str">
        <f t="shared" si="3"/>
        <v>n/a</v>
      </c>
      <c r="G37" s="91">
        <v>0</v>
      </c>
      <c r="H37" s="91">
        <f>G37</f>
        <v>0</v>
      </c>
      <c r="I37" s="91">
        <f t="shared" si="4"/>
        <v>0</v>
      </c>
      <c r="J37" s="91">
        <v>0</v>
      </c>
      <c r="K37" s="91">
        <f t="shared" si="5"/>
        <v>0</v>
      </c>
      <c r="L37" t="s">
        <v>214</v>
      </c>
      <c r="M37" t="str">
        <f t="shared" si="2"/>
        <v>Y</v>
      </c>
      <c r="N37" t="s">
        <v>215</v>
      </c>
      <c r="O37" s="274"/>
      <c r="P37" s="67"/>
    </row>
    <row r="38" spans="1:16">
      <c r="A38" t="s">
        <v>257</v>
      </c>
      <c r="B38" s="267" t="s">
        <v>258</v>
      </c>
      <c r="C38" s="267" t="str">
        <f t="shared" si="7"/>
        <v>D.18-01-022</v>
      </c>
      <c r="D38" s="267" t="str">
        <f t="shared" si="0"/>
        <v>D.18-01-022</v>
      </c>
      <c r="E38" s="267" t="str">
        <f t="shared" si="3"/>
        <v>D.18-01-022</v>
      </c>
      <c r="F38" s="267" t="str">
        <f t="shared" si="3"/>
        <v>D.18-01-022</v>
      </c>
      <c r="G38" s="91">
        <v>11760.785984999997</v>
      </c>
      <c r="H38" s="91">
        <v>3003.6242956951987</v>
      </c>
      <c r="I38" s="91">
        <f t="shared" si="4"/>
        <v>3003.6242956951987</v>
      </c>
      <c r="J38" s="91">
        <v>0</v>
      </c>
      <c r="K38" s="91">
        <f t="shared" si="5"/>
        <v>0</v>
      </c>
      <c r="L38" t="s">
        <v>259</v>
      </c>
      <c r="M38" t="str">
        <f t="shared" si="2"/>
        <v>N</v>
      </c>
      <c r="N38" t="s">
        <v>215</v>
      </c>
      <c r="O38" s="109"/>
      <c r="P38" s="67"/>
    </row>
    <row r="39" spans="1:16">
      <c r="A39" t="s">
        <v>257</v>
      </c>
      <c r="B39" s="267" t="s">
        <v>258</v>
      </c>
      <c r="C39" s="267" t="str">
        <f t="shared" si="7"/>
        <v>D.18-01-022</v>
      </c>
      <c r="D39" s="267" t="str">
        <f t="shared" si="0"/>
        <v>D.18-01-022</v>
      </c>
      <c r="E39" s="267" t="str">
        <f t="shared" si="3"/>
        <v>D.18-01-022</v>
      </c>
      <c r="F39" s="267" t="str">
        <f t="shared" si="3"/>
        <v>D.18-01-022</v>
      </c>
      <c r="G39" s="91">
        <v>2359.1716000000001</v>
      </c>
      <c r="H39" s="91">
        <f t="shared" ref="H39:H51" si="8">G39</f>
        <v>2359.1716000000001</v>
      </c>
      <c r="I39" s="91">
        <f t="shared" si="4"/>
        <v>2359.1716000000001</v>
      </c>
      <c r="J39" s="91"/>
      <c r="K39" s="91">
        <f t="shared" si="5"/>
        <v>0</v>
      </c>
      <c r="L39" t="s">
        <v>225</v>
      </c>
      <c r="M39" t="str">
        <f t="shared" si="2"/>
        <v>N</v>
      </c>
      <c r="N39" t="s">
        <v>215</v>
      </c>
      <c r="O39" s="109"/>
      <c r="P39" s="67"/>
    </row>
    <row r="40" spans="1:16">
      <c r="A40" t="s">
        <v>260</v>
      </c>
      <c r="B40" s="267" t="s">
        <v>224</v>
      </c>
      <c r="C40" s="267" t="str">
        <f t="shared" si="7"/>
        <v>n/a</v>
      </c>
      <c r="D40" s="267" t="str">
        <f t="shared" si="0"/>
        <v>n/a</v>
      </c>
      <c r="E40" s="267" t="str">
        <f t="shared" si="3"/>
        <v>n/a</v>
      </c>
      <c r="F40" s="267" t="str">
        <f t="shared" si="3"/>
        <v>n/a</v>
      </c>
      <c r="G40" s="91">
        <v>0</v>
      </c>
      <c r="H40" s="91">
        <f t="shared" si="8"/>
        <v>0</v>
      </c>
      <c r="I40" s="91">
        <f t="shared" si="4"/>
        <v>0</v>
      </c>
      <c r="J40" s="91">
        <f t="shared" si="4"/>
        <v>0</v>
      </c>
      <c r="K40" s="91">
        <f t="shared" si="5"/>
        <v>0</v>
      </c>
      <c r="L40" t="s">
        <v>259</v>
      </c>
      <c r="M40" t="str">
        <f t="shared" si="2"/>
        <v>N</v>
      </c>
      <c r="N40" t="s">
        <v>215</v>
      </c>
      <c r="O40" s="275"/>
      <c r="P40" s="67"/>
    </row>
    <row r="41" spans="1:16">
      <c r="A41" t="s">
        <v>261</v>
      </c>
      <c r="B41" s="267" t="s">
        <v>262</v>
      </c>
      <c r="C41" s="267" t="str">
        <f t="shared" si="7"/>
        <v>Preliminary Statement  DB</v>
      </c>
      <c r="D41" s="267" t="str">
        <f t="shared" si="0"/>
        <v>Preliminary Statement  DB</v>
      </c>
      <c r="E41" s="267" t="str">
        <f t="shared" si="3"/>
        <v>Preliminary Statement  DB</v>
      </c>
      <c r="F41" s="267" t="str">
        <f t="shared" si="3"/>
        <v>Preliminary Statement  DB</v>
      </c>
      <c r="G41" s="91">
        <v>-22022.575667378391</v>
      </c>
      <c r="H41" s="91">
        <f t="shared" si="8"/>
        <v>-22022.575667378391</v>
      </c>
      <c r="I41" s="91">
        <f t="shared" si="4"/>
        <v>-22022.575667378391</v>
      </c>
      <c r="J41" s="91">
        <v>-1604.9394941091518</v>
      </c>
      <c r="K41" s="91">
        <f t="shared" si="5"/>
        <v>-1604.9394941091518</v>
      </c>
      <c r="L41" t="s">
        <v>259</v>
      </c>
      <c r="M41" t="str">
        <f t="shared" ref="M41:M72" si="9">IF(RIGHT(A41,1)="*","Y","N")</f>
        <v>Y</v>
      </c>
      <c r="N41" t="s">
        <v>215</v>
      </c>
      <c r="O41" s="109"/>
      <c r="P41" s="91"/>
    </row>
    <row r="42" spans="1:16">
      <c r="A42" t="s">
        <v>263</v>
      </c>
      <c r="B42" s="267" t="s">
        <v>264</v>
      </c>
      <c r="C42" s="267" t="str">
        <f t="shared" si="7"/>
        <v>Preliminary Statement S</v>
      </c>
      <c r="D42" s="267" t="str">
        <f t="shared" si="0"/>
        <v>Preliminary Statement S</v>
      </c>
      <c r="E42" s="267" t="str">
        <f t="shared" si="3"/>
        <v>Preliminary Statement S</v>
      </c>
      <c r="F42" s="267" t="str">
        <f t="shared" si="3"/>
        <v>Preliminary Statement S</v>
      </c>
      <c r="G42" s="91">
        <v>41390.127807307355</v>
      </c>
      <c r="H42" s="91">
        <f t="shared" si="8"/>
        <v>41390.127807307355</v>
      </c>
      <c r="I42" s="91">
        <f t="shared" si="4"/>
        <v>41390.127807307355</v>
      </c>
      <c r="J42" s="91">
        <v>44384.403290136892</v>
      </c>
      <c r="K42" s="91">
        <f t="shared" si="5"/>
        <v>44384.403290136892</v>
      </c>
      <c r="L42" t="s">
        <v>217</v>
      </c>
      <c r="M42" t="str">
        <f t="shared" si="9"/>
        <v>Y</v>
      </c>
      <c r="N42" t="s">
        <v>115</v>
      </c>
    </row>
    <row r="43" spans="1:16" ht="14.25" customHeight="1">
      <c r="A43" t="s">
        <v>265</v>
      </c>
      <c r="B43" s="267" t="s">
        <v>266</v>
      </c>
      <c r="C43" s="267" t="str">
        <f t="shared" si="7"/>
        <v>Preliminary Statement ET</v>
      </c>
      <c r="D43" s="267" t="str">
        <f t="shared" si="0"/>
        <v>Preliminary Statement ET</v>
      </c>
      <c r="E43" s="267" t="str">
        <f t="shared" si="3"/>
        <v>Preliminary Statement ET</v>
      </c>
      <c r="F43" s="267" t="str">
        <f t="shared" si="3"/>
        <v>Preliminary Statement ET</v>
      </c>
      <c r="G43" s="91">
        <v>-221.01964491517228</v>
      </c>
      <c r="H43" s="91">
        <f t="shared" si="8"/>
        <v>-221.01964491517228</v>
      </c>
      <c r="I43" s="91">
        <f t="shared" si="4"/>
        <v>-221.01964491517228</v>
      </c>
      <c r="J43" s="91">
        <v>0</v>
      </c>
      <c r="K43" s="91">
        <f t="shared" si="5"/>
        <v>0</v>
      </c>
      <c r="L43" t="s">
        <v>214</v>
      </c>
      <c r="M43" t="str">
        <f t="shared" si="9"/>
        <v>Y</v>
      </c>
      <c r="N43" t="s">
        <v>115</v>
      </c>
    </row>
    <row r="44" spans="1:16">
      <c r="A44" t="s">
        <v>267</v>
      </c>
      <c r="B44" s="267" t="s">
        <v>268</v>
      </c>
      <c r="C44" s="267" t="str">
        <f t="shared" si="7"/>
        <v>D.24-12-001</v>
      </c>
      <c r="D44" s="267" t="str">
        <f t="shared" si="0"/>
        <v>D.24-12-001</v>
      </c>
      <c r="E44" s="267" t="str">
        <f t="shared" si="3"/>
        <v>D.24-12-001</v>
      </c>
      <c r="F44" s="267" t="str">
        <f t="shared" si="3"/>
        <v>D.24-12-001</v>
      </c>
      <c r="G44" s="91">
        <v>412561.55548204755</v>
      </c>
      <c r="H44" s="91">
        <f t="shared" si="8"/>
        <v>412561.55548204755</v>
      </c>
      <c r="I44" s="91">
        <f t="shared" si="4"/>
        <v>412561.55548204755</v>
      </c>
      <c r="J44" s="91">
        <v>401830.0859770244</v>
      </c>
      <c r="K44" s="91">
        <f t="shared" si="5"/>
        <v>401830.0859770244</v>
      </c>
      <c r="L44" t="s">
        <v>269</v>
      </c>
      <c r="M44" t="str">
        <f t="shared" si="9"/>
        <v>N</v>
      </c>
      <c r="N44" t="s">
        <v>215</v>
      </c>
    </row>
    <row r="45" spans="1:16">
      <c r="A45" t="s">
        <v>270</v>
      </c>
      <c r="B45" s="267" t="s">
        <v>271</v>
      </c>
      <c r="C45" s="267" t="str">
        <f t="shared" si="7"/>
        <v>CPUC Code 6350-6354</v>
      </c>
      <c r="D45" s="267" t="str">
        <f t="shared" si="0"/>
        <v>CPUC Code 6350-6354</v>
      </c>
      <c r="E45" s="267" t="str">
        <f t="shared" si="3"/>
        <v>CPUC Code 6350-6354</v>
      </c>
      <c r="F45" s="267" t="str">
        <f t="shared" si="3"/>
        <v>CPUC Code 6350-6354</v>
      </c>
      <c r="G45" s="91">
        <v>2958.066352806281</v>
      </c>
      <c r="H45" s="91">
        <f t="shared" si="8"/>
        <v>2958.066352806281</v>
      </c>
      <c r="I45" s="91">
        <f t="shared" si="4"/>
        <v>2958.066352806281</v>
      </c>
      <c r="J45" s="91">
        <v>2877.9122958559456</v>
      </c>
      <c r="K45" s="91">
        <f t="shared" si="5"/>
        <v>2877.9122958559456</v>
      </c>
      <c r="L45" t="s">
        <v>233</v>
      </c>
      <c r="M45" t="str">
        <f t="shared" si="9"/>
        <v>N</v>
      </c>
      <c r="N45" t="s">
        <v>215</v>
      </c>
    </row>
    <row r="46" spans="1:16">
      <c r="A46" t="s">
        <v>272</v>
      </c>
      <c r="B46" s="267" t="s">
        <v>273</v>
      </c>
      <c r="C46" s="267" t="str">
        <f t="shared" si="7"/>
        <v>Electric Preliminary Statement Part HJ</v>
      </c>
      <c r="D46" s="267" t="str">
        <f t="shared" si="0"/>
        <v>Electric Preliminary Statement Part HJ</v>
      </c>
      <c r="E46" s="267" t="str">
        <f t="shared" si="3"/>
        <v>Electric Preliminary Statement Part HJ</v>
      </c>
      <c r="F46" s="267" t="str">
        <f t="shared" si="3"/>
        <v>Electric Preliminary Statement Part HJ</v>
      </c>
      <c r="G46" s="91">
        <v>1360.3943314559999</v>
      </c>
      <c r="H46" s="91">
        <f t="shared" si="8"/>
        <v>1360.3943314559999</v>
      </c>
      <c r="I46" s="91">
        <f t="shared" si="4"/>
        <v>1360.3943314559999</v>
      </c>
      <c r="J46" s="91">
        <v>1130.6262643826399</v>
      </c>
      <c r="K46" s="91">
        <f t="shared" si="5"/>
        <v>1130.6262643826399</v>
      </c>
      <c r="L46" t="s">
        <v>214</v>
      </c>
      <c r="M46" t="str">
        <f t="shared" si="9"/>
        <v>Y</v>
      </c>
      <c r="N46" t="s">
        <v>115</v>
      </c>
    </row>
    <row r="47" spans="1:16">
      <c r="A47" t="s">
        <v>274</v>
      </c>
      <c r="B47" s="267" t="s">
        <v>275</v>
      </c>
      <c r="C47" s="267" t="str">
        <f t="shared" si="7"/>
        <v>D.24-03-006</v>
      </c>
      <c r="D47" s="267" t="str">
        <f t="shared" si="0"/>
        <v>D.24-03-006</v>
      </c>
      <c r="E47" s="267" t="str">
        <f t="shared" si="3"/>
        <v>D.24-03-006</v>
      </c>
      <c r="F47" s="267" t="str">
        <f t="shared" si="3"/>
        <v>D.24-03-006</v>
      </c>
      <c r="G47" s="91">
        <v>153156.25613358527</v>
      </c>
      <c r="H47" s="91">
        <f t="shared" si="8"/>
        <v>153156.25613358527</v>
      </c>
      <c r="I47" s="91">
        <v>0</v>
      </c>
      <c r="J47" s="91">
        <v>0</v>
      </c>
      <c r="K47" s="91">
        <f t="shared" si="5"/>
        <v>0</v>
      </c>
      <c r="L47" t="s">
        <v>217</v>
      </c>
      <c r="M47" t="str">
        <f t="shared" si="9"/>
        <v>N</v>
      </c>
      <c r="N47" t="s">
        <v>215</v>
      </c>
    </row>
    <row r="48" spans="1:16">
      <c r="A48" t="s">
        <v>274</v>
      </c>
      <c r="B48" s="267" t="s">
        <v>275</v>
      </c>
      <c r="C48" s="267" t="str">
        <f t="shared" si="7"/>
        <v>D.24-03-006</v>
      </c>
      <c r="D48" s="267" t="str">
        <f t="shared" si="0"/>
        <v>D.24-03-006</v>
      </c>
      <c r="E48" s="267" t="str">
        <f t="shared" si="3"/>
        <v>D.24-03-006</v>
      </c>
      <c r="F48" s="267" t="str">
        <f t="shared" si="3"/>
        <v>D.24-03-006</v>
      </c>
      <c r="G48" s="91">
        <v>2304.1192653263806</v>
      </c>
      <c r="H48" s="91">
        <f t="shared" si="8"/>
        <v>2304.1192653263806</v>
      </c>
      <c r="I48" s="91">
        <v>0</v>
      </c>
      <c r="J48" s="91">
        <v>0</v>
      </c>
      <c r="K48" s="91">
        <f t="shared" si="5"/>
        <v>0</v>
      </c>
      <c r="L48" t="s">
        <v>214</v>
      </c>
      <c r="M48" t="str">
        <f t="shared" si="9"/>
        <v>N</v>
      </c>
      <c r="N48" t="s">
        <v>215</v>
      </c>
    </row>
    <row r="49" spans="1:14">
      <c r="A49" t="s">
        <v>276</v>
      </c>
      <c r="B49" s="267" t="s">
        <v>224</v>
      </c>
      <c r="C49" s="267" t="str">
        <f t="shared" si="7"/>
        <v>n/a</v>
      </c>
      <c r="D49" s="267" t="str">
        <f t="shared" si="0"/>
        <v>n/a</v>
      </c>
      <c r="E49" s="267" t="str">
        <f t="shared" si="3"/>
        <v>n/a</v>
      </c>
      <c r="F49" s="267" t="str">
        <f t="shared" si="3"/>
        <v>n/a</v>
      </c>
      <c r="G49" s="91">
        <v>0</v>
      </c>
      <c r="H49" s="91">
        <f t="shared" si="8"/>
        <v>0</v>
      </c>
      <c r="I49" s="91">
        <f t="shared" si="4"/>
        <v>0</v>
      </c>
      <c r="J49" s="91">
        <f t="shared" si="4"/>
        <v>0</v>
      </c>
      <c r="K49" s="91">
        <f t="shared" si="5"/>
        <v>0</v>
      </c>
      <c r="L49" t="s">
        <v>214</v>
      </c>
      <c r="M49" t="str">
        <f t="shared" si="9"/>
        <v>N</v>
      </c>
      <c r="N49" t="s">
        <v>215</v>
      </c>
    </row>
    <row r="50" spans="1:14">
      <c r="A50" s="96" t="s">
        <v>277</v>
      </c>
      <c r="B50" s="267" t="s">
        <v>224</v>
      </c>
      <c r="C50" s="267" t="str">
        <f t="shared" si="7"/>
        <v>n/a</v>
      </c>
      <c r="D50" s="267" t="str">
        <f t="shared" si="0"/>
        <v>n/a</v>
      </c>
      <c r="E50" s="267" t="str">
        <f t="shared" si="3"/>
        <v>n/a</v>
      </c>
      <c r="F50" s="267" t="str">
        <f t="shared" si="3"/>
        <v>n/a</v>
      </c>
      <c r="G50" s="91">
        <v>0</v>
      </c>
      <c r="H50" s="91">
        <f t="shared" si="8"/>
        <v>0</v>
      </c>
      <c r="I50" s="91">
        <f t="shared" ref="I50" si="10">H50</f>
        <v>0</v>
      </c>
      <c r="J50" s="91">
        <f t="shared" ref="J50" si="11">I50</f>
        <v>0</v>
      </c>
      <c r="K50" s="91">
        <f t="shared" si="5"/>
        <v>0</v>
      </c>
      <c r="L50" t="s">
        <v>217</v>
      </c>
      <c r="M50" t="str">
        <f t="shared" si="9"/>
        <v>N</v>
      </c>
      <c r="N50" t="s">
        <v>215</v>
      </c>
    </row>
    <row r="51" spans="1:14">
      <c r="A51" t="s">
        <v>278</v>
      </c>
      <c r="B51" s="267" t="s">
        <v>279</v>
      </c>
      <c r="C51" s="267" t="str">
        <f t="shared" si="7"/>
        <v>AL 7413-E</v>
      </c>
      <c r="D51" s="267" t="str">
        <f t="shared" si="0"/>
        <v>AL 7413-E</v>
      </c>
      <c r="E51" s="267" t="str">
        <f t="shared" si="3"/>
        <v>AL 7413-E</v>
      </c>
      <c r="F51" s="267" t="str">
        <f t="shared" si="3"/>
        <v>AL 7413-E</v>
      </c>
      <c r="G51" s="91">
        <v>-200072.08603701723</v>
      </c>
      <c r="H51" s="91">
        <f t="shared" si="8"/>
        <v>-200072.08603701723</v>
      </c>
      <c r="I51" s="91">
        <f t="shared" si="4"/>
        <v>-200072.08603701723</v>
      </c>
      <c r="J51" s="91">
        <v>0</v>
      </c>
      <c r="K51" s="91">
        <f t="shared" si="5"/>
        <v>0</v>
      </c>
      <c r="L51" t="s">
        <v>217</v>
      </c>
      <c r="M51" t="str">
        <f t="shared" si="9"/>
        <v>N</v>
      </c>
      <c r="N51" t="s">
        <v>215</v>
      </c>
    </row>
    <row r="52" spans="1:14">
      <c r="A52" t="s">
        <v>280</v>
      </c>
      <c r="B52" s="267" t="s">
        <v>281</v>
      </c>
      <c r="C52" s="267" t="str">
        <f t="shared" si="7"/>
        <v>D.21-06-030, AL 7106-E</v>
      </c>
      <c r="D52" s="267" t="str">
        <f t="shared" si="0"/>
        <v>D.21-06-030, AL 7106-E</v>
      </c>
      <c r="E52" s="267" t="str">
        <f t="shared" si="3"/>
        <v>D.21-06-030, AL 7106-E</v>
      </c>
      <c r="F52" s="267" t="str">
        <f t="shared" si="3"/>
        <v>D.21-06-030, AL 7106-E</v>
      </c>
      <c r="G52" s="91">
        <v>65206.364080501691</v>
      </c>
      <c r="H52" s="91">
        <v>39502.880411345875</v>
      </c>
      <c r="I52" s="91">
        <f t="shared" si="4"/>
        <v>39502.880411345875</v>
      </c>
      <c r="J52" s="91">
        <v>38674.101103739587</v>
      </c>
      <c r="K52" s="91">
        <v>46451.843589221164</v>
      </c>
      <c r="L52" t="s">
        <v>282</v>
      </c>
      <c r="M52" t="str">
        <f t="shared" si="9"/>
        <v>N</v>
      </c>
      <c r="N52" t="s">
        <v>215</v>
      </c>
    </row>
    <row r="53" spans="1:14">
      <c r="A53" t="s">
        <v>280</v>
      </c>
      <c r="B53" s="267" t="s">
        <v>283</v>
      </c>
      <c r="C53" s="267" t="str">
        <f t="shared" si="7"/>
        <v>D.21-06-030, AL 6390-E</v>
      </c>
      <c r="D53" s="267" t="str">
        <f t="shared" si="0"/>
        <v>D.21-06-030, AL 6390-E</v>
      </c>
      <c r="E53" s="267" t="str">
        <f t="shared" si="3"/>
        <v>D.21-06-030, AL 6390-E</v>
      </c>
      <c r="F53" s="267" t="str">
        <f t="shared" si="3"/>
        <v>D.21-06-030, AL 6390-E</v>
      </c>
      <c r="G53" s="91">
        <v>694.73049344599997</v>
      </c>
      <c r="H53" s="91">
        <f>G53</f>
        <v>694.73049344599997</v>
      </c>
      <c r="I53" s="91">
        <f t="shared" si="4"/>
        <v>694.73049344599997</v>
      </c>
      <c r="J53" s="91">
        <v>632.17442000000005</v>
      </c>
      <c r="K53" s="91">
        <f t="shared" si="5"/>
        <v>632.17442000000005</v>
      </c>
      <c r="L53" t="s">
        <v>217</v>
      </c>
      <c r="M53" t="str">
        <f t="shared" si="9"/>
        <v>N</v>
      </c>
      <c r="N53" t="s">
        <v>215</v>
      </c>
    </row>
    <row r="54" spans="1:14">
      <c r="A54" t="s">
        <v>284</v>
      </c>
      <c r="B54" s="267" t="s">
        <v>285</v>
      </c>
      <c r="C54" s="267" t="str">
        <f t="shared" si="7"/>
        <v>D.22-08-004, AL 7126-E</v>
      </c>
      <c r="D54" s="267" t="str">
        <f t="shared" si="0"/>
        <v>D.22-08-004, AL 7126-E</v>
      </c>
      <c r="E54" s="267" t="str">
        <f t="shared" si="3"/>
        <v>D.22-08-004, AL 7126-E</v>
      </c>
      <c r="F54" s="267" t="str">
        <f t="shared" si="3"/>
        <v>D.22-08-004, AL 7126-E</v>
      </c>
      <c r="G54" s="91">
        <v>54553.097813054708</v>
      </c>
      <c r="H54" s="91">
        <v>66437.360080157887</v>
      </c>
      <c r="I54" s="91">
        <f t="shared" si="4"/>
        <v>66437.360080157887</v>
      </c>
      <c r="J54" s="91">
        <v>65020.64227142965</v>
      </c>
      <c r="K54" s="91">
        <v>75991.608848547883</v>
      </c>
      <c r="L54" t="s">
        <v>282</v>
      </c>
      <c r="M54" t="str">
        <f t="shared" si="9"/>
        <v>N</v>
      </c>
      <c r="N54" t="s">
        <v>215</v>
      </c>
    </row>
    <row r="55" spans="1:14">
      <c r="A55" t="s">
        <v>284</v>
      </c>
      <c r="B55" s="267" t="s">
        <v>286</v>
      </c>
      <c r="C55" s="267" t="str">
        <f t="shared" si="7"/>
        <v>D.22-08-004, AL 6769-E</v>
      </c>
      <c r="D55" s="267" t="str">
        <f t="shared" si="0"/>
        <v>D.22-08-004, AL 6769-E</v>
      </c>
      <c r="E55" s="267" t="str">
        <f t="shared" si="3"/>
        <v>D.22-08-004, AL 6769-E</v>
      </c>
      <c r="F55" s="267" t="str">
        <f t="shared" si="3"/>
        <v>D.22-08-004, AL 6769-E</v>
      </c>
      <c r="G55" s="91">
        <v>-6788.3511865014989</v>
      </c>
      <c r="H55" s="91">
        <f>G55</f>
        <v>-6788.3511865014989</v>
      </c>
      <c r="I55" s="91">
        <f t="shared" si="4"/>
        <v>-6788.3511865014989</v>
      </c>
      <c r="J55" s="91">
        <v>-405.22582</v>
      </c>
      <c r="K55" s="91">
        <f t="shared" si="5"/>
        <v>-405.22582</v>
      </c>
      <c r="L55" t="s">
        <v>217</v>
      </c>
      <c r="M55" t="str">
        <f t="shared" si="9"/>
        <v>N</v>
      </c>
      <c r="N55" t="s">
        <v>215</v>
      </c>
    </row>
    <row r="56" spans="1:14">
      <c r="A56" t="s">
        <v>287</v>
      </c>
      <c r="B56" s="267" t="s">
        <v>288</v>
      </c>
      <c r="C56" s="267" t="str">
        <f t="shared" si="7"/>
        <v>D.24-02-011, D.21-05-015</v>
      </c>
      <c r="D56" s="267" t="str">
        <f t="shared" si="0"/>
        <v>D.24-02-011, D.21-05-015</v>
      </c>
      <c r="E56" s="267" t="str">
        <f t="shared" si="3"/>
        <v>D.24-02-011, D.21-05-015</v>
      </c>
      <c r="F56" s="267" t="str">
        <f t="shared" si="3"/>
        <v>D.24-02-011, D.21-05-015</v>
      </c>
      <c r="G56" s="91">
        <v>173452.08098940377</v>
      </c>
      <c r="H56" s="91">
        <v>173400.62507910313</v>
      </c>
      <c r="I56" s="67">
        <v>92172.437236289144</v>
      </c>
      <c r="J56" s="67">
        <v>90272.606277740706</v>
      </c>
      <c r="K56" s="91">
        <v>101139.42103296188</v>
      </c>
      <c r="L56" t="s">
        <v>282</v>
      </c>
      <c r="M56" t="str">
        <f t="shared" si="9"/>
        <v>N</v>
      </c>
      <c r="N56" t="s">
        <v>215</v>
      </c>
    </row>
    <row r="57" spans="1:14">
      <c r="A57" t="s">
        <v>289</v>
      </c>
      <c r="B57" s="267" t="s">
        <v>224</v>
      </c>
      <c r="C57" s="267" t="s">
        <v>290</v>
      </c>
      <c r="D57" s="267" t="str">
        <f t="shared" si="0"/>
        <v>D.24-02-011</v>
      </c>
      <c r="E57" s="267" t="str">
        <f t="shared" si="3"/>
        <v>D.24-02-011</v>
      </c>
      <c r="F57" s="267" t="str">
        <f t="shared" si="3"/>
        <v>D.24-02-011</v>
      </c>
      <c r="G57" s="91">
        <v>-76060.257264391286</v>
      </c>
      <c r="H57" s="91">
        <f t="shared" ref="H57:H74" si="12">G57</f>
        <v>-76060.257264391286</v>
      </c>
      <c r="I57" s="91">
        <f t="shared" si="4"/>
        <v>-76060.257264391286</v>
      </c>
      <c r="J57" s="91">
        <v>-74475.455835575223</v>
      </c>
      <c r="K57" s="91">
        <f t="shared" si="5"/>
        <v>-74475.455835575223</v>
      </c>
      <c r="L57" t="s">
        <v>217</v>
      </c>
      <c r="M57" t="str">
        <f t="shared" si="9"/>
        <v>N</v>
      </c>
      <c r="N57" t="s">
        <v>215</v>
      </c>
    </row>
    <row r="58" spans="1:14">
      <c r="A58" t="s">
        <v>291</v>
      </c>
      <c r="B58" s="267" t="s">
        <v>224</v>
      </c>
      <c r="C58" s="267" t="s">
        <v>290</v>
      </c>
      <c r="D58" s="267" t="str">
        <f t="shared" si="0"/>
        <v>D.24-02-011</v>
      </c>
      <c r="E58" s="267" t="str">
        <f t="shared" si="3"/>
        <v>D.24-02-011</v>
      </c>
      <c r="F58" s="267" t="str">
        <f t="shared" si="3"/>
        <v>D.24-02-011</v>
      </c>
      <c r="G58" s="91">
        <v>12431.124207946839</v>
      </c>
      <c r="H58" s="91">
        <f t="shared" si="12"/>
        <v>12431.124207946839</v>
      </c>
      <c r="I58" s="91">
        <f t="shared" si="4"/>
        <v>12431.124207946839</v>
      </c>
      <c r="J58" s="91">
        <v>0</v>
      </c>
      <c r="K58" s="91">
        <f t="shared" si="5"/>
        <v>0</v>
      </c>
      <c r="L58" t="s">
        <v>217</v>
      </c>
      <c r="M58" t="str">
        <f t="shared" si="9"/>
        <v>N</v>
      </c>
      <c r="N58" t="s">
        <v>215</v>
      </c>
    </row>
    <row r="59" spans="1:14">
      <c r="A59" t="s">
        <v>292</v>
      </c>
      <c r="B59" s="267" t="s">
        <v>224</v>
      </c>
      <c r="C59" s="267" t="s">
        <v>293</v>
      </c>
      <c r="D59" s="267" t="str">
        <f t="shared" si="0"/>
        <v>D.24-02-011, AL 7336-E</v>
      </c>
      <c r="E59" s="267" t="str">
        <f t="shared" si="3"/>
        <v>D.24-02-011, AL 7336-E</v>
      </c>
      <c r="F59" s="267" t="str">
        <f t="shared" si="3"/>
        <v>D.24-02-011, AL 7336-E</v>
      </c>
      <c r="G59" s="91">
        <v>-57785.417038923748</v>
      </c>
      <c r="H59" s="91">
        <f t="shared" si="12"/>
        <v>-57785.417038923748</v>
      </c>
      <c r="I59" s="91">
        <f t="shared" si="4"/>
        <v>-57785.417038923748</v>
      </c>
      <c r="J59" s="91">
        <v>1518.1788100000001</v>
      </c>
      <c r="K59" s="91">
        <f t="shared" si="5"/>
        <v>1518.1788100000001</v>
      </c>
      <c r="L59" t="s">
        <v>217</v>
      </c>
      <c r="M59" t="str">
        <f t="shared" si="9"/>
        <v>Y</v>
      </c>
      <c r="N59" t="s">
        <v>215</v>
      </c>
    </row>
    <row r="60" spans="1:14">
      <c r="A60" t="s">
        <v>294</v>
      </c>
      <c r="B60" s="267" t="s">
        <v>224</v>
      </c>
      <c r="C60" s="267" t="s">
        <v>224</v>
      </c>
      <c r="D60" s="267" t="str">
        <f t="shared" si="0"/>
        <v>n/a</v>
      </c>
      <c r="E60" s="267" t="str">
        <f t="shared" si="3"/>
        <v>n/a</v>
      </c>
      <c r="F60" s="267" t="str">
        <f t="shared" si="3"/>
        <v>n/a</v>
      </c>
      <c r="G60" s="91">
        <v>0</v>
      </c>
      <c r="H60" s="91">
        <f t="shared" si="12"/>
        <v>0</v>
      </c>
      <c r="I60" s="91">
        <f t="shared" si="4"/>
        <v>0</v>
      </c>
      <c r="J60" s="91">
        <f t="shared" si="4"/>
        <v>0</v>
      </c>
      <c r="K60" s="91">
        <f t="shared" si="5"/>
        <v>0</v>
      </c>
      <c r="L60" t="s">
        <v>214</v>
      </c>
      <c r="M60" t="str">
        <f t="shared" si="9"/>
        <v>N</v>
      </c>
      <c r="N60" t="s">
        <v>215</v>
      </c>
    </row>
    <row r="61" spans="1:14">
      <c r="A61" t="s">
        <v>295</v>
      </c>
      <c r="B61" s="267" t="s">
        <v>296</v>
      </c>
      <c r="C61" s="267" t="str">
        <f t="shared" ref="C61:C74" si="13">B61</f>
        <v>D.21-08-027</v>
      </c>
      <c r="D61" s="267" t="str">
        <f t="shared" si="0"/>
        <v>D.21-08-027</v>
      </c>
      <c r="E61" s="267" t="str">
        <f t="shared" si="3"/>
        <v>D.21-08-027</v>
      </c>
      <c r="F61" s="267" t="str">
        <f t="shared" si="3"/>
        <v>D.21-08-027</v>
      </c>
      <c r="G61" s="91">
        <v>-39916.957755412455</v>
      </c>
      <c r="H61" s="91">
        <f t="shared" si="12"/>
        <v>-39916.957755412455</v>
      </c>
      <c r="I61" s="91">
        <f t="shared" si="4"/>
        <v>-39916.957755412455</v>
      </c>
      <c r="J61" s="91">
        <v>-35384.072458004637</v>
      </c>
      <c r="K61" s="91">
        <f t="shared" si="5"/>
        <v>-35384.072458004637</v>
      </c>
      <c r="L61" t="s">
        <v>214</v>
      </c>
      <c r="M61" t="str">
        <f t="shared" si="9"/>
        <v>N</v>
      </c>
      <c r="N61" t="s">
        <v>215</v>
      </c>
    </row>
    <row r="62" spans="1:14">
      <c r="A62" t="s">
        <v>295</v>
      </c>
      <c r="B62" s="267" t="s">
        <v>296</v>
      </c>
      <c r="C62" s="267" t="str">
        <f t="shared" si="13"/>
        <v>D.21-08-027</v>
      </c>
      <c r="D62" s="267" t="str">
        <f t="shared" si="0"/>
        <v>D.21-08-027</v>
      </c>
      <c r="E62" s="267" t="str">
        <f t="shared" si="3"/>
        <v>D.21-08-027</v>
      </c>
      <c r="F62" s="267" t="str">
        <f t="shared" si="3"/>
        <v>D.21-08-027</v>
      </c>
      <c r="G62" s="91">
        <v>-21650.502093028372</v>
      </c>
      <c r="H62" s="91">
        <f t="shared" si="12"/>
        <v>-21650.502093028372</v>
      </c>
      <c r="I62" s="91">
        <f t="shared" si="4"/>
        <v>-21650.502093028372</v>
      </c>
      <c r="J62" s="91">
        <v>-21028.348501689987</v>
      </c>
      <c r="K62" s="91">
        <f t="shared" si="5"/>
        <v>-21028.348501689987</v>
      </c>
      <c r="L62" t="s">
        <v>225</v>
      </c>
      <c r="M62" t="str">
        <f t="shared" si="9"/>
        <v>N</v>
      </c>
      <c r="N62" t="s">
        <v>215</v>
      </c>
    </row>
    <row r="63" spans="1:14">
      <c r="A63" t="s">
        <v>297</v>
      </c>
      <c r="B63" s="267" t="s">
        <v>224</v>
      </c>
      <c r="C63" s="267" t="str">
        <f t="shared" si="13"/>
        <v>n/a</v>
      </c>
      <c r="D63" s="267" t="str">
        <f t="shared" si="0"/>
        <v>n/a</v>
      </c>
      <c r="E63" s="267" t="str">
        <f t="shared" si="3"/>
        <v>n/a</v>
      </c>
      <c r="F63" s="267" t="str">
        <f t="shared" si="3"/>
        <v>n/a</v>
      </c>
      <c r="G63" s="91">
        <v>38485.892894236385</v>
      </c>
      <c r="H63" s="91">
        <f t="shared" si="12"/>
        <v>38485.892894236385</v>
      </c>
      <c r="I63" s="91">
        <f t="shared" si="4"/>
        <v>38485.892894236385</v>
      </c>
      <c r="J63" s="91"/>
      <c r="K63" s="91">
        <f t="shared" si="5"/>
        <v>0</v>
      </c>
      <c r="L63" t="s">
        <v>225</v>
      </c>
      <c r="M63" t="str">
        <f t="shared" si="9"/>
        <v>N</v>
      </c>
      <c r="N63" t="s">
        <v>215</v>
      </c>
    </row>
    <row r="64" spans="1:14">
      <c r="A64" t="s">
        <v>298</v>
      </c>
      <c r="B64" s="267" t="s">
        <v>299</v>
      </c>
      <c r="C64" s="267" t="str">
        <f t="shared" si="13"/>
        <v>Electric Preliminary Statement Part IM</v>
      </c>
      <c r="D64" s="267" t="str">
        <f t="shared" si="0"/>
        <v>Electric Preliminary Statement Part IM</v>
      </c>
      <c r="E64" s="267" t="str">
        <f t="shared" si="3"/>
        <v>Electric Preliminary Statement Part IM</v>
      </c>
      <c r="F64" s="267" t="str">
        <f t="shared" si="3"/>
        <v>Electric Preliminary Statement Part IM</v>
      </c>
      <c r="G64" s="91">
        <v>29940.319159426792</v>
      </c>
      <c r="H64" s="91">
        <f t="shared" si="12"/>
        <v>29940.319159426792</v>
      </c>
      <c r="I64" s="91">
        <f t="shared" si="4"/>
        <v>29940.319159426792</v>
      </c>
      <c r="J64" s="91">
        <v>0</v>
      </c>
      <c r="K64" s="91">
        <f t="shared" si="5"/>
        <v>0</v>
      </c>
      <c r="L64" t="s">
        <v>225</v>
      </c>
      <c r="M64" t="str">
        <f t="shared" si="9"/>
        <v>N</v>
      </c>
      <c r="N64" t="s">
        <v>215</v>
      </c>
    </row>
    <row r="65" spans="1:14">
      <c r="A65" t="s">
        <v>300</v>
      </c>
      <c r="B65" s="267" t="s">
        <v>224</v>
      </c>
      <c r="C65" s="267" t="str">
        <f t="shared" si="13"/>
        <v>n/a</v>
      </c>
      <c r="D65" s="267" t="str">
        <f t="shared" si="0"/>
        <v>n/a</v>
      </c>
      <c r="E65" s="267" t="str">
        <f t="shared" si="3"/>
        <v>n/a</v>
      </c>
      <c r="F65" s="267" t="str">
        <f t="shared" si="3"/>
        <v>n/a</v>
      </c>
      <c r="G65" s="91">
        <v>0</v>
      </c>
      <c r="H65" s="91">
        <f t="shared" si="12"/>
        <v>0</v>
      </c>
      <c r="I65" s="91">
        <f t="shared" si="4"/>
        <v>0</v>
      </c>
      <c r="J65" s="91">
        <f t="shared" si="4"/>
        <v>0</v>
      </c>
      <c r="K65" s="91">
        <f t="shared" si="5"/>
        <v>0</v>
      </c>
      <c r="L65" t="s">
        <v>217</v>
      </c>
      <c r="M65" t="str">
        <f t="shared" si="9"/>
        <v>N</v>
      </c>
      <c r="N65" t="s">
        <v>215</v>
      </c>
    </row>
    <row r="66" spans="1:14">
      <c r="A66" t="s">
        <v>301</v>
      </c>
      <c r="B66" s="267" t="s">
        <v>224</v>
      </c>
      <c r="C66" s="267" t="str">
        <f t="shared" si="13"/>
        <v>n/a</v>
      </c>
      <c r="D66" s="267" t="str">
        <f t="shared" si="0"/>
        <v>n/a</v>
      </c>
      <c r="E66" s="267" t="str">
        <f t="shared" si="3"/>
        <v>n/a</v>
      </c>
      <c r="F66" s="267" t="str">
        <f t="shared" si="3"/>
        <v>n/a</v>
      </c>
      <c r="G66" s="91">
        <v>0</v>
      </c>
      <c r="H66" s="91">
        <f t="shared" si="12"/>
        <v>0</v>
      </c>
      <c r="I66" s="91">
        <f t="shared" ref="I66:I69" si="14">H66</f>
        <v>0</v>
      </c>
      <c r="J66" s="91">
        <f t="shared" ref="J66:J74" si="15">I66</f>
        <v>0</v>
      </c>
      <c r="K66" s="91">
        <f t="shared" si="5"/>
        <v>0</v>
      </c>
      <c r="L66" t="s">
        <v>214</v>
      </c>
      <c r="M66" t="str">
        <f t="shared" si="9"/>
        <v>N</v>
      </c>
      <c r="N66" t="s">
        <v>215</v>
      </c>
    </row>
    <row r="67" spans="1:14">
      <c r="A67" t="s">
        <v>302</v>
      </c>
      <c r="B67" s="267" t="s">
        <v>224</v>
      </c>
      <c r="C67" s="267" t="s">
        <v>224</v>
      </c>
      <c r="D67" s="267" t="s">
        <v>224</v>
      </c>
      <c r="E67" s="267" t="s">
        <v>303</v>
      </c>
      <c r="F67" s="267" t="str">
        <f t="shared" ref="F67:F132" si="16">E67</f>
        <v xml:space="preserve"> D.24-07-008 / D.25-08-036</v>
      </c>
      <c r="G67" s="91">
        <v>0</v>
      </c>
      <c r="H67" s="91">
        <v>0</v>
      </c>
      <c r="I67" s="91">
        <v>0</v>
      </c>
      <c r="J67" s="91">
        <v>95891.027258263915</v>
      </c>
      <c r="K67" s="91">
        <f t="shared" si="5"/>
        <v>95891.027258263915</v>
      </c>
      <c r="L67" t="s">
        <v>214</v>
      </c>
      <c r="M67" t="str">
        <f t="shared" si="9"/>
        <v>N</v>
      </c>
      <c r="N67" t="s">
        <v>215</v>
      </c>
    </row>
    <row r="68" spans="1:14">
      <c r="A68" t="s">
        <v>304</v>
      </c>
      <c r="B68" s="267" t="s">
        <v>224</v>
      </c>
      <c r="C68" s="267" t="str">
        <f t="shared" si="13"/>
        <v>n/a</v>
      </c>
      <c r="D68" s="267" t="str">
        <f t="shared" si="0"/>
        <v>n/a</v>
      </c>
      <c r="E68" s="267" t="str">
        <f t="shared" si="3"/>
        <v>n/a</v>
      </c>
      <c r="F68" s="267" t="str">
        <f t="shared" si="16"/>
        <v>n/a</v>
      </c>
      <c r="G68" s="91">
        <v>0</v>
      </c>
      <c r="H68" s="91">
        <f t="shared" si="12"/>
        <v>0</v>
      </c>
      <c r="I68" s="91">
        <f t="shared" si="14"/>
        <v>0</v>
      </c>
      <c r="J68" s="91">
        <f t="shared" si="15"/>
        <v>0</v>
      </c>
      <c r="K68" s="91">
        <f t="shared" si="5"/>
        <v>0</v>
      </c>
      <c r="L68" t="s">
        <v>217</v>
      </c>
      <c r="M68" t="str">
        <f t="shared" si="9"/>
        <v>N</v>
      </c>
      <c r="N68" t="s">
        <v>215</v>
      </c>
    </row>
    <row r="69" spans="1:14">
      <c r="A69" t="s">
        <v>304</v>
      </c>
      <c r="B69" s="267" t="s">
        <v>224</v>
      </c>
      <c r="C69" s="267" t="str">
        <f t="shared" si="13"/>
        <v>n/a</v>
      </c>
      <c r="D69" s="267" t="str">
        <f t="shared" si="0"/>
        <v>n/a</v>
      </c>
      <c r="E69" s="267" t="str">
        <f t="shared" si="3"/>
        <v>n/a</v>
      </c>
      <c r="F69" s="267" t="str">
        <f t="shared" si="16"/>
        <v>n/a</v>
      </c>
      <c r="G69" s="91">
        <v>0</v>
      </c>
      <c r="H69" s="91">
        <f t="shared" si="12"/>
        <v>0</v>
      </c>
      <c r="I69" s="91">
        <f t="shared" si="14"/>
        <v>0</v>
      </c>
      <c r="J69" s="91">
        <f t="shared" si="15"/>
        <v>0</v>
      </c>
      <c r="K69" s="91">
        <f t="shared" si="5"/>
        <v>0</v>
      </c>
      <c r="L69" t="s">
        <v>214</v>
      </c>
      <c r="M69" t="str">
        <f t="shared" si="9"/>
        <v>N</v>
      </c>
      <c r="N69" t="s">
        <v>215</v>
      </c>
    </row>
    <row r="70" spans="1:14">
      <c r="A70" t="s">
        <v>305</v>
      </c>
      <c r="B70" s="267" t="s">
        <v>224</v>
      </c>
      <c r="C70" s="267" t="s">
        <v>224</v>
      </c>
      <c r="D70" s="267" t="s">
        <v>224</v>
      </c>
      <c r="E70" s="267" t="s">
        <v>306</v>
      </c>
      <c r="F70" s="267" t="str">
        <f t="shared" si="16"/>
        <v>D.25-09-008</v>
      </c>
      <c r="G70" s="91">
        <v>0</v>
      </c>
      <c r="H70" s="91">
        <v>0</v>
      </c>
      <c r="I70" s="91">
        <v>0</v>
      </c>
      <c r="J70" s="91">
        <v>8297.3251670670052</v>
      </c>
      <c r="K70" s="91">
        <f t="shared" si="5"/>
        <v>8297.3251670670052</v>
      </c>
      <c r="L70" t="s">
        <v>217</v>
      </c>
      <c r="M70" t="str">
        <f t="shared" si="9"/>
        <v>N</v>
      </c>
      <c r="N70" t="s">
        <v>215</v>
      </c>
    </row>
    <row r="71" spans="1:14">
      <c r="A71" t="s">
        <v>305</v>
      </c>
      <c r="B71" s="267" t="s">
        <v>224</v>
      </c>
      <c r="C71" s="267" t="s">
        <v>224</v>
      </c>
      <c r="D71" s="267" t="s">
        <v>224</v>
      </c>
      <c r="E71" s="267" t="s">
        <v>306</v>
      </c>
      <c r="F71" s="267" t="str">
        <f t="shared" si="16"/>
        <v>D.25-09-008</v>
      </c>
      <c r="G71" s="91">
        <v>0</v>
      </c>
      <c r="H71" s="91"/>
      <c r="I71" s="91"/>
      <c r="J71" s="91">
        <v>4806.2146421102079</v>
      </c>
      <c r="K71" s="91">
        <f t="shared" si="5"/>
        <v>4806.2146421102079</v>
      </c>
      <c r="L71" t="s">
        <v>225</v>
      </c>
      <c r="M71" t="str">
        <f t="shared" si="9"/>
        <v>N</v>
      </c>
      <c r="N71" t="s">
        <v>215</v>
      </c>
    </row>
    <row r="72" spans="1:14">
      <c r="A72" t="s">
        <v>305</v>
      </c>
      <c r="B72" s="267" t="s">
        <v>224</v>
      </c>
      <c r="C72" s="267" t="s">
        <v>224</v>
      </c>
      <c r="D72" s="267" t="s">
        <v>224</v>
      </c>
      <c r="E72" s="267" t="s">
        <v>306</v>
      </c>
      <c r="F72" s="267" t="str">
        <f t="shared" si="16"/>
        <v>D.25-09-008</v>
      </c>
      <c r="G72" s="91">
        <v>0</v>
      </c>
      <c r="H72" s="91">
        <v>0</v>
      </c>
      <c r="I72" s="91">
        <v>0</v>
      </c>
      <c r="J72" s="91">
        <v>3730.259924341538</v>
      </c>
      <c r="K72" s="91">
        <f t="shared" si="5"/>
        <v>3730.259924341538</v>
      </c>
      <c r="L72" t="s">
        <v>214</v>
      </c>
      <c r="M72" t="str">
        <f t="shared" si="9"/>
        <v>N</v>
      </c>
      <c r="N72" t="s">
        <v>215</v>
      </c>
    </row>
    <row r="73" spans="1:14">
      <c r="A73" t="s">
        <v>307</v>
      </c>
      <c r="B73" s="267" t="s">
        <v>308</v>
      </c>
      <c r="C73" s="267" t="str">
        <f t="shared" si="13"/>
        <v>D.23-08-027</v>
      </c>
      <c r="D73" s="267" t="str">
        <f t="shared" si="0"/>
        <v>D.23-08-027</v>
      </c>
      <c r="E73" s="267" t="str">
        <f t="shared" si="3"/>
        <v>D.23-08-027</v>
      </c>
      <c r="F73" s="267" t="str">
        <f t="shared" si="16"/>
        <v>D.23-08-027</v>
      </c>
      <c r="G73" s="91">
        <v>348275.32428074593</v>
      </c>
      <c r="H73" s="91">
        <f t="shared" si="12"/>
        <v>348275.32428074593</v>
      </c>
      <c r="I73" s="91">
        <v>0</v>
      </c>
      <c r="J73" s="91">
        <f t="shared" si="15"/>
        <v>0</v>
      </c>
      <c r="K73" s="91">
        <f t="shared" si="5"/>
        <v>0</v>
      </c>
      <c r="L73" t="s">
        <v>217</v>
      </c>
      <c r="M73" t="str">
        <f t="shared" ref="M73:M91" si="17">IF(RIGHT(A73,1)="*","Y","N")</f>
        <v>N</v>
      </c>
      <c r="N73" t="s">
        <v>215</v>
      </c>
    </row>
    <row r="74" spans="1:14">
      <c r="A74" t="s">
        <v>307</v>
      </c>
      <c r="B74" s="267" t="s">
        <v>308</v>
      </c>
      <c r="C74" s="267" t="str">
        <f t="shared" si="13"/>
        <v>D.23-08-027</v>
      </c>
      <c r="D74" s="267" t="str">
        <f t="shared" si="0"/>
        <v>D.23-08-027</v>
      </c>
      <c r="E74" s="267" t="str">
        <f t="shared" si="0"/>
        <v>D.23-08-027</v>
      </c>
      <c r="F74" s="267" t="str">
        <f t="shared" si="16"/>
        <v>D.23-08-027</v>
      </c>
      <c r="G74" s="91">
        <v>15823.53951412344</v>
      </c>
      <c r="H74" s="91">
        <f t="shared" si="12"/>
        <v>15823.53951412344</v>
      </c>
      <c r="I74" s="91">
        <v>0</v>
      </c>
      <c r="J74" s="91">
        <f t="shared" si="15"/>
        <v>0</v>
      </c>
      <c r="K74" s="91">
        <f t="shared" ref="K74:K91" si="18">J74</f>
        <v>0</v>
      </c>
      <c r="L74" t="s">
        <v>214</v>
      </c>
      <c r="M74" t="str">
        <f t="shared" si="17"/>
        <v>N</v>
      </c>
      <c r="N74" t="s">
        <v>215</v>
      </c>
    </row>
    <row r="75" spans="1:14">
      <c r="A75" t="s">
        <v>309</v>
      </c>
      <c r="B75" s="267" t="s">
        <v>224</v>
      </c>
      <c r="C75" s="267" t="s">
        <v>310</v>
      </c>
      <c r="D75" s="267" t="str">
        <f>C75</f>
        <v>D.24-12-075</v>
      </c>
      <c r="E75" s="267" t="str">
        <f t="shared" ref="E75:E86" si="19">D75</f>
        <v>D.24-12-075</v>
      </c>
      <c r="F75" s="267" t="str">
        <f t="shared" si="16"/>
        <v>D.24-12-075</v>
      </c>
      <c r="G75" s="262">
        <v>0</v>
      </c>
      <c r="H75" s="262">
        <v>142061.93755242301</v>
      </c>
      <c r="I75" s="91">
        <f t="shared" si="4"/>
        <v>142061.93755242301</v>
      </c>
      <c r="J75" s="91">
        <v>142214.0285138922</v>
      </c>
      <c r="K75" s="91">
        <v>0</v>
      </c>
      <c r="L75" t="s">
        <v>217</v>
      </c>
      <c r="M75" t="str">
        <f t="shared" si="17"/>
        <v>N</v>
      </c>
      <c r="N75" t="s">
        <v>215</v>
      </c>
    </row>
    <row r="76" spans="1:14">
      <c r="A76" t="s">
        <v>309</v>
      </c>
      <c r="B76" s="267" t="s">
        <v>224</v>
      </c>
      <c r="C76" s="267" t="s">
        <v>310</v>
      </c>
      <c r="D76" s="267" t="str">
        <f t="shared" ref="D76:D146" si="20">C76</f>
        <v>D.24-12-075</v>
      </c>
      <c r="E76" s="267" t="str">
        <f t="shared" si="19"/>
        <v>D.24-12-075</v>
      </c>
      <c r="F76" s="267" t="str">
        <f t="shared" si="16"/>
        <v>D.24-12-075</v>
      </c>
      <c r="G76" s="67">
        <v>0</v>
      </c>
      <c r="H76" s="67">
        <v>360737.04400514957</v>
      </c>
      <c r="I76" s="91">
        <f t="shared" si="4"/>
        <v>360737.04400514957</v>
      </c>
      <c r="J76" s="91">
        <v>361123.24769070791</v>
      </c>
      <c r="K76" s="91">
        <v>0</v>
      </c>
      <c r="L76" t="s">
        <v>214</v>
      </c>
      <c r="M76" t="str">
        <f t="shared" si="17"/>
        <v>N</v>
      </c>
      <c r="N76" t="s">
        <v>215</v>
      </c>
    </row>
    <row r="77" spans="1:14">
      <c r="A77" t="s">
        <v>311</v>
      </c>
      <c r="B77" s="267" t="s">
        <v>312</v>
      </c>
      <c r="C77" s="267" t="str">
        <f t="shared" ref="C77:C86" si="21">B77</f>
        <v>D.24-09-003</v>
      </c>
      <c r="D77" s="267" t="str">
        <f t="shared" si="20"/>
        <v>D.24-09-003</v>
      </c>
      <c r="E77" s="267" t="str">
        <f t="shared" si="19"/>
        <v>D.24-09-003</v>
      </c>
      <c r="F77" s="267" t="str">
        <f t="shared" si="16"/>
        <v>D.24-09-003</v>
      </c>
      <c r="G77" s="91">
        <v>597531.23777689342</v>
      </c>
      <c r="H77" s="272">
        <f t="shared" ref="H77:H86" si="22">G77</f>
        <v>597531.23777689342</v>
      </c>
      <c r="I77" s="91">
        <f t="shared" si="4"/>
        <v>597531.23777689342</v>
      </c>
      <c r="J77" s="91">
        <v>598170.95241141913</v>
      </c>
      <c r="K77" s="91">
        <v>0</v>
      </c>
      <c r="L77" t="s">
        <v>217</v>
      </c>
      <c r="M77" t="str">
        <f t="shared" si="17"/>
        <v>N</v>
      </c>
      <c r="N77" t="s">
        <v>215</v>
      </c>
    </row>
    <row r="78" spans="1:14">
      <c r="A78" t="s">
        <v>311</v>
      </c>
      <c r="B78" s="267" t="s">
        <v>312</v>
      </c>
      <c r="C78" s="267" t="str">
        <f t="shared" si="21"/>
        <v>D.24-09-003</v>
      </c>
      <c r="D78" s="267" t="str">
        <f t="shared" si="20"/>
        <v>D.24-09-003</v>
      </c>
      <c r="E78" s="267" t="str">
        <f t="shared" si="19"/>
        <v>D.24-09-003</v>
      </c>
      <c r="F78" s="267" t="str">
        <f t="shared" si="16"/>
        <v>D.24-09-003</v>
      </c>
      <c r="G78" s="272">
        <v>154644.36811786867</v>
      </c>
      <c r="H78" s="272">
        <f t="shared" si="22"/>
        <v>154644.36811786867</v>
      </c>
      <c r="I78" s="91">
        <f t="shared" ref="I78:J152" si="23">H78</f>
        <v>154644.36811786867</v>
      </c>
      <c r="J78" s="91">
        <v>154809.92978088735</v>
      </c>
      <c r="K78" s="91">
        <v>0</v>
      </c>
      <c r="L78" t="s">
        <v>214</v>
      </c>
      <c r="M78" t="str">
        <f t="shared" si="17"/>
        <v>N</v>
      </c>
      <c r="N78" t="s">
        <v>215</v>
      </c>
    </row>
    <row r="79" spans="1:14">
      <c r="A79" t="s">
        <v>313</v>
      </c>
      <c r="B79" s="267" t="s">
        <v>224</v>
      </c>
      <c r="C79" s="267" t="str">
        <f>B79</f>
        <v>n/a</v>
      </c>
      <c r="D79" s="267" t="str">
        <f t="shared" si="20"/>
        <v>n/a</v>
      </c>
      <c r="E79" s="267" t="str">
        <f t="shared" si="19"/>
        <v>n/a</v>
      </c>
      <c r="F79" t="s">
        <v>314</v>
      </c>
      <c r="G79" s="262">
        <v>0</v>
      </c>
      <c r="H79" s="262">
        <v>0</v>
      </c>
      <c r="I79" s="262">
        <v>0</v>
      </c>
      <c r="J79" s="262">
        <v>0</v>
      </c>
      <c r="K79" s="91">
        <v>210135.89045181416</v>
      </c>
      <c r="L79" t="s">
        <v>214</v>
      </c>
      <c r="M79" t="str">
        <f t="shared" si="17"/>
        <v>N</v>
      </c>
      <c r="N79" t="s">
        <v>215</v>
      </c>
    </row>
    <row r="80" spans="1:14">
      <c r="A80" t="s">
        <v>313</v>
      </c>
      <c r="B80" s="267" t="s">
        <v>224</v>
      </c>
      <c r="C80" s="267" t="str">
        <f>B80</f>
        <v>n/a</v>
      </c>
      <c r="D80" s="267" t="str">
        <f t="shared" si="20"/>
        <v>n/a</v>
      </c>
      <c r="E80" s="267" t="str">
        <f t="shared" si="19"/>
        <v>n/a</v>
      </c>
      <c r="F80" t="s">
        <v>314</v>
      </c>
      <c r="G80" s="262">
        <v>0</v>
      </c>
      <c r="H80" s="262">
        <v>0</v>
      </c>
      <c r="I80" s="262">
        <v>0</v>
      </c>
      <c r="J80" s="262">
        <v>0</v>
      </c>
      <c r="K80" s="91">
        <v>546636.98279374978</v>
      </c>
      <c r="L80" t="s">
        <v>217</v>
      </c>
      <c r="M80" t="str">
        <f t="shared" si="17"/>
        <v>N</v>
      </c>
      <c r="N80" t="s">
        <v>215</v>
      </c>
    </row>
    <row r="81" spans="1:14" ht="23.25" customHeight="1">
      <c r="A81" t="s">
        <v>315</v>
      </c>
      <c r="B81" s="267" t="s">
        <v>316</v>
      </c>
      <c r="C81" s="267" t="str">
        <f t="shared" si="21"/>
        <v>Electric Preliminary Statement Part JZ</v>
      </c>
      <c r="D81" s="267" t="str">
        <f t="shared" si="20"/>
        <v>Electric Preliminary Statement Part JZ</v>
      </c>
      <c r="E81" s="267" t="str">
        <f t="shared" si="19"/>
        <v>Electric Preliminary Statement Part JZ</v>
      </c>
      <c r="F81" s="267" t="str">
        <f t="shared" si="16"/>
        <v>Electric Preliminary Statement Part JZ</v>
      </c>
      <c r="G81" s="272">
        <v>121317.7211845625</v>
      </c>
      <c r="H81" s="272">
        <f t="shared" si="22"/>
        <v>121317.7211845625</v>
      </c>
      <c r="I81" s="91">
        <f t="shared" si="23"/>
        <v>121317.7211845625</v>
      </c>
      <c r="J81" s="91">
        <v>151124.47657747896</v>
      </c>
      <c r="K81" s="91">
        <f t="shared" si="18"/>
        <v>151124.47657747896</v>
      </c>
      <c r="L81" t="s">
        <v>214</v>
      </c>
      <c r="M81" t="str">
        <f t="shared" si="17"/>
        <v>Y</v>
      </c>
      <c r="N81" t="s">
        <v>115</v>
      </c>
    </row>
    <row r="82" spans="1:14" ht="23.25" customHeight="1">
      <c r="A82" t="s">
        <v>317</v>
      </c>
      <c r="B82" s="267" t="s">
        <v>318</v>
      </c>
      <c r="C82" s="267" t="str">
        <f t="shared" si="21"/>
        <v>Electric Preliminary Statement Part KA</v>
      </c>
      <c r="D82" s="267" t="str">
        <f t="shared" si="20"/>
        <v>Electric Preliminary Statement Part KA</v>
      </c>
      <c r="E82" s="267" t="str">
        <f t="shared" si="19"/>
        <v>Electric Preliminary Statement Part KA</v>
      </c>
      <c r="F82" s="267" t="str">
        <f t="shared" si="16"/>
        <v>Electric Preliminary Statement Part KA</v>
      </c>
      <c r="G82" s="272">
        <v>4478.240601915044</v>
      </c>
      <c r="H82" s="272">
        <f t="shared" si="22"/>
        <v>4478.240601915044</v>
      </c>
      <c r="I82" s="91">
        <f t="shared" si="23"/>
        <v>4478.240601915044</v>
      </c>
      <c r="J82" s="91">
        <v>-10059.303084707464</v>
      </c>
      <c r="K82" s="91">
        <f t="shared" si="18"/>
        <v>-10059.303084707464</v>
      </c>
      <c r="L82" t="s">
        <v>214</v>
      </c>
      <c r="M82" t="str">
        <f t="shared" si="17"/>
        <v>Y</v>
      </c>
      <c r="N82" t="s">
        <v>215</v>
      </c>
    </row>
    <row r="83" spans="1:14" ht="23.25" customHeight="1">
      <c r="A83" t="s">
        <v>319</v>
      </c>
      <c r="B83" s="267" t="s">
        <v>320</v>
      </c>
      <c r="C83" s="267" t="str">
        <f t="shared" si="21"/>
        <v>Electric Preliminary Statement Part JD</v>
      </c>
      <c r="D83" s="267" t="str">
        <f t="shared" si="20"/>
        <v>Electric Preliminary Statement Part JD</v>
      </c>
      <c r="E83" s="267" t="str">
        <f t="shared" si="19"/>
        <v>Electric Preliminary Statement Part JD</v>
      </c>
      <c r="F83" s="267" t="str">
        <f t="shared" si="16"/>
        <v>Electric Preliminary Statement Part JD</v>
      </c>
      <c r="G83" s="272">
        <v>5.4850873107244524</v>
      </c>
      <c r="H83" s="272">
        <f t="shared" si="22"/>
        <v>5.4850873107244524</v>
      </c>
      <c r="I83" s="91">
        <f t="shared" si="23"/>
        <v>5.4850873107244524</v>
      </c>
      <c r="J83" s="91">
        <v>39.58753383188143</v>
      </c>
      <c r="K83" s="91">
        <f t="shared" si="18"/>
        <v>39.58753383188143</v>
      </c>
      <c r="L83" t="s">
        <v>214</v>
      </c>
      <c r="M83" t="str">
        <f t="shared" si="17"/>
        <v>Y</v>
      </c>
      <c r="N83" t="s">
        <v>115</v>
      </c>
    </row>
    <row r="84" spans="1:14" ht="23.25" customHeight="1">
      <c r="A84" t="s">
        <v>321</v>
      </c>
      <c r="B84" s="267" t="s">
        <v>322</v>
      </c>
      <c r="C84" s="267" t="str">
        <f t="shared" si="21"/>
        <v xml:space="preserve">D.23-04-034/ AL 6962-E </v>
      </c>
      <c r="D84" s="267" t="str">
        <f t="shared" si="20"/>
        <v xml:space="preserve">D.23-04-034/ AL 6962-E </v>
      </c>
      <c r="E84" s="267" t="str">
        <f t="shared" si="19"/>
        <v xml:space="preserve">D.23-04-034/ AL 6962-E </v>
      </c>
      <c r="F84" s="267" t="str">
        <f t="shared" si="16"/>
        <v xml:space="preserve">D.23-04-034/ AL 6962-E </v>
      </c>
      <c r="G84" s="272">
        <v>482.26226348</v>
      </c>
      <c r="H84" s="272">
        <f t="shared" si="22"/>
        <v>482.26226348</v>
      </c>
      <c r="I84" s="91">
        <f t="shared" si="23"/>
        <v>482.26226348</v>
      </c>
      <c r="J84" s="91">
        <v>0</v>
      </c>
      <c r="K84" s="91">
        <f t="shared" si="18"/>
        <v>0</v>
      </c>
      <c r="L84" t="s">
        <v>217</v>
      </c>
      <c r="M84" t="str">
        <f t="shared" si="17"/>
        <v>N</v>
      </c>
      <c r="N84" t="s">
        <v>215</v>
      </c>
    </row>
    <row r="85" spans="1:14">
      <c r="A85" s="267" t="s">
        <v>323</v>
      </c>
      <c r="B85" s="267" t="s">
        <v>324</v>
      </c>
      <c r="C85" s="267" t="str">
        <f t="shared" si="21"/>
        <v>D.24-08-009/ AL 7371-E</v>
      </c>
      <c r="D85" s="267" t="str">
        <f t="shared" si="20"/>
        <v>D.24-08-009/ AL 7371-E</v>
      </c>
      <c r="E85" s="267" t="str">
        <f t="shared" si="19"/>
        <v>D.24-08-009/ AL 7371-E</v>
      </c>
      <c r="F85" s="267" t="str">
        <f t="shared" si="16"/>
        <v>D.24-08-009/ AL 7371-E</v>
      </c>
      <c r="G85" s="91">
        <v>141576.85188405539</v>
      </c>
      <c r="H85" s="272">
        <f t="shared" si="22"/>
        <v>141576.85188405539</v>
      </c>
      <c r="I85" s="91">
        <f t="shared" si="23"/>
        <v>141576.85188405539</v>
      </c>
      <c r="J85" s="91">
        <v>48959.963379433757</v>
      </c>
      <c r="K85" s="91">
        <f t="shared" si="18"/>
        <v>48959.963379433757</v>
      </c>
      <c r="L85" t="s">
        <v>214</v>
      </c>
      <c r="M85" t="str">
        <f t="shared" si="17"/>
        <v>N</v>
      </c>
      <c r="N85" t="s">
        <v>215</v>
      </c>
    </row>
    <row r="86" spans="1:14">
      <c r="A86" s="267" t="s">
        <v>323</v>
      </c>
      <c r="B86" s="267" t="s">
        <v>324</v>
      </c>
      <c r="C86" s="267" t="str">
        <f t="shared" si="21"/>
        <v>D.24-08-009/ AL 7371-E</v>
      </c>
      <c r="D86" s="267" t="str">
        <f t="shared" si="20"/>
        <v>D.24-08-009/ AL 7371-E</v>
      </c>
      <c r="E86" s="267" t="str">
        <f t="shared" si="19"/>
        <v>D.24-08-009/ AL 7371-E</v>
      </c>
      <c r="F86" s="267" t="str">
        <f t="shared" si="16"/>
        <v>D.24-08-009/ AL 7371-E</v>
      </c>
      <c r="G86" s="91">
        <v>68189.673891719649</v>
      </c>
      <c r="H86" s="272">
        <f t="shared" si="22"/>
        <v>68189.673891719649</v>
      </c>
      <c r="I86" s="91">
        <f t="shared" si="23"/>
        <v>68189.673891719649</v>
      </c>
      <c r="J86" s="91">
        <v>9285.9628682988223</v>
      </c>
      <c r="K86" s="91">
        <f t="shared" si="18"/>
        <v>9285.9628682988223</v>
      </c>
      <c r="L86" t="s">
        <v>225</v>
      </c>
      <c r="M86" t="str">
        <f t="shared" si="17"/>
        <v>N</v>
      </c>
      <c r="N86" t="s">
        <v>215</v>
      </c>
    </row>
    <row r="87" spans="1:14">
      <c r="A87" s="267" t="s">
        <v>325</v>
      </c>
      <c r="B87" s="267" t="s">
        <v>224</v>
      </c>
      <c r="C87" s="267" t="s">
        <v>224</v>
      </c>
      <c r="D87" s="267" t="s">
        <v>224</v>
      </c>
      <c r="E87" s="267" t="s">
        <v>326</v>
      </c>
      <c r="F87" s="267" t="str">
        <f t="shared" si="16"/>
        <v xml:space="preserve">D.25-12-026 </v>
      </c>
      <c r="G87" s="91">
        <v>0</v>
      </c>
      <c r="H87" s="91">
        <v>0</v>
      </c>
      <c r="I87" s="91">
        <v>0</v>
      </c>
      <c r="J87" s="91">
        <v>158033.59433360386</v>
      </c>
      <c r="K87" s="91">
        <f t="shared" si="18"/>
        <v>158033.59433360386</v>
      </c>
      <c r="L87" t="s">
        <v>214</v>
      </c>
      <c r="M87" t="str">
        <f t="shared" si="17"/>
        <v>N</v>
      </c>
      <c r="N87" t="s">
        <v>215</v>
      </c>
    </row>
    <row r="88" spans="1:14">
      <c r="A88" s="267" t="s">
        <v>325</v>
      </c>
      <c r="B88" s="267" t="s">
        <v>224</v>
      </c>
      <c r="C88" s="267" t="s">
        <v>224</v>
      </c>
      <c r="D88" s="267" t="s">
        <v>224</v>
      </c>
      <c r="E88" s="267" t="s">
        <v>326</v>
      </c>
      <c r="F88" s="267" t="str">
        <f t="shared" si="16"/>
        <v xml:space="preserve">D.25-12-026 </v>
      </c>
      <c r="G88" s="91">
        <v>0</v>
      </c>
      <c r="H88" s="91">
        <v>0</v>
      </c>
      <c r="I88" s="91">
        <v>0</v>
      </c>
      <c r="J88" s="91">
        <v>107564.38815294557</v>
      </c>
      <c r="K88" s="91">
        <f t="shared" si="18"/>
        <v>107564.38815294557</v>
      </c>
      <c r="L88" t="s">
        <v>225</v>
      </c>
      <c r="M88" t="str">
        <f t="shared" si="17"/>
        <v>N</v>
      </c>
      <c r="N88" t="s">
        <v>215</v>
      </c>
    </row>
    <row r="89" spans="1:14">
      <c r="A89" s="267" t="s">
        <v>327</v>
      </c>
      <c r="B89" s="267" t="s">
        <v>224</v>
      </c>
      <c r="C89" s="267" t="s">
        <v>224</v>
      </c>
      <c r="D89" s="267" t="s">
        <v>224</v>
      </c>
      <c r="E89" s="267" t="s">
        <v>328</v>
      </c>
      <c r="F89" s="267" t="str">
        <f t="shared" si="16"/>
        <v>D.25-12-029</v>
      </c>
      <c r="G89" s="91">
        <v>0</v>
      </c>
      <c r="H89" s="91">
        <v>0</v>
      </c>
      <c r="I89" s="91">
        <v>0</v>
      </c>
      <c r="J89" s="91">
        <v>32278.309522205087</v>
      </c>
      <c r="K89" s="91">
        <f t="shared" si="18"/>
        <v>32278.309522205087</v>
      </c>
      <c r="L89" t="s">
        <v>214</v>
      </c>
      <c r="M89" t="str">
        <f t="shared" si="17"/>
        <v>N</v>
      </c>
      <c r="N89" t="s">
        <v>215</v>
      </c>
    </row>
    <row r="90" spans="1:14">
      <c r="A90" s="267" t="s">
        <v>327</v>
      </c>
      <c r="B90" s="267" t="s">
        <v>224</v>
      </c>
      <c r="C90" s="267" t="s">
        <v>224</v>
      </c>
      <c r="D90" s="267" t="s">
        <v>224</v>
      </c>
      <c r="E90" s="267" t="s">
        <v>328</v>
      </c>
      <c r="F90" s="267" t="str">
        <f t="shared" si="16"/>
        <v>D.25-12-029</v>
      </c>
      <c r="G90" s="91">
        <v>0</v>
      </c>
      <c r="H90" s="91">
        <v>0</v>
      </c>
      <c r="I90" s="91">
        <v>0</v>
      </c>
      <c r="J90" s="91">
        <v>9846.2071269206372</v>
      </c>
      <c r="K90" s="91">
        <f t="shared" si="18"/>
        <v>9846.2071269206372</v>
      </c>
      <c r="L90" t="s">
        <v>225</v>
      </c>
      <c r="M90" t="str">
        <f t="shared" si="17"/>
        <v>N</v>
      </c>
      <c r="N90" t="s">
        <v>215</v>
      </c>
    </row>
    <row r="91" spans="1:14">
      <c r="A91" s="267" t="s">
        <v>329</v>
      </c>
      <c r="B91" s="267" t="s">
        <v>224</v>
      </c>
      <c r="C91" s="267" t="s">
        <v>224</v>
      </c>
      <c r="D91" s="267" t="s">
        <v>224</v>
      </c>
      <c r="E91" s="267" t="s">
        <v>330</v>
      </c>
      <c r="F91" s="267" t="str">
        <f t="shared" si="16"/>
        <v>D.25-03-08/ AL 7575-E</v>
      </c>
      <c r="G91" s="91"/>
      <c r="H91" s="91"/>
      <c r="I91" s="91">
        <v>0</v>
      </c>
      <c r="J91" s="91">
        <v>26342.400000000001</v>
      </c>
      <c r="K91" s="91">
        <f t="shared" si="18"/>
        <v>26342.400000000001</v>
      </c>
      <c r="L91" t="s">
        <v>214</v>
      </c>
      <c r="M91" t="str">
        <f t="shared" si="17"/>
        <v>N</v>
      </c>
      <c r="N91" t="s">
        <v>215</v>
      </c>
    </row>
    <row r="92" spans="1:14">
      <c r="A92" s="267" t="s">
        <v>331</v>
      </c>
      <c r="B92" s="267" t="s">
        <v>224</v>
      </c>
      <c r="C92" s="267" t="s">
        <v>224</v>
      </c>
      <c r="D92" s="267" t="s">
        <v>224</v>
      </c>
      <c r="E92" s="267" t="str">
        <f>D92</f>
        <v>n/a</v>
      </c>
      <c r="F92" s="267" t="s">
        <v>332</v>
      </c>
      <c r="G92" s="91">
        <v>0</v>
      </c>
      <c r="H92" s="91">
        <v>0</v>
      </c>
      <c r="I92" s="91">
        <v>0</v>
      </c>
      <c r="J92" s="91">
        <v>0</v>
      </c>
      <c r="K92" s="91">
        <v>-4657.0377600000002</v>
      </c>
      <c r="L92" t="s">
        <v>214</v>
      </c>
      <c r="M92" t="str">
        <f>IF(RIGHT(A92,1)="*","Y","N")</f>
        <v>Y</v>
      </c>
      <c r="N92" t="s">
        <v>115</v>
      </c>
    </row>
    <row r="93" spans="1:14">
      <c r="A93" s="267"/>
      <c r="B93" s="267"/>
      <c r="C93" s="267"/>
      <c r="D93" s="267"/>
      <c r="E93" s="267"/>
      <c r="F93" s="267"/>
      <c r="G93" s="91"/>
      <c r="H93" s="91"/>
      <c r="I93" s="91"/>
      <c r="J93" s="91"/>
      <c r="K93" s="91"/>
    </row>
    <row r="94" spans="1:14">
      <c r="A94" s="10" t="s">
        <v>333</v>
      </c>
      <c r="B94" s="267"/>
      <c r="C94" s="267"/>
      <c r="D94" s="267"/>
      <c r="E94" s="267"/>
      <c r="F94" s="267"/>
      <c r="G94" s="276">
        <f>SUM(G9:G86)</f>
        <v>17164205.618997265</v>
      </c>
      <c r="H94" s="276">
        <f>SUM(H9:H86)</f>
        <v>17323987.589253176</v>
      </c>
      <c r="I94" s="276">
        <f>SUM(I9:I86)</f>
        <v>16732973.334759803</v>
      </c>
      <c r="J94" s="276">
        <f>SUM(J9:J92)</f>
        <v>17071742.597165491</v>
      </c>
      <c r="K94" s="276">
        <f>SUM(K9:K92)</f>
        <v>16597155.798071979</v>
      </c>
      <c r="L94" s="273"/>
    </row>
    <row r="95" spans="1:14" ht="15" customHeight="1">
      <c r="B95" s="267"/>
      <c r="C95" s="267"/>
      <c r="D95" s="267"/>
      <c r="E95" s="267"/>
      <c r="F95" s="267"/>
      <c r="G95" s="91"/>
      <c r="H95" s="91"/>
      <c r="I95" s="91"/>
      <c r="J95" s="91"/>
      <c r="K95" s="91"/>
    </row>
    <row r="96" spans="1:14">
      <c r="A96" s="10" t="s">
        <v>334</v>
      </c>
      <c r="B96" s="267"/>
      <c r="C96" s="267"/>
      <c r="D96" s="267"/>
      <c r="E96" s="267"/>
      <c r="F96" s="267"/>
      <c r="G96" s="91"/>
      <c r="H96" s="91"/>
      <c r="I96" s="91"/>
      <c r="J96" s="91"/>
      <c r="K96" s="91"/>
    </row>
    <row r="97" spans="1:14">
      <c r="A97" t="s">
        <v>335</v>
      </c>
      <c r="B97" s="267" t="s">
        <v>244</v>
      </c>
      <c r="C97" s="267" t="str">
        <f t="shared" ref="C97:C111" si="24">B97</f>
        <v>D.24-12-038</v>
      </c>
      <c r="D97" s="267" t="str">
        <f t="shared" si="20"/>
        <v>D.24-12-038</v>
      </c>
      <c r="E97" s="267" t="str">
        <f>D97</f>
        <v>D.24-12-038</v>
      </c>
      <c r="F97" s="267" t="str">
        <f t="shared" si="16"/>
        <v>D.24-12-038</v>
      </c>
      <c r="G97" s="91">
        <v>-721064.79799999995</v>
      </c>
      <c r="H97" s="91">
        <f t="shared" ref="H97:H141" si="25">G97</f>
        <v>-721064.79799999995</v>
      </c>
      <c r="I97" s="91">
        <f t="shared" si="23"/>
        <v>-721064.79799999995</v>
      </c>
      <c r="J97" s="91">
        <v>-475276.50099999999</v>
      </c>
      <c r="K97" s="91">
        <f>J97</f>
        <v>-475276.50099999999</v>
      </c>
      <c r="L97" s="277" t="s">
        <v>336</v>
      </c>
      <c r="M97" t="str">
        <f t="shared" ref="M97:M128" si="26">IF(RIGHT(A97,1)="*","Y","N")</f>
        <v>N</v>
      </c>
      <c r="N97" t="s">
        <v>215</v>
      </c>
    </row>
    <row r="98" spans="1:14">
      <c r="A98" t="s">
        <v>337</v>
      </c>
      <c r="B98" s="267" t="s">
        <v>224</v>
      </c>
      <c r="C98" s="267" t="str">
        <f t="shared" si="24"/>
        <v>n/a</v>
      </c>
      <c r="D98" s="267" t="str">
        <f t="shared" si="20"/>
        <v>n/a</v>
      </c>
      <c r="E98" s="267" t="str">
        <f t="shared" ref="E98:F146" si="27">D98</f>
        <v>n/a</v>
      </c>
      <c r="F98" s="267" t="str">
        <f t="shared" si="16"/>
        <v>n/a</v>
      </c>
      <c r="G98" s="91">
        <v>0</v>
      </c>
      <c r="H98" s="91">
        <f t="shared" si="25"/>
        <v>0</v>
      </c>
      <c r="I98" s="91">
        <f t="shared" si="23"/>
        <v>0</v>
      </c>
      <c r="J98" s="91">
        <f t="shared" si="23"/>
        <v>0</v>
      </c>
      <c r="K98" s="91">
        <f t="shared" ref="K98:K155" si="28">J98</f>
        <v>0</v>
      </c>
      <c r="L98" t="s">
        <v>338</v>
      </c>
      <c r="M98" t="str">
        <f t="shared" si="26"/>
        <v>N</v>
      </c>
      <c r="N98" t="s">
        <v>215</v>
      </c>
    </row>
    <row r="99" spans="1:14">
      <c r="A99" t="s">
        <v>339</v>
      </c>
      <c r="B99" s="267" t="s">
        <v>224</v>
      </c>
      <c r="C99" s="267" t="str">
        <f t="shared" si="24"/>
        <v>n/a</v>
      </c>
      <c r="D99" s="267" t="str">
        <f t="shared" si="20"/>
        <v>n/a</v>
      </c>
      <c r="E99" s="267" t="str">
        <f t="shared" si="27"/>
        <v>n/a</v>
      </c>
      <c r="F99" s="267" t="str">
        <f t="shared" si="16"/>
        <v>n/a</v>
      </c>
      <c r="G99" s="91">
        <v>0</v>
      </c>
      <c r="H99" s="91">
        <f t="shared" si="25"/>
        <v>0</v>
      </c>
      <c r="I99" s="91">
        <f t="shared" ref="I99:I100" si="29">H99</f>
        <v>0</v>
      </c>
      <c r="J99" s="91">
        <f t="shared" ref="J99" si="30">I99</f>
        <v>0</v>
      </c>
      <c r="K99" s="91">
        <f t="shared" si="28"/>
        <v>0</v>
      </c>
      <c r="L99" t="s">
        <v>338</v>
      </c>
      <c r="M99" t="str">
        <f t="shared" si="26"/>
        <v>N</v>
      </c>
      <c r="N99" t="s">
        <v>215</v>
      </c>
    </row>
    <row r="100" spans="1:14">
      <c r="A100" t="s">
        <v>340</v>
      </c>
      <c r="B100" s="267" t="s">
        <v>341</v>
      </c>
      <c r="C100" s="267" t="str">
        <f t="shared" si="24"/>
        <v>Res. M-4874</v>
      </c>
      <c r="D100" s="267" t="str">
        <f t="shared" si="20"/>
        <v>Res. M-4874</v>
      </c>
      <c r="E100" s="267" t="str">
        <f t="shared" si="27"/>
        <v>Res. M-4874</v>
      </c>
      <c r="F100" s="267" t="str">
        <f t="shared" si="16"/>
        <v>Res. M-4874</v>
      </c>
      <c r="G100" s="91">
        <v>61836.066753452789</v>
      </c>
      <c r="H100" s="91">
        <f t="shared" si="25"/>
        <v>61836.066753452789</v>
      </c>
      <c r="I100" s="91">
        <f t="shared" si="29"/>
        <v>61836.066753452789</v>
      </c>
      <c r="J100" s="91">
        <v>76117.978020134644</v>
      </c>
      <c r="K100" s="91">
        <f t="shared" si="28"/>
        <v>76117.978020134644</v>
      </c>
      <c r="L100" t="s">
        <v>214</v>
      </c>
      <c r="M100" t="str">
        <f t="shared" si="26"/>
        <v>N</v>
      </c>
      <c r="N100" t="s">
        <v>215</v>
      </c>
    </row>
    <row r="101" spans="1:14">
      <c r="A101" t="s">
        <v>342</v>
      </c>
      <c r="B101" s="267" t="s">
        <v>343</v>
      </c>
      <c r="C101" s="267" t="str">
        <f t="shared" si="24"/>
        <v>Electric Preliminary Statement Part HH</v>
      </c>
      <c r="D101" s="267" t="str">
        <f t="shared" si="20"/>
        <v>Electric Preliminary Statement Part HH</v>
      </c>
      <c r="E101" s="267" t="str">
        <f t="shared" si="27"/>
        <v>Electric Preliminary Statement Part HH</v>
      </c>
      <c r="F101" s="267" t="str">
        <f t="shared" si="16"/>
        <v>Electric Preliminary Statement Part HH</v>
      </c>
      <c r="G101" s="91">
        <v>-33471.164510847331</v>
      </c>
      <c r="H101" s="91">
        <f t="shared" si="25"/>
        <v>-33471.164510847331</v>
      </c>
      <c r="I101" s="91">
        <f t="shared" ref="I101:I104" si="31">H101</f>
        <v>-33471.164510847331</v>
      </c>
      <c r="J101" s="91">
        <v>-11872.004183570167</v>
      </c>
      <c r="K101" s="91">
        <f t="shared" si="28"/>
        <v>-11872.004183570167</v>
      </c>
      <c r="L101" t="s">
        <v>214</v>
      </c>
      <c r="M101" t="str">
        <f t="shared" si="26"/>
        <v>Y</v>
      </c>
      <c r="N101" t="s">
        <v>215</v>
      </c>
    </row>
    <row r="102" spans="1:14">
      <c r="A102" t="s">
        <v>344</v>
      </c>
      <c r="B102" s="267" t="s">
        <v>345</v>
      </c>
      <c r="C102" s="267" t="str">
        <f t="shared" si="24"/>
        <v>D.18-05-040, D.19-11-017, D.19-09-006, D.20-12-029, D.22-08-024</v>
      </c>
      <c r="D102" s="267" t="str">
        <f t="shared" si="20"/>
        <v>D.18-05-040, D.19-11-017, D.19-09-006, D.20-12-029, D.22-08-024</v>
      </c>
      <c r="E102" s="267" t="str">
        <f t="shared" si="27"/>
        <v>D.18-05-040, D.19-11-017, D.19-09-006, D.20-12-029, D.22-08-024</v>
      </c>
      <c r="F102" s="267" t="str">
        <f t="shared" si="16"/>
        <v>D.18-05-040, D.19-11-017, D.19-09-006, D.20-12-029, D.22-08-024</v>
      </c>
      <c r="G102" s="91">
        <v>34990.182999999997</v>
      </c>
      <c r="H102" s="91">
        <f t="shared" si="25"/>
        <v>34990.182999999997</v>
      </c>
      <c r="I102" s="91">
        <f t="shared" si="31"/>
        <v>34990.182999999997</v>
      </c>
      <c r="J102" s="91">
        <v>24996.146000000001</v>
      </c>
      <c r="K102" s="91">
        <f t="shared" si="28"/>
        <v>24996.146000000001</v>
      </c>
      <c r="L102" t="s">
        <v>214</v>
      </c>
      <c r="M102" t="str">
        <f t="shared" si="26"/>
        <v>N</v>
      </c>
      <c r="N102" t="s">
        <v>215</v>
      </c>
    </row>
    <row r="103" spans="1:14">
      <c r="A103" t="s">
        <v>346</v>
      </c>
      <c r="B103" s="267" t="s">
        <v>347</v>
      </c>
      <c r="C103" s="267" t="str">
        <f t="shared" si="24"/>
        <v>Electric Preliminary Statement Part P</v>
      </c>
      <c r="D103" s="267" t="str">
        <f t="shared" si="20"/>
        <v>Electric Preliminary Statement Part P</v>
      </c>
      <c r="E103" s="267" t="str">
        <f t="shared" si="27"/>
        <v>Electric Preliminary Statement Part P</v>
      </c>
      <c r="F103" s="267" t="str">
        <f t="shared" si="16"/>
        <v>Electric Preliminary Statement Part P</v>
      </c>
      <c r="G103" s="91">
        <v>-36.373772596829554</v>
      </c>
      <c r="H103" s="91">
        <f t="shared" si="25"/>
        <v>-36.373772596829554</v>
      </c>
      <c r="I103" s="91">
        <f t="shared" si="31"/>
        <v>-36.373772596829554</v>
      </c>
      <c r="J103" s="91">
        <v>-39.347452679034895</v>
      </c>
      <c r="K103" s="91">
        <f t="shared" si="28"/>
        <v>-39.347452679034895</v>
      </c>
      <c r="L103" t="s">
        <v>338</v>
      </c>
      <c r="M103" t="str">
        <f t="shared" si="26"/>
        <v>Y</v>
      </c>
      <c r="N103" t="s">
        <v>215</v>
      </c>
    </row>
    <row r="104" spans="1:14">
      <c r="A104" s="267" t="s">
        <v>348</v>
      </c>
      <c r="B104" s="267" t="s">
        <v>224</v>
      </c>
      <c r="C104" s="267" t="str">
        <f t="shared" si="24"/>
        <v>n/a</v>
      </c>
      <c r="D104" s="267" t="str">
        <f t="shared" si="20"/>
        <v>n/a</v>
      </c>
      <c r="E104" s="267" t="str">
        <f t="shared" si="27"/>
        <v>n/a</v>
      </c>
      <c r="F104" s="267" t="str">
        <f t="shared" si="16"/>
        <v>n/a</v>
      </c>
      <c r="G104" s="91">
        <v>0</v>
      </c>
      <c r="H104" s="91">
        <f t="shared" si="25"/>
        <v>0</v>
      </c>
      <c r="I104" s="91">
        <f t="shared" si="31"/>
        <v>0</v>
      </c>
      <c r="J104" s="91">
        <f t="shared" ref="J104" si="32">I104</f>
        <v>0</v>
      </c>
      <c r="K104" s="91">
        <f t="shared" si="28"/>
        <v>0</v>
      </c>
      <c r="L104" t="s">
        <v>214</v>
      </c>
      <c r="M104" t="str">
        <f t="shared" si="26"/>
        <v>N</v>
      </c>
      <c r="N104" t="s">
        <v>215</v>
      </c>
    </row>
    <row r="105" spans="1:14">
      <c r="A105" t="s">
        <v>349</v>
      </c>
      <c r="B105" s="267" t="s">
        <v>350</v>
      </c>
      <c r="C105" s="267" t="str">
        <f t="shared" si="24"/>
        <v>D.23-12-005</v>
      </c>
      <c r="D105" s="267" t="str">
        <f t="shared" si="20"/>
        <v>D.23-12-005</v>
      </c>
      <c r="E105" s="267" t="str">
        <f t="shared" si="27"/>
        <v>D.23-12-005</v>
      </c>
      <c r="F105" s="267" t="str">
        <f t="shared" si="16"/>
        <v>D.23-12-005</v>
      </c>
      <c r="G105" s="91">
        <v>199909.92375999998</v>
      </c>
      <c r="H105" s="91">
        <f t="shared" si="25"/>
        <v>199909.92375999998</v>
      </c>
      <c r="I105" s="91">
        <f t="shared" si="23"/>
        <v>199909.92375999998</v>
      </c>
      <c r="J105" s="91">
        <v>111052.18108000001</v>
      </c>
      <c r="K105" s="91">
        <f t="shared" si="28"/>
        <v>111052.18108000001</v>
      </c>
      <c r="L105" t="s">
        <v>214</v>
      </c>
      <c r="M105" t="str">
        <f t="shared" si="26"/>
        <v>N</v>
      </c>
      <c r="N105" t="s">
        <v>215</v>
      </c>
    </row>
    <row r="106" spans="1:14">
      <c r="A106" s="274" t="s">
        <v>351</v>
      </c>
      <c r="B106" s="267" t="s">
        <v>224</v>
      </c>
      <c r="C106" s="267" t="str">
        <f t="shared" si="24"/>
        <v>n/a</v>
      </c>
      <c r="D106" s="267" t="str">
        <f t="shared" si="20"/>
        <v>n/a</v>
      </c>
      <c r="E106" s="267" t="str">
        <f t="shared" si="27"/>
        <v>n/a</v>
      </c>
      <c r="F106" s="267" t="str">
        <f t="shared" si="16"/>
        <v>n/a</v>
      </c>
      <c r="G106" s="91">
        <v>0</v>
      </c>
      <c r="H106" s="91">
        <f t="shared" si="25"/>
        <v>0</v>
      </c>
      <c r="I106" s="91">
        <f t="shared" si="23"/>
        <v>0</v>
      </c>
      <c r="J106" s="91">
        <f t="shared" si="23"/>
        <v>0</v>
      </c>
      <c r="K106" s="91">
        <f t="shared" si="28"/>
        <v>0</v>
      </c>
      <c r="L106" t="s">
        <v>214</v>
      </c>
      <c r="M106" t="str">
        <f t="shared" si="26"/>
        <v>N</v>
      </c>
      <c r="N106" t="s">
        <v>215</v>
      </c>
    </row>
    <row r="107" spans="1:14">
      <c r="A107" s="274" t="s">
        <v>352</v>
      </c>
      <c r="B107" s="267" t="s">
        <v>353</v>
      </c>
      <c r="C107" s="267" t="str">
        <f t="shared" si="24"/>
        <v>Preliminary Statement  DX</v>
      </c>
      <c r="D107" s="267" t="str">
        <f t="shared" si="20"/>
        <v>Preliminary Statement  DX</v>
      </c>
      <c r="E107" s="267" t="str">
        <f t="shared" si="27"/>
        <v>Preliminary Statement  DX</v>
      </c>
      <c r="F107" s="267" t="str">
        <f t="shared" si="16"/>
        <v>Preliminary Statement  DX</v>
      </c>
      <c r="G107" s="91">
        <v>24656.102156482048</v>
      </c>
      <c r="H107" s="91">
        <f t="shared" si="25"/>
        <v>24656.102156482048</v>
      </c>
      <c r="I107" s="91">
        <f t="shared" si="23"/>
        <v>24656.102156482048</v>
      </c>
      <c r="J107" s="91">
        <v>24233.403471791866</v>
      </c>
      <c r="K107" s="91">
        <f t="shared" si="28"/>
        <v>24233.403471791866</v>
      </c>
      <c r="L107" t="s">
        <v>214</v>
      </c>
      <c r="M107" t="str">
        <f t="shared" si="26"/>
        <v>Y</v>
      </c>
      <c r="N107" t="s">
        <v>115</v>
      </c>
    </row>
    <row r="108" spans="1:14">
      <c r="A108" s="274" t="s">
        <v>354</v>
      </c>
      <c r="B108" s="267" t="s">
        <v>355</v>
      </c>
      <c r="C108" s="267" t="str">
        <f t="shared" si="24"/>
        <v>Preliminary Statement  EC</v>
      </c>
      <c r="D108" s="267" t="str">
        <f t="shared" si="20"/>
        <v>Preliminary Statement  EC</v>
      </c>
      <c r="E108" s="267" t="str">
        <f t="shared" si="27"/>
        <v>Preliminary Statement  EC</v>
      </c>
      <c r="F108" s="267" t="str">
        <f t="shared" si="16"/>
        <v>Preliminary Statement  EC</v>
      </c>
      <c r="G108" s="91">
        <v>-315283.21310148668</v>
      </c>
      <c r="H108" s="91">
        <f t="shared" si="25"/>
        <v>-315283.21310148668</v>
      </c>
      <c r="I108" s="91">
        <f t="shared" si="23"/>
        <v>-315283.21310148668</v>
      </c>
      <c r="J108" s="91">
        <v>-46666.382645495745</v>
      </c>
      <c r="K108" s="91">
        <f t="shared" si="28"/>
        <v>-46666.382645495745</v>
      </c>
      <c r="L108" t="s">
        <v>214</v>
      </c>
      <c r="M108" t="str">
        <f t="shared" si="26"/>
        <v>Y</v>
      </c>
      <c r="N108" t="s">
        <v>215</v>
      </c>
    </row>
    <row r="109" spans="1:14">
      <c r="A109" s="274" t="s">
        <v>356</v>
      </c>
      <c r="B109" s="267" t="s">
        <v>357</v>
      </c>
      <c r="C109" s="267" t="str">
        <f t="shared" si="24"/>
        <v>Preliminary Statement  GH</v>
      </c>
      <c r="D109" s="267" t="str">
        <f t="shared" si="20"/>
        <v>Preliminary Statement  GH</v>
      </c>
      <c r="E109" s="267" t="str">
        <f t="shared" si="27"/>
        <v>Preliminary Statement  GH</v>
      </c>
      <c r="F109" s="267" t="str">
        <f t="shared" si="16"/>
        <v>Preliminary Statement  GH</v>
      </c>
      <c r="G109" s="91">
        <v>21076.82873400523</v>
      </c>
      <c r="H109" s="91">
        <f t="shared" si="25"/>
        <v>21076.82873400523</v>
      </c>
      <c r="I109" s="91">
        <f t="shared" si="23"/>
        <v>21076.82873400523</v>
      </c>
      <c r="J109" s="91">
        <v>26855.469855831263</v>
      </c>
      <c r="K109" s="91">
        <f t="shared" si="28"/>
        <v>26855.469855831263</v>
      </c>
      <c r="L109" t="s">
        <v>214</v>
      </c>
      <c r="M109" t="str">
        <f t="shared" si="26"/>
        <v>Y</v>
      </c>
      <c r="N109" t="s">
        <v>115</v>
      </c>
    </row>
    <row r="110" spans="1:14">
      <c r="A110" s="274" t="s">
        <v>358</v>
      </c>
      <c r="B110" s="267" t="s">
        <v>359</v>
      </c>
      <c r="C110" s="267" t="str">
        <f t="shared" si="24"/>
        <v>Preliminary Statement  GJ</v>
      </c>
      <c r="D110" s="267" t="str">
        <f t="shared" si="20"/>
        <v>Preliminary Statement  GJ</v>
      </c>
      <c r="E110" s="267" t="str">
        <f t="shared" si="27"/>
        <v>Preliminary Statement  GJ</v>
      </c>
      <c r="F110" s="267" t="str">
        <f t="shared" si="16"/>
        <v>Preliminary Statement  GJ</v>
      </c>
      <c r="G110" s="91">
        <v>156914.37871788791</v>
      </c>
      <c r="H110" s="91">
        <f t="shared" si="25"/>
        <v>156914.37871788791</v>
      </c>
      <c r="I110" s="91">
        <f t="shared" si="23"/>
        <v>156914.37871788791</v>
      </c>
      <c r="J110" s="91">
        <v>76798.211310234459</v>
      </c>
      <c r="K110" s="91">
        <f t="shared" si="28"/>
        <v>76798.211310234459</v>
      </c>
      <c r="L110" t="s">
        <v>214</v>
      </c>
      <c r="M110" t="str">
        <f t="shared" si="26"/>
        <v>Y</v>
      </c>
      <c r="N110" t="s">
        <v>115</v>
      </c>
    </row>
    <row r="111" spans="1:14">
      <c r="A111" s="274" t="s">
        <v>360</v>
      </c>
      <c r="B111" s="267" t="s">
        <v>361</v>
      </c>
      <c r="C111" s="267" t="str">
        <f t="shared" si="24"/>
        <v>Preliminary Statement  IT</v>
      </c>
      <c r="D111" s="267" t="str">
        <f t="shared" si="20"/>
        <v>Preliminary Statement  IT</v>
      </c>
      <c r="E111" s="267" t="str">
        <f t="shared" si="27"/>
        <v>Preliminary Statement  IT</v>
      </c>
      <c r="F111" s="267" t="str">
        <f t="shared" si="16"/>
        <v>Preliminary Statement  IT</v>
      </c>
      <c r="G111" s="91">
        <v>2934.0348173068191</v>
      </c>
      <c r="H111" s="91">
        <f t="shared" si="25"/>
        <v>2934.0348173068191</v>
      </c>
      <c r="I111" s="91">
        <f t="shared" si="23"/>
        <v>2934.0348173068191</v>
      </c>
      <c r="J111" s="91">
        <v>2264.8625489445139</v>
      </c>
      <c r="K111" s="91">
        <f t="shared" si="28"/>
        <v>2264.8625489445139</v>
      </c>
      <c r="L111" t="s">
        <v>217</v>
      </c>
      <c r="M111" t="str">
        <f t="shared" si="26"/>
        <v>Y</v>
      </c>
      <c r="N111" t="s">
        <v>115</v>
      </c>
    </row>
    <row r="112" spans="1:14">
      <c r="A112" s="274" t="s">
        <v>362</v>
      </c>
      <c r="B112" s="267" t="s">
        <v>224</v>
      </c>
      <c r="C112" s="267" t="s">
        <v>224</v>
      </c>
      <c r="D112" s="267" t="str">
        <f t="shared" si="20"/>
        <v>n/a</v>
      </c>
      <c r="E112" s="267" t="str">
        <f t="shared" si="27"/>
        <v>n/a</v>
      </c>
      <c r="F112" s="267" t="str">
        <f t="shared" si="16"/>
        <v>n/a</v>
      </c>
      <c r="G112" s="91">
        <v>0</v>
      </c>
      <c r="H112" s="91">
        <f t="shared" si="25"/>
        <v>0</v>
      </c>
      <c r="I112" s="91">
        <f t="shared" si="23"/>
        <v>0</v>
      </c>
      <c r="J112" s="91">
        <f t="shared" si="23"/>
        <v>0</v>
      </c>
      <c r="K112" s="91">
        <f t="shared" si="28"/>
        <v>0</v>
      </c>
      <c r="L112" t="s">
        <v>214</v>
      </c>
      <c r="M112" t="str">
        <f t="shared" si="26"/>
        <v>Y</v>
      </c>
      <c r="N112" t="s">
        <v>215</v>
      </c>
    </row>
    <row r="113" spans="1:14">
      <c r="A113" s="274" t="s">
        <v>363</v>
      </c>
      <c r="B113" s="267" t="s">
        <v>364</v>
      </c>
      <c r="C113" s="267" t="str">
        <f t="shared" ref="C113:C138" si="33">B113</f>
        <v>Preliminary Statement  DA</v>
      </c>
      <c r="D113" s="267" t="str">
        <f t="shared" si="20"/>
        <v>Preliminary Statement  DA</v>
      </c>
      <c r="E113" s="267" t="str">
        <f t="shared" si="27"/>
        <v>Preliminary Statement  DA</v>
      </c>
      <c r="F113" s="267" t="str">
        <f t="shared" si="16"/>
        <v>Preliminary Statement  DA</v>
      </c>
      <c r="G113" s="91">
        <v>-81304.271410274727</v>
      </c>
      <c r="H113" s="91">
        <f t="shared" si="25"/>
        <v>-81304.271410274727</v>
      </c>
      <c r="I113" s="91">
        <f t="shared" si="23"/>
        <v>-81304.271410274727</v>
      </c>
      <c r="J113" s="91">
        <v>-57126.461472610754</v>
      </c>
      <c r="K113" s="91">
        <f t="shared" si="28"/>
        <v>-57126.461472610754</v>
      </c>
      <c r="L113" t="s">
        <v>338</v>
      </c>
      <c r="M113" t="str">
        <f t="shared" si="26"/>
        <v>Y</v>
      </c>
      <c r="N113" t="s">
        <v>215</v>
      </c>
    </row>
    <row r="114" spans="1:14">
      <c r="A114" s="274" t="s">
        <v>365</v>
      </c>
      <c r="B114" s="267" t="s">
        <v>366</v>
      </c>
      <c r="C114" s="267" t="str">
        <f t="shared" si="33"/>
        <v>D.21-06-015</v>
      </c>
      <c r="D114" s="267" t="str">
        <f t="shared" si="20"/>
        <v>D.21-06-015</v>
      </c>
      <c r="E114" s="267" t="str">
        <f t="shared" si="27"/>
        <v>D.21-06-015</v>
      </c>
      <c r="F114" s="267" t="str">
        <f t="shared" si="16"/>
        <v>D.21-06-015</v>
      </c>
      <c r="G114" s="91">
        <v>11555.36</v>
      </c>
      <c r="H114" s="91">
        <f t="shared" si="25"/>
        <v>11555.36</v>
      </c>
      <c r="I114" s="91">
        <f t="shared" si="23"/>
        <v>11555.36</v>
      </c>
      <c r="J114" s="91">
        <v>11830.16</v>
      </c>
      <c r="K114" s="91">
        <f t="shared" si="28"/>
        <v>11830.16</v>
      </c>
      <c r="L114" t="s">
        <v>338</v>
      </c>
      <c r="M114" t="str">
        <f t="shared" si="26"/>
        <v>N</v>
      </c>
      <c r="N114" t="s">
        <v>215</v>
      </c>
    </row>
    <row r="115" spans="1:14">
      <c r="A115" s="274" t="s">
        <v>367</v>
      </c>
      <c r="B115" s="267" t="s">
        <v>368</v>
      </c>
      <c r="C115" s="267" t="str">
        <f t="shared" si="33"/>
        <v>Preliminary Statement  M</v>
      </c>
      <c r="D115" s="267" t="str">
        <f t="shared" si="20"/>
        <v>Preliminary Statement  M</v>
      </c>
      <c r="E115" s="267" t="str">
        <f t="shared" si="27"/>
        <v>Preliminary Statement  M</v>
      </c>
      <c r="F115" s="267" t="str">
        <f t="shared" si="16"/>
        <v>Preliminary Statement  M</v>
      </c>
      <c r="G115" s="91">
        <v>-245541.44209077329</v>
      </c>
      <c r="H115" s="91">
        <f t="shared" si="25"/>
        <v>-245541.44209077329</v>
      </c>
      <c r="I115" s="91">
        <f t="shared" si="23"/>
        <v>-245541.44209077329</v>
      </c>
      <c r="J115" s="91">
        <v>-130147.34826875819</v>
      </c>
      <c r="K115" s="91">
        <f t="shared" si="28"/>
        <v>-130147.34826875819</v>
      </c>
      <c r="L115" t="s">
        <v>338</v>
      </c>
      <c r="M115" t="str">
        <f t="shared" si="26"/>
        <v>Y</v>
      </c>
      <c r="N115" t="s">
        <v>215</v>
      </c>
    </row>
    <row r="116" spans="1:14">
      <c r="A116" s="274" t="s">
        <v>369</v>
      </c>
      <c r="B116" s="267" t="s">
        <v>370</v>
      </c>
      <c r="C116" s="267" t="str">
        <f t="shared" si="33"/>
        <v>D.21-11-028</v>
      </c>
      <c r="D116" s="267" t="str">
        <f t="shared" si="20"/>
        <v>D.21-11-028</v>
      </c>
      <c r="E116" s="267" t="str">
        <f t="shared" si="27"/>
        <v>D.21-11-028</v>
      </c>
      <c r="F116" s="267" t="str">
        <f t="shared" si="16"/>
        <v>D.21-11-028</v>
      </c>
      <c r="G116" s="91">
        <v>93845.416200000007</v>
      </c>
      <c r="H116" s="91">
        <f t="shared" si="25"/>
        <v>93845.416200000007</v>
      </c>
      <c r="I116" s="91">
        <f t="shared" si="23"/>
        <v>93845.416200000007</v>
      </c>
      <c r="J116" s="91">
        <v>75156.70939199999</v>
      </c>
      <c r="K116" s="91">
        <f t="shared" si="28"/>
        <v>75156.70939199999</v>
      </c>
      <c r="L116" t="s">
        <v>338</v>
      </c>
      <c r="M116" t="str">
        <f t="shared" si="26"/>
        <v>N</v>
      </c>
      <c r="N116" t="s">
        <v>215</v>
      </c>
    </row>
    <row r="117" spans="1:14">
      <c r="A117" s="274" t="s">
        <v>371</v>
      </c>
      <c r="B117" s="267" t="s">
        <v>372</v>
      </c>
      <c r="C117" s="267" t="str">
        <f t="shared" si="33"/>
        <v>Preliminary Statement FU</v>
      </c>
      <c r="D117" s="267" t="str">
        <f t="shared" si="20"/>
        <v>Preliminary Statement FU</v>
      </c>
      <c r="E117" s="267" t="str">
        <f t="shared" si="27"/>
        <v>Preliminary Statement FU</v>
      </c>
      <c r="F117" s="267" t="str">
        <f t="shared" si="16"/>
        <v>Preliminary Statement FU</v>
      </c>
      <c r="G117" s="91">
        <v>3938.1121905905447</v>
      </c>
      <c r="H117" s="91">
        <f t="shared" si="25"/>
        <v>3938.1121905905447</v>
      </c>
      <c r="I117" s="91">
        <f t="shared" si="23"/>
        <v>3938.1121905905447</v>
      </c>
      <c r="J117" s="91">
        <v>2092.081990840104</v>
      </c>
      <c r="K117" s="91">
        <f t="shared" si="28"/>
        <v>2092.081990840104</v>
      </c>
      <c r="L117" t="s">
        <v>338</v>
      </c>
      <c r="M117" t="str">
        <f t="shared" si="26"/>
        <v>Y</v>
      </c>
      <c r="N117" t="s">
        <v>115</v>
      </c>
    </row>
    <row r="118" spans="1:14">
      <c r="A118" t="s">
        <v>373</v>
      </c>
      <c r="B118" s="267" t="s">
        <v>366</v>
      </c>
      <c r="C118" s="267" t="str">
        <f t="shared" si="33"/>
        <v>D.21-06-015</v>
      </c>
      <c r="D118" s="267" t="str">
        <f t="shared" si="20"/>
        <v>D.21-06-015</v>
      </c>
      <c r="E118" s="267" t="str">
        <f t="shared" si="27"/>
        <v>D.21-06-015</v>
      </c>
      <c r="F118" s="267" t="str">
        <f t="shared" si="16"/>
        <v>D.21-06-015</v>
      </c>
      <c r="G118" s="91">
        <v>90694.046000000002</v>
      </c>
      <c r="H118" s="91">
        <f t="shared" si="25"/>
        <v>90694.046000000002</v>
      </c>
      <c r="I118" s="91">
        <f t="shared" si="23"/>
        <v>90694.046000000002</v>
      </c>
      <c r="J118" s="91">
        <v>90585.031000000003</v>
      </c>
      <c r="K118" s="91">
        <f t="shared" si="28"/>
        <v>90585.031000000003</v>
      </c>
      <c r="L118" t="s">
        <v>338</v>
      </c>
      <c r="M118" t="str">
        <f t="shared" si="26"/>
        <v>N</v>
      </c>
      <c r="N118" t="s">
        <v>215</v>
      </c>
    </row>
    <row r="119" spans="1:14">
      <c r="A119" t="s">
        <v>374</v>
      </c>
      <c r="B119" s="267" t="s">
        <v>366</v>
      </c>
      <c r="C119" s="267" t="str">
        <f t="shared" si="33"/>
        <v>D.21-06-015</v>
      </c>
      <c r="D119" s="267" t="str">
        <f t="shared" si="20"/>
        <v>D.21-06-015</v>
      </c>
      <c r="E119" s="267" t="str">
        <f t="shared" si="27"/>
        <v>D.21-06-015</v>
      </c>
      <c r="F119" s="267" t="str">
        <f t="shared" si="16"/>
        <v>D.21-06-015</v>
      </c>
      <c r="G119" s="91">
        <v>-8000</v>
      </c>
      <c r="H119" s="91">
        <f t="shared" si="25"/>
        <v>-8000</v>
      </c>
      <c r="I119" s="91">
        <f t="shared" si="23"/>
        <v>-8000</v>
      </c>
      <c r="J119" s="91">
        <v>-4800</v>
      </c>
      <c r="K119" s="91">
        <f t="shared" si="28"/>
        <v>-4800</v>
      </c>
      <c r="L119" t="s">
        <v>338</v>
      </c>
      <c r="M119" t="str">
        <f t="shared" si="26"/>
        <v>N</v>
      </c>
      <c r="N119" t="s">
        <v>215</v>
      </c>
    </row>
    <row r="120" spans="1:14">
      <c r="A120" t="s">
        <v>375</v>
      </c>
      <c r="B120" s="267" t="s">
        <v>376</v>
      </c>
      <c r="C120" s="267" t="str">
        <f t="shared" si="33"/>
        <v>D.23-06-055/ AL 7047-E</v>
      </c>
      <c r="D120" s="267" t="str">
        <f t="shared" si="20"/>
        <v>D.23-06-055/ AL 7047-E</v>
      </c>
      <c r="E120" s="267" t="str">
        <f t="shared" si="27"/>
        <v>D.23-06-055/ AL 7047-E</v>
      </c>
      <c r="F120" s="267" t="str">
        <f t="shared" si="16"/>
        <v>D.23-06-055/ AL 7047-E</v>
      </c>
      <c r="G120" s="91">
        <v>120736.87385986045</v>
      </c>
      <c r="H120" s="91">
        <f t="shared" si="25"/>
        <v>120736.87385986045</v>
      </c>
      <c r="I120" s="91">
        <f t="shared" si="23"/>
        <v>120736.87385986045</v>
      </c>
      <c r="J120" s="91">
        <v>120736.87385986045</v>
      </c>
      <c r="K120" s="91">
        <f t="shared" si="28"/>
        <v>120736.87385986045</v>
      </c>
      <c r="L120" t="s">
        <v>338</v>
      </c>
      <c r="M120" t="str">
        <f t="shared" si="26"/>
        <v>N</v>
      </c>
      <c r="N120" t="s">
        <v>215</v>
      </c>
    </row>
    <row r="121" spans="1:14">
      <c r="A121" t="s">
        <v>377</v>
      </c>
      <c r="B121" s="267" t="s">
        <v>376</v>
      </c>
      <c r="C121" s="267" t="str">
        <f t="shared" si="33"/>
        <v>D.23-06-055/ AL 7047-E</v>
      </c>
      <c r="D121" s="267" t="str">
        <f t="shared" si="20"/>
        <v>D.23-06-055/ AL 7047-E</v>
      </c>
      <c r="E121" s="267" t="str">
        <f t="shared" si="27"/>
        <v>D.23-06-055/ AL 7047-E</v>
      </c>
      <c r="F121" s="267" t="str">
        <f t="shared" si="16"/>
        <v>D.23-06-055/ AL 7047-E</v>
      </c>
      <c r="G121" s="91">
        <v>80748.492843931701</v>
      </c>
      <c r="H121" s="91">
        <f t="shared" si="25"/>
        <v>80748.492843931701</v>
      </c>
      <c r="I121" s="91">
        <f t="shared" si="23"/>
        <v>80748.492843931701</v>
      </c>
      <c r="J121" s="91">
        <v>73514.257494181598</v>
      </c>
      <c r="K121" s="91">
        <f t="shared" si="28"/>
        <v>73514.257494181598</v>
      </c>
      <c r="L121" t="s">
        <v>338</v>
      </c>
      <c r="M121" t="str">
        <f t="shared" si="26"/>
        <v>N</v>
      </c>
      <c r="N121" t="s">
        <v>215</v>
      </c>
    </row>
    <row r="122" spans="1:14">
      <c r="A122" t="s">
        <v>378</v>
      </c>
      <c r="B122" s="267" t="s">
        <v>379</v>
      </c>
      <c r="C122" s="267" t="str">
        <f t="shared" si="33"/>
        <v>Preliminary Statement  EF</v>
      </c>
      <c r="D122" s="267" t="str">
        <f t="shared" si="20"/>
        <v>Preliminary Statement  EF</v>
      </c>
      <c r="E122" s="267" t="str">
        <f t="shared" si="27"/>
        <v>Preliminary Statement  EF</v>
      </c>
      <c r="F122" s="267" t="str">
        <f t="shared" si="16"/>
        <v>Preliminary Statement  EF</v>
      </c>
      <c r="G122" s="91">
        <v>-9535.0830968026366</v>
      </c>
      <c r="H122" s="91">
        <f t="shared" si="25"/>
        <v>-9535.0830968026366</v>
      </c>
      <c r="I122" s="91">
        <f t="shared" si="23"/>
        <v>-9535.0830968026366</v>
      </c>
      <c r="J122" s="91">
        <v>6898.7013575816954</v>
      </c>
      <c r="K122" s="91">
        <f t="shared" si="28"/>
        <v>6898.7013575816954</v>
      </c>
      <c r="L122" t="s">
        <v>338</v>
      </c>
      <c r="M122" t="str">
        <f t="shared" si="26"/>
        <v>Y</v>
      </c>
      <c r="N122" t="s">
        <v>215</v>
      </c>
    </row>
    <row r="123" spans="1:14">
      <c r="A123" s="267" t="s">
        <v>380</v>
      </c>
      <c r="B123" s="267" t="s">
        <v>381</v>
      </c>
      <c r="C123" s="267" t="str">
        <f t="shared" si="33"/>
        <v>D.19-12-021 / Advice RI-CalMTA-3</v>
      </c>
      <c r="D123" s="267" t="str">
        <f t="shared" si="20"/>
        <v>D.19-12-021 / Advice RI-CalMTA-3</v>
      </c>
      <c r="E123" s="267" t="str">
        <f t="shared" si="27"/>
        <v>D.19-12-021 / Advice RI-CalMTA-3</v>
      </c>
      <c r="F123" s="267" t="str">
        <f t="shared" si="16"/>
        <v>D.19-12-021 / Advice RI-CalMTA-3</v>
      </c>
      <c r="G123" s="91">
        <v>7223.7226880000017</v>
      </c>
      <c r="H123" s="91">
        <f t="shared" si="25"/>
        <v>7223.7226880000017</v>
      </c>
      <c r="I123" s="91">
        <f t="shared" si="23"/>
        <v>7223.7226880000017</v>
      </c>
      <c r="J123" s="91">
        <v>9611.7630000000008</v>
      </c>
      <c r="K123" s="91">
        <f t="shared" si="28"/>
        <v>9611.7630000000008</v>
      </c>
      <c r="L123" t="s">
        <v>338</v>
      </c>
      <c r="M123" t="str">
        <f t="shared" si="26"/>
        <v>N</v>
      </c>
      <c r="N123" t="s">
        <v>215</v>
      </c>
    </row>
    <row r="124" spans="1:14">
      <c r="A124" s="267" t="s">
        <v>382</v>
      </c>
      <c r="B124" s="267" t="s">
        <v>224</v>
      </c>
      <c r="C124" s="267" t="str">
        <f t="shared" si="33"/>
        <v>n/a</v>
      </c>
      <c r="D124" s="267" t="str">
        <f t="shared" si="20"/>
        <v>n/a</v>
      </c>
      <c r="E124" s="267" t="str">
        <f t="shared" si="27"/>
        <v>n/a</v>
      </c>
      <c r="F124" s="267" t="str">
        <f t="shared" si="16"/>
        <v>n/a</v>
      </c>
      <c r="G124" s="91">
        <v>0</v>
      </c>
      <c r="H124" s="91">
        <f t="shared" si="25"/>
        <v>0</v>
      </c>
      <c r="I124" s="91">
        <f t="shared" si="23"/>
        <v>0</v>
      </c>
      <c r="J124" s="91">
        <f t="shared" si="23"/>
        <v>0</v>
      </c>
      <c r="K124" s="91">
        <f t="shared" si="28"/>
        <v>0</v>
      </c>
      <c r="L124" t="s">
        <v>214</v>
      </c>
      <c r="M124" t="str">
        <f t="shared" si="26"/>
        <v>N</v>
      </c>
      <c r="N124" t="s">
        <v>215</v>
      </c>
    </row>
    <row r="125" spans="1:14">
      <c r="A125" t="s">
        <v>383</v>
      </c>
      <c r="B125" s="267" t="s">
        <v>224</v>
      </c>
      <c r="C125" s="267" t="str">
        <f t="shared" si="33"/>
        <v>n/a</v>
      </c>
      <c r="D125" s="267" t="str">
        <f t="shared" si="20"/>
        <v>n/a</v>
      </c>
      <c r="E125" s="267" t="str">
        <f t="shared" si="27"/>
        <v>n/a</v>
      </c>
      <c r="F125" s="267" t="str">
        <f t="shared" si="16"/>
        <v>n/a</v>
      </c>
      <c r="G125" s="91">
        <v>0</v>
      </c>
      <c r="H125" s="91">
        <f t="shared" si="25"/>
        <v>0</v>
      </c>
      <c r="I125" s="91">
        <f t="shared" ref="I125:I126" si="34">H125</f>
        <v>0</v>
      </c>
      <c r="J125" s="91">
        <f t="shared" ref="J125:J126" si="35">I125</f>
        <v>0</v>
      </c>
      <c r="K125" s="91">
        <f t="shared" si="28"/>
        <v>0</v>
      </c>
      <c r="L125" t="s">
        <v>214</v>
      </c>
      <c r="M125" t="str">
        <f t="shared" si="26"/>
        <v>N</v>
      </c>
      <c r="N125" t="s">
        <v>215</v>
      </c>
    </row>
    <row r="126" spans="1:14">
      <c r="A126" t="s">
        <v>384</v>
      </c>
      <c r="B126" s="267" t="s">
        <v>224</v>
      </c>
      <c r="C126" s="267" t="str">
        <f t="shared" si="33"/>
        <v>n/a</v>
      </c>
      <c r="D126" s="267" t="str">
        <f t="shared" si="20"/>
        <v>n/a</v>
      </c>
      <c r="E126" s="267" t="str">
        <f t="shared" si="27"/>
        <v>n/a</v>
      </c>
      <c r="F126" s="267" t="str">
        <f t="shared" si="16"/>
        <v>n/a</v>
      </c>
      <c r="G126" s="91">
        <v>0</v>
      </c>
      <c r="H126" s="91">
        <f t="shared" si="25"/>
        <v>0</v>
      </c>
      <c r="I126" s="91">
        <f t="shared" si="34"/>
        <v>0</v>
      </c>
      <c r="J126" s="91">
        <f t="shared" si="35"/>
        <v>0</v>
      </c>
      <c r="K126" s="91">
        <f t="shared" si="28"/>
        <v>0</v>
      </c>
      <c r="L126" t="s">
        <v>338</v>
      </c>
      <c r="M126" t="str">
        <f t="shared" si="26"/>
        <v>N</v>
      </c>
      <c r="N126" t="s">
        <v>215</v>
      </c>
    </row>
    <row r="127" spans="1:14">
      <c r="A127" s="267" t="s">
        <v>385</v>
      </c>
      <c r="B127" s="267" t="s">
        <v>244</v>
      </c>
      <c r="C127" s="267" t="str">
        <f t="shared" si="33"/>
        <v>D.24-12-038</v>
      </c>
      <c r="D127" s="267" t="str">
        <f t="shared" si="20"/>
        <v>D.24-12-038</v>
      </c>
      <c r="E127" s="267" t="str">
        <f t="shared" si="27"/>
        <v>D.24-12-038</v>
      </c>
      <c r="F127" s="267" t="str">
        <f t="shared" si="16"/>
        <v>D.24-12-038</v>
      </c>
      <c r="G127" s="91">
        <v>35334.052496252858</v>
      </c>
      <c r="H127" s="91">
        <f t="shared" si="25"/>
        <v>35334.052496252858</v>
      </c>
      <c r="I127" s="91">
        <f t="shared" si="23"/>
        <v>35334.052496252858</v>
      </c>
      <c r="J127" s="91">
        <v>34390.797931619658</v>
      </c>
      <c r="K127" s="91">
        <f t="shared" si="28"/>
        <v>34390.797931619658</v>
      </c>
      <c r="L127" t="s">
        <v>338</v>
      </c>
      <c r="M127" t="str">
        <f t="shared" si="26"/>
        <v>N</v>
      </c>
      <c r="N127" t="s">
        <v>215</v>
      </c>
    </row>
    <row r="128" spans="1:14">
      <c r="A128" s="267" t="s">
        <v>386</v>
      </c>
      <c r="B128" s="267" t="s">
        <v>244</v>
      </c>
      <c r="C128" s="267" t="str">
        <f t="shared" si="33"/>
        <v>D.24-12-038</v>
      </c>
      <c r="D128" s="267" t="str">
        <f t="shared" si="20"/>
        <v>D.24-12-038</v>
      </c>
      <c r="E128" s="267" t="str">
        <f t="shared" si="27"/>
        <v>D.24-12-038</v>
      </c>
      <c r="F128" s="267" t="str">
        <f t="shared" si="16"/>
        <v>D.24-12-038</v>
      </c>
      <c r="G128" s="91">
        <v>11673.648148556433</v>
      </c>
      <c r="H128" s="91">
        <f t="shared" si="25"/>
        <v>11673.648148556433</v>
      </c>
      <c r="I128" s="91">
        <f t="shared" si="23"/>
        <v>11673.648148556433</v>
      </c>
      <c r="J128" s="91">
        <v>8140.3204639321075</v>
      </c>
      <c r="K128" s="91">
        <f t="shared" si="28"/>
        <v>8140.3204639321075</v>
      </c>
      <c r="L128" t="s">
        <v>338</v>
      </c>
      <c r="M128" t="str">
        <f t="shared" si="26"/>
        <v>Y</v>
      </c>
      <c r="N128" t="s">
        <v>115</v>
      </c>
    </row>
    <row r="129" spans="1:16">
      <c r="A129" s="267" t="s">
        <v>387</v>
      </c>
      <c r="B129" s="267" t="s">
        <v>388</v>
      </c>
      <c r="C129" s="267" t="str">
        <f t="shared" si="33"/>
        <v>Electric Preliminary Statement Part EO</v>
      </c>
      <c r="D129" s="267" t="str">
        <f t="shared" si="20"/>
        <v>Electric Preliminary Statement Part EO</v>
      </c>
      <c r="E129" s="267" t="str">
        <f t="shared" si="27"/>
        <v>Electric Preliminary Statement Part EO</v>
      </c>
      <c r="F129" s="267" t="str">
        <f t="shared" si="16"/>
        <v>Electric Preliminary Statement Part EO</v>
      </c>
      <c r="G129" s="91">
        <v>-9.3181304332000003</v>
      </c>
      <c r="H129" s="91">
        <f t="shared" si="25"/>
        <v>-9.3181304332000003</v>
      </c>
      <c r="I129" s="91">
        <f t="shared" si="23"/>
        <v>-9.3181304332000003</v>
      </c>
      <c r="J129" s="91">
        <v>0</v>
      </c>
      <c r="K129" s="91">
        <f t="shared" si="28"/>
        <v>0</v>
      </c>
      <c r="L129" t="s">
        <v>338</v>
      </c>
      <c r="M129" t="str">
        <f t="shared" ref="M129:M146" si="36">IF(RIGHT(A129,1)="*","Y","N")</f>
        <v>Y</v>
      </c>
      <c r="N129" t="s">
        <v>215</v>
      </c>
    </row>
    <row r="130" spans="1:16">
      <c r="A130" s="274" t="s">
        <v>389</v>
      </c>
      <c r="B130" s="267" t="s">
        <v>390</v>
      </c>
      <c r="C130" s="267" t="str">
        <f t="shared" si="33"/>
        <v>Electric Preliminary Statement Part JM</v>
      </c>
      <c r="D130" s="267" t="str">
        <f t="shared" si="20"/>
        <v>Electric Preliminary Statement Part JM</v>
      </c>
      <c r="E130" s="267" t="str">
        <f t="shared" si="27"/>
        <v>Electric Preliminary Statement Part JM</v>
      </c>
      <c r="F130" s="267" t="str">
        <f t="shared" si="16"/>
        <v>Electric Preliminary Statement Part JM</v>
      </c>
      <c r="G130" s="91">
        <v>3954.6354430379315</v>
      </c>
      <c r="H130" s="91">
        <f t="shared" si="25"/>
        <v>3954.6354430379315</v>
      </c>
      <c r="I130" s="91">
        <f t="shared" si="23"/>
        <v>3954.6354430379315</v>
      </c>
      <c r="J130" s="91">
        <v>5038.3572143643687</v>
      </c>
      <c r="K130" s="91">
        <f t="shared" si="28"/>
        <v>5038.3572143643687</v>
      </c>
      <c r="L130" t="s">
        <v>338</v>
      </c>
      <c r="M130" t="str">
        <f t="shared" si="36"/>
        <v>Y</v>
      </c>
      <c r="N130" t="s">
        <v>115</v>
      </c>
    </row>
    <row r="131" spans="1:16">
      <c r="A131" s="274" t="s">
        <v>391</v>
      </c>
      <c r="B131" s="267" t="s">
        <v>299</v>
      </c>
      <c r="C131" s="267" t="str">
        <f t="shared" si="33"/>
        <v>Electric Preliminary Statement Part IM</v>
      </c>
      <c r="D131" s="267" t="str">
        <f t="shared" si="20"/>
        <v>Electric Preliminary Statement Part IM</v>
      </c>
      <c r="E131" s="267" t="str">
        <f t="shared" si="27"/>
        <v>Electric Preliminary Statement Part IM</v>
      </c>
      <c r="F131" s="267" t="str">
        <f t="shared" si="16"/>
        <v>Electric Preliminary Statement Part IM</v>
      </c>
      <c r="G131" s="91">
        <v>182850.99519907762</v>
      </c>
      <c r="H131" s="91">
        <f t="shared" si="25"/>
        <v>182850.99519907762</v>
      </c>
      <c r="I131" s="91">
        <f t="shared" si="23"/>
        <v>182850.99519907762</v>
      </c>
      <c r="J131" s="91">
        <v>186141.29456637547</v>
      </c>
      <c r="K131" s="91">
        <f t="shared" si="28"/>
        <v>186141.29456637547</v>
      </c>
      <c r="L131" t="s">
        <v>338</v>
      </c>
      <c r="M131" t="str">
        <f t="shared" si="36"/>
        <v>Y</v>
      </c>
      <c r="N131" t="s">
        <v>115</v>
      </c>
    </row>
    <row r="132" spans="1:16">
      <c r="A132" s="274" t="s">
        <v>392</v>
      </c>
      <c r="B132" s="267" t="s">
        <v>244</v>
      </c>
      <c r="C132" s="267" t="str">
        <f t="shared" si="33"/>
        <v>D.24-12-038</v>
      </c>
      <c r="D132" s="267" t="str">
        <f t="shared" si="20"/>
        <v>D.24-12-038</v>
      </c>
      <c r="E132" s="267" t="str">
        <f t="shared" si="27"/>
        <v>D.24-12-038</v>
      </c>
      <c r="F132" s="267" t="str">
        <f t="shared" si="16"/>
        <v>D.24-12-038</v>
      </c>
      <c r="G132" s="91">
        <v>3567.3432714293558</v>
      </c>
      <c r="H132" s="91">
        <f t="shared" si="25"/>
        <v>3567.3432714293558</v>
      </c>
      <c r="I132" s="91">
        <f t="shared" si="23"/>
        <v>3567.3432714293558</v>
      </c>
      <c r="J132" s="91">
        <v>10171.05098444241</v>
      </c>
      <c r="K132" s="91">
        <f t="shared" si="28"/>
        <v>10171.05098444241</v>
      </c>
      <c r="L132" t="s">
        <v>338</v>
      </c>
      <c r="M132" t="str">
        <f t="shared" si="36"/>
        <v>N</v>
      </c>
      <c r="N132" t="s">
        <v>215</v>
      </c>
    </row>
    <row r="133" spans="1:16">
      <c r="A133" s="274" t="s">
        <v>393</v>
      </c>
      <c r="B133" s="267" t="s">
        <v>394</v>
      </c>
      <c r="C133" s="267" t="str">
        <f t="shared" si="33"/>
        <v>Electric Preliminary Statement Part IJ</v>
      </c>
      <c r="D133" s="267" t="str">
        <f t="shared" si="20"/>
        <v>Electric Preliminary Statement Part IJ</v>
      </c>
      <c r="E133" s="267" t="str">
        <f t="shared" si="27"/>
        <v>Electric Preliminary Statement Part IJ</v>
      </c>
      <c r="F133" s="267" t="str">
        <f t="shared" si="27"/>
        <v>Electric Preliminary Statement Part IJ</v>
      </c>
      <c r="G133" s="91">
        <v>-7539.0974332761898</v>
      </c>
      <c r="H133" s="91">
        <f t="shared" si="25"/>
        <v>-7539.0974332761898</v>
      </c>
      <c r="I133" s="91">
        <f t="shared" si="23"/>
        <v>-7539.0974332761898</v>
      </c>
      <c r="J133" s="91">
        <v>3311.6008551349269</v>
      </c>
      <c r="K133" s="91">
        <f t="shared" si="28"/>
        <v>3311.6008551349269</v>
      </c>
      <c r="L133" t="s">
        <v>338</v>
      </c>
      <c r="M133" t="str">
        <f t="shared" si="36"/>
        <v>Y</v>
      </c>
      <c r="N133" t="s">
        <v>215</v>
      </c>
    </row>
    <row r="134" spans="1:16">
      <c r="A134" s="274" t="s">
        <v>395</v>
      </c>
      <c r="B134" s="267" t="s">
        <v>244</v>
      </c>
      <c r="C134" s="267" t="str">
        <f t="shared" si="33"/>
        <v>D.24-12-038</v>
      </c>
      <c r="D134" s="267" t="str">
        <f t="shared" si="20"/>
        <v>D.24-12-038</v>
      </c>
      <c r="E134" s="267" t="str">
        <f t="shared" si="27"/>
        <v>D.24-12-038</v>
      </c>
      <c r="F134" s="267" t="str">
        <f t="shared" si="27"/>
        <v>D.24-12-038</v>
      </c>
      <c r="G134" s="91">
        <v>-1476.3266710935602</v>
      </c>
      <c r="H134" s="91">
        <f t="shared" si="25"/>
        <v>-1476.3266710935602</v>
      </c>
      <c r="I134" s="91">
        <f t="shared" si="23"/>
        <v>-1476.3266710935602</v>
      </c>
      <c r="J134" s="91">
        <v>-1086.864128346406</v>
      </c>
      <c r="K134" s="91">
        <f t="shared" si="28"/>
        <v>-1086.864128346406</v>
      </c>
      <c r="L134" t="s">
        <v>338</v>
      </c>
      <c r="M134" t="str">
        <f t="shared" si="36"/>
        <v>N</v>
      </c>
      <c r="N134" t="s">
        <v>215</v>
      </c>
    </row>
    <row r="135" spans="1:16">
      <c r="A135" s="274" t="s">
        <v>396</v>
      </c>
      <c r="B135" s="267" t="s">
        <v>397</v>
      </c>
      <c r="C135" s="267" t="str">
        <f t="shared" si="33"/>
        <v>Electric Preliminary Statement Part HM</v>
      </c>
      <c r="D135" s="267" t="str">
        <f t="shared" si="20"/>
        <v>Electric Preliminary Statement Part HM</v>
      </c>
      <c r="E135" s="267" t="str">
        <f t="shared" si="27"/>
        <v>Electric Preliminary Statement Part HM</v>
      </c>
      <c r="F135" s="267" t="str">
        <f t="shared" si="27"/>
        <v>Electric Preliminary Statement Part HM</v>
      </c>
      <c r="G135" s="91">
        <v>-552.31704325409123</v>
      </c>
      <c r="H135" s="91">
        <f t="shared" si="25"/>
        <v>-552.31704325409123</v>
      </c>
      <c r="I135" s="91">
        <f t="shared" si="23"/>
        <v>-552.31704325409123</v>
      </c>
      <c r="J135" s="91">
        <v>-7196.9375107461128</v>
      </c>
      <c r="K135" s="91">
        <f t="shared" si="28"/>
        <v>-7196.9375107461128</v>
      </c>
      <c r="L135" t="s">
        <v>338</v>
      </c>
      <c r="M135" t="str">
        <f t="shared" si="36"/>
        <v>Y</v>
      </c>
      <c r="N135" t="s">
        <v>215</v>
      </c>
    </row>
    <row r="136" spans="1:16">
      <c r="A136" s="274" t="s">
        <v>398</v>
      </c>
      <c r="B136" s="267" t="s">
        <v>244</v>
      </c>
      <c r="C136" s="267" t="str">
        <f t="shared" si="33"/>
        <v>D.24-12-038</v>
      </c>
      <c r="D136" s="267" t="str">
        <f t="shared" si="20"/>
        <v>D.24-12-038</v>
      </c>
      <c r="E136" s="267" t="str">
        <f t="shared" si="27"/>
        <v>D.24-12-038</v>
      </c>
      <c r="F136" s="267" t="str">
        <f t="shared" si="27"/>
        <v>D.24-12-038</v>
      </c>
      <c r="G136" s="91">
        <v>16260.33661</v>
      </c>
      <c r="H136" s="91">
        <f t="shared" si="25"/>
        <v>16260.33661</v>
      </c>
      <c r="I136" s="91">
        <f t="shared" si="23"/>
        <v>16260.33661</v>
      </c>
      <c r="J136" s="91">
        <v>16263.798784086401</v>
      </c>
      <c r="K136" s="91">
        <f t="shared" si="28"/>
        <v>16263.798784086401</v>
      </c>
      <c r="L136" t="s">
        <v>338</v>
      </c>
      <c r="M136" t="str">
        <f t="shared" si="36"/>
        <v>N</v>
      </c>
      <c r="N136" t="s">
        <v>215</v>
      </c>
    </row>
    <row r="137" spans="1:16">
      <c r="A137" s="274" t="s">
        <v>399</v>
      </c>
      <c r="B137" s="267" t="s">
        <v>400</v>
      </c>
      <c r="C137" s="267" t="str">
        <f t="shared" si="33"/>
        <v>Preliminary Statement  JH</v>
      </c>
      <c r="D137" s="267" t="str">
        <f t="shared" si="20"/>
        <v>Preliminary Statement  JH</v>
      </c>
      <c r="E137" s="267" t="str">
        <f t="shared" si="27"/>
        <v>Preliminary Statement  JH</v>
      </c>
      <c r="F137" s="267" t="str">
        <f t="shared" si="27"/>
        <v>Preliminary Statement  JH</v>
      </c>
      <c r="G137" s="91">
        <v>1665.9631875911125</v>
      </c>
      <c r="H137" s="91">
        <f t="shared" si="25"/>
        <v>1665.9631875911125</v>
      </c>
      <c r="I137" s="91">
        <f t="shared" si="23"/>
        <v>1665.9631875911125</v>
      </c>
      <c r="J137" s="91">
        <v>1329.0385142906982</v>
      </c>
      <c r="K137" s="91">
        <v>0</v>
      </c>
      <c r="L137" t="s">
        <v>338</v>
      </c>
      <c r="M137" t="str">
        <f t="shared" si="36"/>
        <v>Y</v>
      </c>
      <c r="N137" t="s">
        <v>115</v>
      </c>
    </row>
    <row r="138" spans="1:16">
      <c r="A138" s="267" t="s">
        <v>401</v>
      </c>
      <c r="B138" s="267" t="s">
        <v>224</v>
      </c>
      <c r="C138" s="267" t="str">
        <f t="shared" si="33"/>
        <v>n/a</v>
      </c>
      <c r="D138" s="267" t="str">
        <f t="shared" si="20"/>
        <v>n/a</v>
      </c>
      <c r="E138" s="267" t="str">
        <f t="shared" si="27"/>
        <v>n/a</v>
      </c>
      <c r="F138" s="267" t="str">
        <f t="shared" si="27"/>
        <v>n/a</v>
      </c>
      <c r="G138" s="91">
        <v>0</v>
      </c>
      <c r="H138" s="91">
        <f t="shared" si="25"/>
        <v>0</v>
      </c>
      <c r="I138" s="91">
        <f t="shared" si="23"/>
        <v>0</v>
      </c>
      <c r="J138" s="91">
        <f t="shared" si="23"/>
        <v>0</v>
      </c>
      <c r="K138" s="91">
        <f t="shared" si="28"/>
        <v>0</v>
      </c>
      <c r="L138" t="s">
        <v>402</v>
      </c>
      <c r="M138" t="str">
        <f t="shared" si="36"/>
        <v>N</v>
      </c>
      <c r="N138" t="s">
        <v>215</v>
      </c>
    </row>
    <row r="139" spans="1:16">
      <c r="A139" s="267" t="s">
        <v>403</v>
      </c>
      <c r="B139" s="267" t="s">
        <v>224</v>
      </c>
      <c r="C139" s="267" t="s">
        <v>224</v>
      </c>
      <c r="D139" s="267" t="str">
        <f t="shared" si="20"/>
        <v>n/a</v>
      </c>
      <c r="E139" s="267" t="str">
        <f t="shared" si="27"/>
        <v>n/a</v>
      </c>
      <c r="F139" s="267" t="str">
        <f t="shared" si="27"/>
        <v>n/a</v>
      </c>
      <c r="G139" s="91">
        <v>0</v>
      </c>
      <c r="H139" s="91">
        <f t="shared" si="25"/>
        <v>0</v>
      </c>
      <c r="I139" s="91">
        <f t="shared" ref="I139" si="37">H139</f>
        <v>0</v>
      </c>
      <c r="J139" s="91">
        <f t="shared" ref="J139" si="38">I139</f>
        <v>0</v>
      </c>
      <c r="K139" s="91">
        <f t="shared" si="28"/>
        <v>0</v>
      </c>
      <c r="L139" t="s">
        <v>338</v>
      </c>
      <c r="M139" t="str">
        <f t="shared" si="36"/>
        <v>N</v>
      </c>
      <c r="N139" t="s">
        <v>215</v>
      </c>
    </row>
    <row r="140" spans="1:16">
      <c r="A140" t="s">
        <v>404</v>
      </c>
      <c r="B140" t="s">
        <v>405</v>
      </c>
      <c r="C140" t="str">
        <f>B140</f>
        <v>D.24-12- 033</v>
      </c>
      <c r="D140" s="267" t="str">
        <f t="shared" si="20"/>
        <v>D.24-12- 033</v>
      </c>
      <c r="E140" s="267" t="str">
        <f t="shared" si="27"/>
        <v>D.24-12- 033</v>
      </c>
      <c r="F140" s="267" t="str">
        <f t="shared" si="27"/>
        <v>D.24-12- 033</v>
      </c>
      <c r="G140" s="91">
        <v>365364.52039999055</v>
      </c>
      <c r="H140" s="91">
        <f t="shared" si="25"/>
        <v>365364.52039999055</v>
      </c>
      <c r="I140" s="91">
        <f t="shared" si="23"/>
        <v>365364.52039999055</v>
      </c>
      <c r="J140" s="91">
        <v>239073.677</v>
      </c>
      <c r="K140" s="91">
        <f t="shared" si="28"/>
        <v>239073.677</v>
      </c>
      <c r="L140" t="s">
        <v>338</v>
      </c>
      <c r="M140" t="str">
        <f t="shared" si="36"/>
        <v>N</v>
      </c>
      <c r="N140" t="s">
        <v>215</v>
      </c>
    </row>
    <row r="141" spans="1:16">
      <c r="A141" t="s">
        <v>406</v>
      </c>
      <c r="B141" s="267" t="s">
        <v>224</v>
      </c>
      <c r="C141" s="267" t="s">
        <v>224</v>
      </c>
      <c r="D141" s="267" t="s">
        <v>224</v>
      </c>
      <c r="E141" s="267" t="s">
        <v>390</v>
      </c>
      <c r="F141" s="267" t="str">
        <f t="shared" ref="F141:F154" si="39">E141</f>
        <v>Electric Preliminary Statement Part JM</v>
      </c>
      <c r="G141" s="91">
        <v>0</v>
      </c>
      <c r="H141" s="91">
        <f t="shared" si="25"/>
        <v>0</v>
      </c>
      <c r="I141" s="91">
        <f t="shared" si="23"/>
        <v>0</v>
      </c>
      <c r="J141" s="91">
        <v>-5694.2134500000002</v>
      </c>
      <c r="K141" s="91">
        <f t="shared" si="28"/>
        <v>-5694.2134500000002</v>
      </c>
      <c r="L141" t="s">
        <v>338</v>
      </c>
      <c r="M141" t="str">
        <f t="shared" si="36"/>
        <v>Y</v>
      </c>
      <c r="N141" t="s">
        <v>215</v>
      </c>
      <c r="O141" s="109"/>
      <c r="P141" s="67"/>
    </row>
    <row r="142" spans="1:16">
      <c r="A142" s="267" t="s">
        <v>407</v>
      </c>
      <c r="B142" t="s">
        <v>408</v>
      </c>
      <c r="C142" t="str">
        <f>B142</f>
        <v>AL 7407-E</v>
      </c>
      <c r="D142" s="267" t="str">
        <f t="shared" si="20"/>
        <v>AL 7407-E</v>
      </c>
      <c r="E142" s="267" t="str">
        <f t="shared" si="27"/>
        <v>AL 7407-E</v>
      </c>
      <c r="F142" s="267" t="str">
        <f t="shared" si="39"/>
        <v>AL 7407-E</v>
      </c>
      <c r="G142" s="91">
        <v>-22374.489000000001</v>
      </c>
      <c r="H142" s="91">
        <f t="shared" ref="H142:H146" si="40">G142</f>
        <v>-22374.489000000001</v>
      </c>
      <c r="I142" s="91">
        <f t="shared" si="23"/>
        <v>-22374.489000000001</v>
      </c>
      <c r="J142" s="91">
        <v>0</v>
      </c>
      <c r="K142" s="91">
        <f t="shared" si="28"/>
        <v>0</v>
      </c>
      <c r="L142" t="s">
        <v>338</v>
      </c>
      <c r="M142" t="str">
        <f t="shared" si="36"/>
        <v>N</v>
      </c>
      <c r="N142" t="s">
        <v>215</v>
      </c>
    </row>
    <row r="143" spans="1:16">
      <c r="A143" s="267" t="s">
        <v>409</v>
      </c>
      <c r="B143" t="s">
        <v>410</v>
      </c>
      <c r="C143" t="str">
        <f>B143</f>
        <v>D.18-01-008</v>
      </c>
      <c r="D143" s="267" t="str">
        <f t="shared" si="20"/>
        <v>D.18-01-008</v>
      </c>
      <c r="E143" s="267" t="str">
        <f t="shared" si="27"/>
        <v>D.18-01-008</v>
      </c>
      <c r="F143" s="267" t="str">
        <f t="shared" si="39"/>
        <v>D.18-01-008</v>
      </c>
      <c r="G143" s="91">
        <v>-30507.544526242891</v>
      </c>
      <c r="H143" s="91">
        <f t="shared" si="40"/>
        <v>-30507.544526242891</v>
      </c>
      <c r="I143" s="91">
        <f t="shared" si="23"/>
        <v>-30507.544526242891</v>
      </c>
      <c r="J143" s="91">
        <v>-4230.9560000000001</v>
      </c>
      <c r="K143" s="91">
        <f t="shared" si="28"/>
        <v>-4230.9560000000001</v>
      </c>
      <c r="L143" t="s">
        <v>338</v>
      </c>
      <c r="M143" t="str">
        <f t="shared" si="36"/>
        <v>N</v>
      </c>
      <c r="N143" t="s">
        <v>215</v>
      </c>
    </row>
    <row r="144" spans="1:16">
      <c r="A144" s="267" t="s">
        <v>411</v>
      </c>
      <c r="B144" s="267" t="s">
        <v>224</v>
      </c>
      <c r="C144" s="267" t="s">
        <v>224</v>
      </c>
      <c r="D144" s="267" t="s">
        <v>224</v>
      </c>
      <c r="E144" s="267" t="s">
        <v>397</v>
      </c>
      <c r="F144" s="267" t="str">
        <f t="shared" si="39"/>
        <v>Electric Preliminary Statement Part HM</v>
      </c>
      <c r="G144" s="91">
        <v>0</v>
      </c>
      <c r="H144" s="91">
        <v>0</v>
      </c>
      <c r="I144" s="91">
        <v>0</v>
      </c>
      <c r="J144" s="91">
        <v>60350.504615815975</v>
      </c>
      <c r="K144" s="91">
        <v>61679.543130106671</v>
      </c>
      <c r="L144" t="s">
        <v>338</v>
      </c>
      <c r="M144" t="str">
        <f t="shared" si="36"/>
        <v>Y</v>
      </c>
      <c r="N144" t="s">
        <v>115</v>
      </c>
    </row>
    <row r="145" spans="1:15">
      <c r="A145" s="267" t="s">
        <v>412</v>
      </c>
      <c r="B145" s="267" t="s">
        <v>224</v>
      </c>
      <c r="C145" s="267" t="s">
        <v>224</v>
      </c>
      <c r="D145" s="267" t="s">
        <v>224</v>
      </c>
      <c r="E145" s="267" t="s">
        <v>413</v>
      </c>
      <c r="F145" s="267" t="str">
        <f t="shared" si="39"/>
        <v>D.23-05-006</v>
      </c>
      <c r="G145" s="91">
        <v>0</v>
      </c>
      <c r="H145" s="91">
        <v>0</v>
      </c>
      <c r="I145" s="91">
        <v>0</v>
      </c>
      <c r="J145" s="91">
        <v>541.50780096000005</v>
      </c>
      <c r="K145" s="91">
        <f t="shared" si="28"/>
        <v>541.50780096000005</v>
      </c>
      <c r="L145" t="s">
        <v>338</v>
      </c>
      <c r="M145" t="str">
        <f t="shared" si="36"/>
        <v>N</v>
      </c>
      <c r="N145" t="s">
        <v>215</v>
      </c>
    </row>
    <row r="146" spans="1:15">
      <c r="A146" s="267" t="s">
        <v>414</v>
      </c>
      <c r="B146" t="s">
        <v>415</v>
      </c>
      <c r="C146" t="str">
        <f>B146</f>
        <v>Electric Preliminary Statement Part JV</v>
      </c>
      <c r="D146" s="267" t="str">
        <f t="shared" si="20"/>
        <v>Electric Preliminary Statement Part JV</v>
      </c>
      <c r="E146" s="267" t="str">
        <f t="shared" si="27"/>
        <v>Electric Preliminary Statement Part JV</v>
      </c>
      <c r="F146" s="267" t="str">
        <f t="shared" si="39"/>
        <v>Electric Preliminary Statement Part JV</v>
      </c>
      <c r="G146" s="91">
        <v>104.44120369330369</v>
      </c>
      <c r="H146" s="91">
        <f t="shared" si="40"/>
        <v>104.44120369330369</v>
      </c>
      <c r="I146" s="91">
        <f t="shared" si="23"/>
        <v>104.44120369330369</v>
      </c>
      <c r="J146" s="91">
        <v>-549.58398152149107</v>
      </c>
      <c r="K146" s="91">
        <f t="shared" si="28"/>
        <v>-549.58398152149107</v>
      </c>
      <c r="L146" t="s">
        <v>338</v>
      </c>
      <c r="M146" t="str">
        <f t="shared" si="36"/>
        <v>Y</v>
      </c>
      <c r="N146" t="s">
        <v>215</v>
      </c>
    </row>
    <row r="147" spans="1:15">
      <c r="B147" s="267"/>
      <c r="C147" s="267"/>
      <c r="D147" s="267"/>
      <c r="E147" s="267"/>
      <c r="F147" s="267"/>
      <c r="G147" s="91"/>
      <c r="H147" s="91"/>
      <c r="I147" s="91">
        <f t="shared" si="23"/>
        <v>0</v>
      </c>
      <c r="J147" s="91"/>
      <c r="K147" s="91">
        <f t="shared" si="28"/>
        <v>0</v>
      </c>
    </row>
    <row r="148" spans="1:15">
      <c r="A148" s="10" t="s">
        <v>416</v>
      </c>
      <c r="B148" s="267"/>
      <c r="C148" s="267"/>
      <c r="D148" s="267"/>
      <c r="E148" s="267"/>
      <c r="F148" s="267"/>
      <c r="G148" s="276">
        <f>SUM(G97:G146)</f>
        <v>55140.038894065328</v>
      </c>
      <c r="H148" s="276">
        <f>SUM(H97:H146)</f>
        <v>55140.038894065328</v>
      </c>
      <c r="I148" s="276">
        <f>SUM(I97:I146)</f>
        <v>55140.038894065328</v>
      </c>
      <c r="J148" s="276">
        <f>SUM(J97:J147)</f>
        <v>552809.17901869467</v>
      </c>
      <c r="K148" s="276">
        <f>SUM(K97:K147)</f>
        <v>552809.17901869467</v>
      </c>
    </row>
    <row r="149" spans="1:15">
      <c r="B149" s="267"/>
      <c r="C149" s="267"/>
      <c r="D149" s="267"/>
      <c r="E149" s="267"/>
      <c r="F149" s="267"/>
      <c r="G149" s="91"/>
      <c r="H149" s="91"/>
      <c r="I149" s="91">
        <f t="shared" si="23"/>
        <v>0</v>
      </c>
      <c r="J149" s="91"/>
      <c r="K149" s="91">
        <f t="shared" si="28"/>
        <v>0</v>
      </c>
    </row>
    <row r="150" spans="1:15">
      <c r="A150" s="10" t="s">
        <v>417</v>
      </c>
      <c r="B150" s="267"/>
      <c r="C150" s="267"/>
      <c r="D150" s="267"/>
      <c r="E150" s="267"/>
      <c r="F150" s="267"/>
      <c r="G150" s="91"/>
      <c r="H150" s="91"/>
      <c r="I150" s="91">
        <f t="shared" si="23"/>
        <v>0</v>
      </c>
      <c r="J150" s="91"/>
      <c r="K150" s="91">
        <f t="shared" si="28"/>
        <v>0</v>
      </c>
    </row>
    <row r="151" spans="1:15">
      <c r="A151" t="s">
        <v>418</v>
      </c>
      <c r="B151" s="267" t="s">
        <v>419</v>
      </c>
      <c r="C151" s="267" t="str">
        <f>B151</f>
        <v>ER24-96-000</v>
      </c>
      <c r="D151" s="267" t="str">
        <f t="shared" ref="D151:D155" si="41">C151</f>
        <v>ER24-96-000</v>
      </c>
      <c r="E151" t="s">
        <v>420</v>
      </c>
      <c r="F151" t="s">
        <v>420</v>
      </c>
      <c r="G151" s="91">
        <v>2903023.3845576458</v>
      </c>
      <c r="H151" s="91">
        <f>G151</f>
        <v>2903023.3845576458</v>
      </c>
      <c r="I151" s="91">
        <f t="shared" si="23"/>
        <v>2903023.3845576458</v>
      </c>
      <c r="J151" s="91">
        <v>2580189.8596306657</v>
      </c>
      <c r="K151" s="91">
        <f t="shared" si="28"/>
        <v>2580189.8596306657</v>
      </c>
      <c r="L151" t="s">
        <v>421</v>
      </c>
      <c r="M151" t="str">
        <f>IF(RIGHT(A151,1)="*","Y","N")</f>
        <v>N</v>
      </c>
      <c r="N151" t="s">
        <v>215</v>
      </c>
    </row>
    <row r="152" spans="1:15">
      <c r="A152" t="s">
        <v>422</v>
      </c>
      <c r="B152" s="267" t="s">
        <v>423</v>
      </c>
      <c r="C152" s="267" t="str">
        <f>B152</f>
        <v>ER24-599-000</v>
      </c>
      <c r="D152" s="267" t="str">
        <f t="shared" si="41"/>
        <v>ER24-599-000</v>
      </c>
      <c r="E152" t="s">
        <v>424</v>
      </c>
      <c r="F152" s="267" t="str">
        <f>E152</f>
        <v xml:space="preserve">ER26-669-000 </v>
      </c>
      <c r="G152" s="91">
        <v>360149.10174242745</v>
      </c>
      <c r="H152" s="91">
        <v>585052.33827356366</v>
      </c>
      <c r="I152" s="91">
        <f t="shared" si="23"/>
        <v>585052.33827356366</v>
      </c>
      <c r="J152" s="91">
        <v>577533.37698518496</v>
      </c>
      <c r="K152" s="91">
        <v>680959.949882471</v>
      </c>
      <c r="L152" t="s">
        <v>425</v>
      </c>
      <c r="M152" t="str">
        <f>IF(RIGHT(A152,1)="*","Y","N")</f>
        <v>N</v>
      </c>
      <c r="N152" t="s">
        <v>215</v>
      </c>
    </row>
    <row r="153" spans="1:15">
      <c r="A153" t="s">
        <v>426</v>
      </c>
      <c r="B153" s="267" t="s">
        <v>427</v>
      </c>
      <c r="C153" s="267" t="str">
        <f>B153</f>
        <v>ER23-2968-000</v>
      </c>
      <c r="D153" s="267" t="str">
        <f t="shared" si="41"/>
        <v>ER23-2968-000</v>
      </c>
      <c r="E153" s="267" t="s">
        <v>428</v>
      </c>
      <c r="F153" s="267" t="str">
        <f t="shared" si="39"/>
        <v>ER25-3533-000</v>
      </c>
      <c r="G153" s="91">
        <v>-362428.52643699979</v>
      </c>
      <c r="H153" s="91">
        <f>G153</f>
        <v>-362428.52643699979</v>
      </c>
      <c r="I153" s="91">
        <f t="shared" ref="I153:I157" si="42">H153</f>
        <v>-362428.52643699979</v>
      </c>
      <c r="J153" s="91">
        <v>-309017.85885441065</v>
      </c>
      <c r="K153" s="91">
        <f t="shared" si="28"/>
        <v>-309017.85885441065</v>
      </c>
      <c r="L153" t="s">
        <v>425</v>
      </c>
      <c r="M153" t="str">
        <f>IF(RIGHT(A153,1)="*","Y","N")</f>
        <v>N</v>
      </c>
      <c r="N153" t="s">
        <v>215</v>
      </c>
    </row>
    <row r="154" spans="1:15">
      <c r="A154" t="s">
        <v>429</v>
      </c>
      <c r="B154" s="267" t="s">
        <v>427</v>
      </c>
      <c r="C154" s="267" t="str">
        <f>B154</f>
        <v>ER23-2968-000</v>
      </c>
      <c r="D154" s="267" t="str">
        <f t="shared" si="41"/>
        <v>ER23-2968-000</v>
      </c>
      <c r="E154" s="267" t="s">
        <v>428</v>
      </c>
      <c r="F154" s="267" t="str">
        <f t="shared" si="39"/>
        <v>ER25-3533-000</v>
      </c>
      <c r="G154" s="91">
        <v>18138.177452851731</v>
      </c>
      <c r="H154" s="91">
        <f>G154</f>
        <v>18138.177452851731</v>
      </c>
      <c r="I154" s="91">
        <f t="shared" si="42"/>
        <v>18138.177452851731</v>
      </c>
      <c r="J154" s="91">
        <v>7129.8890610076787</v>
      </c>
      <c r="K154" s="91">
        <f t="shared" si="28"/>
        <v>7129.8890610076787</v>
      </c>
      <c r="L154" t="s">
        <v>425</v>
      </c>
      <c r="M154" t="str">
        <f>IF(RIGHT(A154,1)="*","Y","N")</f>
        <v>N</v>
      </c>
      <c r="N154" t="s">
        <v>215</v>
      </c>
    </row>
    <row r="155" spans="1:15">
      <c r="A155" t="s">
        <v>430</v>
      </c>
      <c r="B155" s="267" t="s">
        <v>427</v>
      </c>
      <c r="C155" s="267" t="str">
        <f>B155</f>
        <v>ER23-2968-000</v>
      </c>
      <c r="D155" s="267" t="str">
        <f t="shared" si="41"/>
        <v>ER23-2968-000</v>
      </c>
      <c r="E155" s="267" t="s">
        <v>428</v>
      </c>
      <c r="F155" s="267" t="str">
        <f>E155</f>
        <v>ER25-3533-000</v>
      </c>
      <c r="G155" s="91">
        <v>-852305.91485261393</v>
      </c>
      <c r="H155" s="91">
        <f>G155</f>
        <v>-852305.91485261393</v>
      </c>
      <c r="I155" s="91">
        <f t="shared" si="42"/>
        <v>-852305.91485261393</v>
      </c>
      <c r="J155" s="91">
        <v>-23740.594208925868</v>
      </c>
      <c r="K155" s="91">
        <f t="shared" si="28"/>
        <v>-23740.594208925868</v>
      </c>
      <c r="L155" t="s">
        <v>425</v>
      </c>
      <c r="M155" t="str">
        <f>IF(RIGHT(A155,1)="*","Y","N")</f>
        <v>N</v>
      </c>
      <c r="N155" t="s">
        <v>215</v>
      </c>
    </row>
    <row r="156" spans="1:15">
      <c r="A156" s="10" t="s">
        <v>431</v>
      </c>
      <c r="G156" s="135">
        <f t="shared" ref="G156:K156" si="43">SUM(G151:G155)</f>
        <v>2066576.2224633107</v>
      </c>
      <c r="H156" s="135">
        <f t="shared" si="43"/>
        <v>2291479.4589944468</v>
      </c>
      <c r="I156" s="135">
        <f t="shared" si="43"/>
        <v>2291479.4589944468</v>
      </c>
      <c r="J156" s="135">
        <f t="shared" si="43"/>
        <v>2832094.6726135216</v>
      </c>
      <c r="K156" s="135">
        <f t="shared" si="43"/>
        <v>2935521.2455108077</v>
      </c>
    </row>
    <row r="157" spans="1:15">
      <c r="G157" s="276"/>
      <c r="H157" s="276"/>
      <c r="I157" s="91">
        <f t="shared" si="42"/>
        <v>0</v>
      </c>
      <c r="J157" s="91"/>
      <c r="K157" s="91"/>
      <c r="O157" s="273"/>
    </row>
    <row r="158" spans="1:15" ht="15" thickBot="1">
      <c r="A158" s="10" t="s">
        <v>432</v>
      </c>
      <c r="G158" s="278">
        <f>G94+G148+G156</f>
        <v>19285921.880354639</v>
      </c>
      <c r="H158" s="278">
        <f>H94+H148+H156</f>
        <v>19670607.087141689</v>
      </c>
      <c r="I158" s="278">
        <f>I94+I148+I156</f>
        <v>19079592.832648318</v>
      </c>
      <c r="J158" s="278">
        <f>J94+J148+J156</f>
        <v>20456646.448797707</v>
      </c>
      <c r="K158" s="278">
        <f>K94+K148+K156</f>
        <v>20085486.222601481</v>
      </c>
      <c r="L158" s="272"/>
      <c r="M158" s="279"/>
    </row>
    <row r="159" spans="1:15" ht="15" thickTop="1">
      <c r="G159" s="91">
        <v>19285921.735167537</v>
      </c>
      <c r="H159" s="91">
        <v>19670606.94195459</v>
      </c>
      <c r="I159" s="91">
        <v>19079592.687461212</v>
      </c>
      <c r="J159" s="91">
        <v>20456646.448797714</v>
      </c>
      <c r="K159" s="91">
        <v>20085486.222601481</v>
      </c>
      <c r="L159" s="272"/>
    </row>
    <row r="160" spans="1:15">
      <c r="G160" s="91">
        <f t="shared" ref="G160:K160" si="44">G158-G159</f>
        <v>0.14518710225820541</v>
      </c>
      <c r="H160" s="91">
        <f t="shared" si="44"/>
        <v>0.14518709853291512</v>
      </c>
      <c r="I160" s="91">
        <f t="shared" si="44"/>
        <v>0.14518710598349571</v>
      </c>
      <c r="J160" s="91">
        <f t="shared" si="44"/>
        <v>0</v>
      </c>
      <c r="K160" s="91">
        <f t="shared" si="44"/>
        <v>0</v>
      </c>
      <c r="L160" s="279"/>
      <c r="M160" s="279"/>
    </row>
    <row r="161" spans="1:12">
      <c r="G161" s="91"/>
      <c r="H161" s="91"/>
      <c r="I161" s="91"/>
      <c r="J161" s="91"/>
      <c r="K161" s="91"/>
    </row>
    <row r="162" spans="1:12">
      <c r="G162" s="141"/>
      <c r="H162" s="91"/>
      <c r="I162" s="91"/>
      <c r="J162" s="91"/>
      <c r="K162" s="91"/>
    </row>
    <row r="163" spans="1:12">
      <c r="G163" s="280"/>
      <c r="H163" s="91"/>
      <c r="I163" s="91"/>
      <c r="J163" s="91"/>
      <c r="K163" s="91"/>
    </row>
    <row r="164" spans="1:12">
      <c r="A164" t="s">
        <v>433</v>
      </c>
      <c r="G164" s="91"/>
      <c r="H164" s="141"/>
      <c r="I164" s="141"/>
      <c r="J164" s="141"/>
      <c r="K164" s="141"/>
    </row>
    <row r="165" spans="1:12">
      <c r="A165" t="s">
        <v>434</v>
      </c>
      <c r="G165" s="280"/>
    </row>
    <row r="166" spans="1:12">
      <c r="A166" s="281" t="s">
        <v>435</v>
      </c>
      <c r="G166" s="282"/>
    </row>
    <row r="167" spans="1:12">
      <c r="A167" t="s">
        <v>436</v>
      </c>
      <c r="G167" s="282"/>
      <c r="L167" s="283"/>
    </row>
    <row r="168" spans="1:12">
      <c r="A168" t="s">
        <v>437</v>
      </c>
    </row>
    <row r="169" spans="1:12">
      <c r="A169" t="s">
        <v>438</v>
      </c>
    </row>
    <row r="170" spans="1:12">
      <c r="G170" s="284"/>
    </row>
  </sheetData>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F7DA5-8F2A-447A-9B23-06CD6D8B0E1D}">
  <sheetPr codeName="Sheet2">
    <pageSetUpPr autoPageBreaks="0"/>
  </sheetPr>
  <dimension ref="B2:AD241"/>
  <sheetViews>
    <sheetView tabSelected="1" zoomScale="120" zoomScaleNormal="120" workbookViewId="0">
      <selection activeCell="E20" sqref="E20"/>
    </sheetView>
  </sheetViews>
  <sheetFormatPr defaultColWidth="9.1796875" defaultRowHeight="14.5"/>
  <cols>
    <col min="2" max="2" width="48.7265625" customWidth="1"/>
    <col min="3" max="3" width="35.7265625" customWidth="1"/>
    <col min="4" max="4" width="58.26953125" customWidth="1"/>
    <col min="5" max="5" width="14.81640625" style="268" customWidth="1"/>
    <col min="6" max="6" width="23" customWidth="1"/>
    <col min="7" max="7" width="15.7265625" customWidth="1"/>
    <col min="8" max="8" width="16.26953125" bestFit="1" customWidth="1"/>
    <col min="9" max="9" width="15.453125" bestFit="1" customWidth="1"/>
    <col min="10" max="10" width="15.453125" customWidth="1"/>
    <col min="11" max="11" width="15.453125" style="272" customWidth="1"/>
    <col min="12" max="12" width="13.81640625" customWidth="1"/>
    <col min="13" max="13" width="26.26953125" customWidth="1"/>
    <col min="14" max="14" width="13" bestFit="1" customWidth="1"/>
    <col min="15" max="15" width="27.7265625" customWidth="1"/>
    <col min="16" max="16" width="17.7265625" customWidth="1"/>
    <col min="18" max="18" width="22.1796875" bestFit="1" customWidth="1"/>
    <col min="19" max="19" width="17.26953125" customWidth="1"/>
    <col min="20" max="20" width="18.81640625" bestFit="1" customWidth="1"/>
    <col min="21" max="21" width="14.7265625" customWidth="1"/>
    <col min="22" max="22" width="13.81640625" customWidth="1"/>
    <col min="23" max="23" width="13.7265625" customWidth="1"/>
    <col min="24" max="24" width="25.453125" customWidth="1"/>
    <col min="25" max="25" width="15.453125" customWidth="1"/>
    <col min="30" max="30" width="11.54296875" bestFit="1" customWidth="1"/>
  </cols>
  <sheetData>
    <row r="2" spans="2:24">
      <c r="B2" t="str">
        <f>'Authorized Rev Req'!A2</f>
        <v>Annual Period 2026</v>
      </c>
      <c r="C2" s="285"/>
    </row>
    <row r="3" spans="2:24">
      <c r="B3" t="str">
        <f>'Authorized Rev Req'!A3</f>
        <v>Reporting Date: March 1, 2026</v>
      </c>
      <c r="C3" s="285"/>
      <c r="F3" s="262"/>
      <c r="G3" s="262"/>
      <c r="H3" s="262"/>
    </row>
    <row r="4" spans="2:24">
      <c r="C4" s="285"/>
      <c r="D4" s="267"/>
      <c r="G4" s="262"/>
    </row>
    <row r="5" spans="2:24">
      <c r="B5" s="10" t="s">
        <v>439</v>
      </c>
      <c r="C5" s="286">
        <f>'Authorized Rev Req'!K158</f>
        <v>20085486.222601481</v>
      </c>
      <c r="G5" s="273"/>
    </row>
    <row r="6" spans="2:24">
      <c r="B6" s="10" t="s">
        <v>440</v>
      </c>
      <c r="C6" s="286" t="str">
        <f>'Authorized Rev Req'!F5</f>
        <v>March 1, 2026</v>
      </c>
      <c r="I6" s="262"/>
    </row>
    <row r="7" spans="2:24" ht="32.25" customHeight="1">
      <c r="B7" s="506" t="s">
        <v>441</v>
      </c>
      <c r="C7" s="506"/>
      <c r="D7" s="506"/>
      <c r="E7" s="506"/>
      <c r="F7" s="506"/>
      <c r="G7" s="506"/>
      <c r="H7" s="506"/>
      <c r="I7" s="506"/>
      <c r="J7" s="506"/>
      <c r="K7" s="506"/>
    </row>
    <row r="8" spans="2:24" ht="71.25" customHeight="1">
      <c r="B8" s="287" t="s">
        <v>207</v>
      </c>
      <c r="C8" s="287" t="s">
        <v>442</v>
      </c>
      <c r="D8" s="288" t="s">
        <v>443</v>
      </c>
      <c r="E8" s="289" t="s">
        <v>444</v>
      </c>
      <c r="F8" s="288" t="s">
        <v>208</v>
      </c>
      <c r="G8" s="287"/>
      <c r="H8" s="287"/>
      <c r="I8" s="287"/>
      <c r="J8" s="287"/>
      <c r="K8" s="288" t="s">
        <v>445</v>
      </c>
      <c r="R8" s="290" t="s">
        <v>446</v>
      </c>
      <c r="S8" s="290"/>
    </row>
    <row r="9" spans="2:24">
      <c r="B9" s="10" t="s">
        <v>211</v>
      </c>
      <c r="G9">
        <v>2026</v>
      </c>
      <c r="H9">
        <f>G9+1</f>
        <v>2027</v>
      </c>
      <c r="I9">
        <f>H9+1</f>
        <v>2028</v>
      </c>
      <c r="J9">
        <f>I9+1</f>
        <v>2029</v>
      </c>
      <c r="S9" s="11">
        <f>G9</f>
        <v>2026</v>
      </c>
      <c r="T9" s="11">
        <f>H9</f>
        <v>2027</v>
      </c>
      <c r="U9" s="11">
        <f>I9</f>
        <v>2028</v>
      </c>
      <c r="V9" s="11">
        <f>J9</f>
        <v>2029</v>
      </c>
      <c r="W9" s="11"/>
    </row>
    <row r="10" spans="2:24">
      <c r="B10" t="s">
        <v>212</v>
      </c>
      <c r="D10" s="271" t="s">
        <v>213</v>
      </c>
      <c r="E10" s="271">
        <f>'Authorized Rev Req'!K9</f>
        <v>7264014.529740354</v>
      </c>
      <c r="F10" t="s">
        <v>214</v>
      </c>
      <c r="G10" s="67">
        <f>E10</f>
        <v>7264014.529740354</v>
      </c>
      <c r="H10" s="67">
        <v>7261785.4086342882</v>
      </c>
      <c r="I10" s="67">
        <f t="shared" ref="I10:J12" si="0">H10</f>
        <v>7261785.4086342882</v>
      </c>
      <c r="J10" s="67">
        <f t="shared" si="0"/>
        <v>7261785.4086342882</v>
      </c>
      <c r="K10" s="272" t="s">
        <v>447</v>
      </c>
      <c r="R10" t="s">
        <v>233</v>
      </c>
      <c r="S10" s="67">
        <f t="shared" ref="S10:S23" si="1">SUMIF($F$10:$F$95,$R10,G$10:G$95)</f>
        <v>3075727.8217516071</v>
      </c>
      <c r="T10" s="67">
        <f t="shared" ref="T10:T23" si="2">SUMIF($F$10:$F$95,$R10,H$10:H$95)</f>
        <v>3061414.221751607</v>
      </c>
      <c r="U10" s="67">
        <f t="shared" ref="U10:U23" si="3">SUMIF($F$10:$F$95,$R10,I$10:I$95)</f>
        <v>3075727.8217516071</v>
      </c>
      <c r="V10" s="67">
        <f t="shared" ref="V10:V23" si="4">SUMIF($F$10:$F$95,$R10,J$10:J$95)</f>
        <v>3075727.8217516071</v>
      </c>
      <c r="W10" s="67"/>
      <c r="X10" s="67"/>
    </row>
    <row r="11" spans="2:24">
      <c r="B11" t="s">
        <v>216</v>
      </c>
      <c r="D11" s="271" t="s">
        <v>213</v>
      </c>
      <c r="E11" s="271">
        <f>'Authorized Rev Req'!K10</f>
        <v>1182071.4236695445</v>
      </c>
      <c r="F11" t="s">
        <v>217</v>
      </c>
      <c r="G11" s="67">
        <f t="shared" ref="G11:G25" si="5">E11</f>
        <v>1182071.4236695445</v>
      </c>
      <c r="H11" s="67">
        <f>G11</f>
        <v>1182071.4236695445</v>
      </c>
      <c r="I11" s="67">
        <f t="shared" si="0"/>
        <v>1182071.4236695445</v>
      </c>
      <c r="J11" s="67">
        <f t="shared" si="0"/>
        <v>1182071.4236695445</v>
      </c>
      <c r="K11" s="272" t="s">
        <v>447</v>
      </c>
      <c r="R11" s="274" t="s">
        <v>248</v>
      </c>
      <c r="S11" s="67">
        <f t="shared" si="1"/>
        <v>431130.2253517076</v>
      </c>
      <c r="T11" s="67">
        <f t="shared" si="2"/>
        <v>244371.67766520652</v>
      </c>
      <c r="U11" s="67">
        <f t="shared" si="3"/>
        <v>244371.67766520652</v>
      </c>
      <c r="V11" s="67">
        <f t="shared" si="4"/>
        <v>244371.67766520652</v>
      </c>
      <c r="W11" s="67"/>
      <c r="X11" s="67"/>
    </row>
    <row r="12" spans="2:24">
      <c r="B12" t="s">
        <v>212</v>
      </c>
      <c r="D12" s="271" t="s">
        <v>213</v>
      </c>
      <c r="E12" s="271">
        <f>'Authorized Rev Req'!K15</f>
        <v>1203523.6645707237</v>
      </c>
      <c r="F12" t="s">
        <v>225</v>
      </c>
      <c r="G12" s="67">
        <f>E12</f>
        <v>1203523.6645707237</v>
      </c>
      <c r="H12" s="67">
        <v>1205677.1825411695</v>
      </c>
      <c r="I12" s="67">
        <f t="shared" si="0"/>
        <v>1205677.1825411695</v>
      </c>
      <c r="J12" s="67">
        <f t="shared" si="0"/>
        <v>1205677.1825411695</v>
      </c>
      <c r="K12" s="272" t="s">
        <v>447</v>
      </c>
      <c r="R12" t="s">
        <v>214</v>
      </c>
      <c r="S12" s="67">
        <f t="shared" si="1"/>
        <v>9526110.0969884321</v>
      </c>
      <c r="T12" s="67">
        <f t="shared" si="2"/>
        <v>8230848.3311767792</v>
      </c>
      <c r="U12" s="67">
        <f t="shared" si="3"/>
        <v>8266232.4036347838</v>
      </c>
      <c r="V12" s="67">
        <f t="shared" si="4"/>
        <v>8266232.4036347838</v>
      </c>
      <c r="W12" s="67"/>
      <c r="X12" s="67"/>
    </row>
    <row r="13" spans="2:24">
      <c r="B13" t="s">
        <v>448</v>
      </c>
      <c r="D13" s="271" t="s">
        <v>213</v>
      </c>
      <c r="E13" s="271">
        <f>'Authorized Rev Req'!K12</f>
        <v>0</v>
      </c>
      <c r="F13" t="s">
        <v>214</v>
      </c>
      <c r="G13" s="67">
        <f t="shared" si="5"/>
        <v>0</v>
      </c>
      <c r="H13" s="67">
        <v>0</v>
      </c>
      <c r="I13" s="67">
        <v>0</v>
      </c>
      <c r="J13" s="67">
        <v>0</v>
      </c>
      <c r="K13" s="272" t="s">
        <v>449</v>
      </c>
      <c r="R13" t="s">
        <v>336</v>
      </c>
      <c r="S13" s="67">
        <f t="shared" si="1"/>
        <v>-475276.50099999999</v>
      </c>
      <c r="T13" s="67">
        <f t="shared" si="2"/>
        <v>-475276.50099999999</v>
      </c>
      <c r="U13" s="67">
        <f t="shared" si="3"/>
        <v>-475276.50099999999</v>
      </c>
      <c r="V13" s="67">
        <f t="shared" si="4"/>
        <v>-475276.50099999999</v>
      </c>
      <c r="W13" s="67"/>
      <c r="X13" s="67"/>
    </row>
    <row r="14" spans="2:24">
      <c r="B14" t="s">
        <v>448</v>
      </c>
      <c r="D14" s="271" t="s">
        <v>213</v>
      </c>
      <c r="E14" s="271">
        <f>'Authorized Rev Req'!K16</f>
        <v>0</v>
      </c>
      <c r="F14" t="s">
        <v>225</v>
      </c>
      <c r="G14" s="67">
        <f t="shared" si="5"/>
        <v>0</v>
      </c>
      <c r="H14" s="67">
        <v>0</v>
      </c>
      <c r="I14" s="67">
        <v>0</v>
      </c>
      <c r="J14" s="67">
        <v>0</v>
      </c>
      <c r="K14" s="272" t="s">
        <v>449</v>
      </c>
      <c r="R14" t="s">
        <v>243</v>
      </c>
      <c r="S14" s="67">
        <f t="shared" si="1"/>
        <v>19992.065902402835</v>
      </c>
      <c r="T14" s="67">
        <f t="shared" si="2"/>
        <v>-3377.8111523794842</v>
      </c>
      <c r="U14" s="67">
        <f t="shared" si="3"/>
        <v>-3377.8111523794842</v>
      </c>
      <c r="V14" s="67">
        <f t="shared" si="4"/>
        <v>-3377.8111523794842</v>
      </c>
      <c r="W14" s="67"/>
      <c r="X14" s="67"/>
    </row>
    <row r="15" spans="2:24">
      <c r="D15" s="271"/>
      <c r="E15" s="271"/>
      <c r="G15" s="262"/>
      <c r="H15" s="262"/>
      <c r="I15" s="262"/>
      <c r="J15" s="262"/>
      <c r="R15" t="s">
        <v>259</v>
      </c>
      <c r="S15" s="67">
        <f t="shared" si="1"/>
        <v>-1604.9394941091518</v>
      </c>
      <c r="T15" s="67">
        <f t="shared" si="2"/>
        <v>0</v>
      </c>
      <c r="U15" s="67">
        <f t="shared" si="3"/>
        <v>0</v>
      </c>
      <c r="V15" s="67">
        <f t="shared" si="4"/>
        <v>0</v>
      </c>
      <c r="W15" s="67"/>
      <c r="X15" s="67"/>
    </row>
    <row r="16" spans="2:24">
      <c r="B16" t="s">
        <v>226</v>
      </c>
      <c r="D16" s="271" t="s">
        <v>450</v>
      </c>
      <c r="E16" s="262">
        <f>'Authorized Rev Req'!K17</f>
        <v>81329.474154799551</v>
      </c>
      <c r="F16" t="s">
        <v>214</v>
      </c>
      <c r="G16" s="262">
        <v>81329.474154799551</v>
      </c>
      <c r="H16" s="262">
        <f t="shared" ref="H16:J17" si="6">G16</f>
        <v>81329.474154799551</v>
      </c>
      <c r="I16" s="262">
        <f t="shared" si="6"/>
        <v>81329.474154799551</v>
      </c>
      <c r="J16" s="262">
        <f t="shared" si="6"/>
        <v>81329.474154799551</v>
      </c>
      <c r="K16" s="272" t="s">
        <v>447</v>
      </c>
      <c r="R16" t="s">
        <v>338</v>
      </c>
      <c r="S16" s="67">
        <f t="shared" si="1"/>
        <v>744305.81456082384</v>
      </c>
      <c r="T16" s="67">
        <f t="shared" si="2"/>
        <v>934995.06225154048</v>
      </c>
      <c r="U16" s="67">
        <f t="shared" si="3"/>
        <v>909119.50046745408</v>
      </c>
      <c r="V16" s="67">
        <f t="shared" si="4"/>
        <v>909119.50046745408</v>
      </c>
      <c r="W16" s="67"/>
      <c r="X16" s="67"/>
    </row>
    <row r="17" spans="2:24">
      <c r="B17" t="s">
        <v>226</v>
      </c>
      <c r="D17" s="271" t="s">
        <v>450</v>
      </c>
      <c r="E17" s="262">
        <f>'Authorized Rev Req'!K19</f>
        <v>30252.385753378665</v>
      </c>
      <c r="F17" t="s">
        <v>225</v>
      </c>
      <c r="G17" s="262">
        <f>E17</f>
        <v>30252.385753378665</v>
      </c>
      <c r="H17" s="262">
        <v>30252.388441054864</v>
      </c>
      <c r="I17" s="262">
        <f t="shared" si="6"/>
        <v>30252.388441054864</v>
      </c>
      <c r="J17" s="262">
        <f t="shared" si="6"/>
        <v>30252.388441054864</v>
      </c>
      <c r="K17" s="272" t="s">
        <v>447</v>
      </c>
      <c r="R17" t="s">
        <v>402</v>
      </c>
      <c r="S17" s="67">
        <f t="shared" si="1"/>
        <v>401830.0859770244</v>
      </c>
      <c r="T17" s="67">
        <f t="shared" si="2"/>
        <v>401830.0859770244</v>
      </c>
      <c r="U17" s="67">
        <f t="shared" si="3"/>
        <v>401830.0859770244</v>
      </c>
      <c r="V17" s="67">
        <f t="shared" si="4"/>
        <v>401830.0859770244</v>
      </c>
      <c r="W17" s="67"/>
      <c r="X17" s="67"/>
    </row>
    <row r="18" spans="2:24">
      <c r="B18" t="s">
        <v>451</v>
      </c>
      <c r="D18" s="271" t="s">
        <v>213</v>
      </c>
      <c r="E18" s="271">
        <f>'Authorized Rev Req'!K13</f>
        <v>0</v>
      </c>
      <c r="F18" t="s">
        <v>214</v>
      </c>
      <c r="G18" s="67">
        <f>E18</f>
        <v>0</v>
      </c>
      <c r="H18" s="67">
        <v>0</v>
      </c>
      <c r="I18" s="67">
        <v>0</v>
      </c>
      <c r="J18" s="67">
        <v>0</v>
      </c>
      <c r="K18" s="272" t="s">
        <v>449</v>
      </c>
      <c r="R18" s="274" t="s">
        <v>242</v>
      </c>
      <c r="S18" s="67">
        <f t="shared" si="1"/>
        <v>1685.3200572805854</v>
      </c>
      <c r="T18" s="67">
        <f t="shared" si="2"/>
        <v>0</v>
      </c>
      <c r="U18" s="67">
        <f t="shared" si="3"/>
        <v>0</v>
      </c>
      <c r="V18" s="67">
        <f t="shared" si="4"/>
        <v>0</v>
      </c>
      <c r="W18" s="67"/>
      <c r="X18" s="67"/>
    </row>
    <row r="19" spans="2:24">
      <c r="B19" t="s">
        <v>230</v>
      </c>
      <c r="D19" s="271" t="s">
        <v>213</v>
      </c>
      <c r="E19" s="271">
        <f>'Authorized Rev Req'!K20</f>
        <v>0</v>
      </c>
      <c r="F19" t="s">
        <v>225</v>
      </c>
      <c r="G19" s="67">
        <f t="shared" si="5"/>
        <v>0</v>
      </c>
      <c r="H19" s="67">
        <f t="shared" ref="H19:I21" si="7">G19</f>
        <v>0</v>
      </c>
      <c r="I19" s="67">
        <f t="shared" si="7"/>
        <v>0</v>
      </c>
      <c r="J19" s="67">
        <f>I19</f>
        <v>0</v>
      </c>
      <c r="K19" s="272" t="s">
        <v>447</v>
      </c>
      <c r="R19" t="s">
        <v>421</v>
      </c>
      <c r="S19" s="67">
        <f t="shared" si="1"/>
        <v>2580189.8596306657</v>
      </c>
      <c r="T19" s="67">
        <f t="shared" si="2"/>
        <v>2568161.0596306659</v>
      </c>
      <c r="U19" s="67">
        <f t="shared" si="3"/>
        <v>2580189.8596306657</v>
      </c>
      <c r="V19" s="67">
        <f t="shared" si="4"/>
        <v>2580189.8596306657</v>
      </c>
      <c r="W19" s="67"/>
      <c r="X19" s="67"/>
    </row>
    <row r="20" spans="2:24">
      <c r="B20" t="s">
        <v>452</v>
      </c>
      <c r="D20" s="271" t="s">
        <v>232</v>
      </c>
      <c r="E20" s="271">
        <f>'Authorized Rev Req'!K21</f>
        <v>3072849.9094557511</v>
      </c>
      <c r="F20" t="s">
        <v>233</v>
      </c>
      <c r="G20" s="67">
        <f t="shared" si="5"/>
        <v>3072849.9094557511</v>
      </c>
      <c r="H20" s="67">
        <f t="shared" si="7"/>
        <v>3072849.9094557511</v>
      </c>
      <c r="I20" s="67">
        <f t="shared" si="7"/>
        <v>3072849.9094557511</v>
      </c>
      <c r="J20" s="67">
        <f>I20</f>
        <v>3072849.9094557511</v>
      </c>
      <c r="K20" s="272" t="s">
        <v>447</v>
      </c>
      <c r="R20" t="s">
        <v>425</v>
      </c>
      <c r="S20" s="67">
        <f t="shared" si="1"/>
        <v>355331.38588014222</v>
      </c>
      <c r="T20" s="67">
        <f t="shared" si="2"/>
        <v>379071.98008906806</v>
      </c>
      <c r="U20" s="67">
        <f t="shared" si="3"/>
        <v>379071.98008906806</v>
      </c>
      <c r="V20" s="67">
        <f t="shared" si="4"/>
        <v>379071.98008906806</v>
      </c>
      <c r="W20" s="67"/>
      <c r="X20" s="67"/>
    </row>
    <row r="21" spans="2:24">
      <c r="B21" t="s">
        <v>452</v>
      </c>
      <c r="D21" s="271" t="s">
        <v>232</v>
      </c>
      <c r="E21" s="271">
        <f>'Authorized Rev Req'!K22</f>
        <v>-685483.59337892663</v>
      </c>
      <c r="F21" t="s">
        <v>225</v>
      </c>
      <c r="G21" s="67">
        <f t="shared" si="5"/>
        <v>-685483.59337892663</v>
      </c>
      <c r="H21" s="67">
        <f t="shared" si="7"/>
        <v>-685483.59337892663</v>
      </c>
      <c r="I21" s="67">
        <f t="shared" si="7"/>
        <v>-685483.59337892663</v>
      </c>
      <c r="J21" s="67">
        <f>I21</f>
        <v>-685483.59337892663</v>
      </c>
      <c r="K21" s="272" t="s">
        <v>447</v>
      </c>
      <c r="R21" t="s">
        <v>225</v>
      </c>
      <c r="S21" s="67">
        <f t="shared" si="1"/>
        <v>1301245.5406250982</v>
      </c>
      <c r="T21" s="67">
        <f t="shared" si="2"/>
        <v>532120.37400299998</v>
      </c>
      <c r="U21" s="67">
        <f t="shared" si="3"/>
        <v>547514.14703631785</v>
      </c>
      <c r="V21" s="67">
        <f t="shared" si="4"/>
        <v>547514.14703631785</v>
      </c>
      <c r="W21" s="67"/>
      <c r="X21" s="67"/>
    </row>
    <row r="22" spans="2:24">
      <c r="B22" t="s">
        <v>453</v>
      </c>
      <c r="D22" s="271" t="s">
        <v>232</v>
      </c>
      <c r="E22" s="271">
        <f>'Authorized Rev Req'!K28</f>
        <v>-3377.8111523794842</v>
      </c>
      <c r="F22" t="s">
        <v>243</v>
      </c>
      <c r="G22" s="67">
        <f t="shared" si="5"/>
        <v>-3377.8111523794842</v>
      </c>
      <c r="H22" s="67">
        <f t="shared" ref="H22:I23" si="8">G22</f>
        <v>-3377.8111523794842</v>
      </c>
      <c r="I22" s="67">
        <f t="shared" si="8"/>
        <v>-3377.8111523794842</v>
      </c>
      <c r="J22" s="67">
        <f>I22</f>
        <v>-3377.8111523794842</v>
      </c>
      <c r="K22" s="272" t="s">
        <v>447</v>
      </c>
      <c r="R22" t="s">
        <v>282</v>
      </c>
      <c r="S22" s="67">
        <f t="shared" si="1"/>
        <v>223582.8734707309</v>
      </c>
      <c r="T22" s="67">
        <f t="shared" si="2"/>
        <v>223582.8734707309</v>
      </c>
      <c r="U22" s="67">
        <f t="shared" si="3"/>
        <v>223582.8734707309</v>
      </c>
      <c r="V22" s="67">
        <f t="shared" si="4"/>
        <v>223582.8734707309</v>
      </c>
      <c r="W22" s="67"/>
      <c r="X22" s="67"/>
    </row>
    <row r="23" spans="2:24">
      <c r="B23" t="s">
        <v>247</v>
      </c>
      <c r="D23" s="271" t="s">
        <v>232</v>
      </c>
      <c r="E23" s="271">
        <f>'Authorized Rev Req'!K30</f>
        <v>244371.67766520652</v>
      </c>
      <c r="F23" t="s">
        <v>248</v>
      </c>
      <c r="G23" s="67">
        <f t="shared" si="5"/>
        <v>244371.67766520652</v>
      </c>
      <c r="H23" s="67">
        <f t="shared" si="8"/>
        <v>244371.67766520652</v>
      </c>
      <c r="I23" s="67">
        <f t="shared" si="8"/>
        <v>244371.67766520652</v>
      </c>
      <c r="J23" s="67">
        <f>I23</f>
        <v>244371.67766520652</v>
      </c>
      <c r="K23" s="272" t="s">
        <v>447</v>
      </c>
      <c r="R23" t="s">
        <v>217</v>
      </c>
      <c r="S23" s="67">
        <f t="shared" si="1"/>
        <v>1710924.6690438676</v>
      </c>
      <c r="T23" s="67">
        <f t="shared" si="2"/>
        <v>1228947.638108626</v>
      </c>
      <c r="U23" s="67">
        <f t="shared" si="3"/>
        <v>1228947.638108626</v>
      </c>
      <c r="V23" s="67">
        <f t="shared" si="4"/>
        <v>1228947.638108626</v>
      </c>
      <c r="X23" s="67"/>
    </row>
    <row r="24" spans="2:24">
      <c r="B24" t="s">
        <v>257</v>
      </c>
      <c r="D24" s="271" t="s">
        <v>258</v>
      </c>
      <c r="E24" s="271">
        <f>'Authorized Rev Req'!K38</f>
        <v>0</v>
      </c>
      <c r="F24" t="s">
        <v>259</v>
      </c>
      <c r="G24" s="67">
        <f t="shared" si="5"/>
        <v>0</v>
      </c>
      <c r="H24" s="67">
        <v>0</v>
      </c>
      <c r="I24" s="67">
        <v>0</v>
      </c>
      <c r="J24" s="67">
        <v>0</v>
      </c>
      <c r="K24" s="272" t="s">
        <v>447</v>
      </c>
      <c r="Q24" s="291"/>
      <c r="R24" t="s">
        <v>170</v>
      </c>
      <c r="S24" s="292">
        <f>SUM(S10:S23)</f>
        <v>19895174.318745676</v>
      </c>
      <c r="T24" s="292">
        <f>SUM(T10:T23)</f>
        <v>17326688.991971869</v>
      </c>
      <c r="U24" s="292">
        <f>SUM(U10:U23)</f>
        <v>17377933.675679106</v>
      </c>
      <c r="V24" s="292">
        <f>SUM(V10:V23)</f>
        <v>17377933.675679106</v>
      </c>
      <c r="W24" s="262"/>
    </row>
    <row r="25" spans="2:24" ht="16.5" customHeight="1">
      <c r="B25" t="s">
        <v>257</v>
      </c>
      <c r="D25" s="271" t="s">
        <v>258</v>
      </c>
      <c r="E25" s="271">
        <f>'Authorized Rev Req'!K39</f>
        <v>0</v>
      </c>
      <c r="F25" t="s">
        <v>225</v>
      </c>
      <c r="G25" s="67">
        <f t="shared" si="5"/>
        <v>0</v>
      </c>
      <c r="H25" s="67">
        <v>0</v>
      </c>
      <c r="I25" s="67">
        <v>0</v>
      </c>
      <c r="J25" s="67">
        <v>0</v>
      </c>
      <c r="K25" s="272" t="s">
        <v>447</v>
      </c>
      <c r="R25" s="293"/>
      <c r="T25" s="262"/>
      <c r="U25" s="262"/>
      <c r="V25" s="262"/>
    </row>
    <row r="26" spans="2:24" ht="14.25" customHeight="1">
      <c r="B26" t="s">
        <v>253</v>
      </c>
      <c r="D26" s="271" t="s">
        <v>454</v>
      </c>
      <c r="E26" s="271">
        <f>'Authorized Rev Req'!K33</f>
        <v>112764.45348588808</v>
      </c>
      <c r="F26" t="s">
        <v>214</v>
      </c>
      <c r="G26" s="67">
        <f>E26</f>
        <v>112764.45348588808</v>
      </c>
      <c r="H26" s="67">
        <v>-27277.375507990251</v>
      </c>
      <c r="I26" s="67">
        <f>H26</f>
        <v>-27277.375507990251</v>
      </c>
      <c r="J26" s="67">
        <f>I26</f>
        <v>-27277.375507990251</v>
      </c>
      <c r="K26" s="272" t="s">
        <v>447</v>
      </c>
      <c r="R26" s="293"/>
      <c r="U26" s="262"/>
      <c r="V26" s="262"/>
    </row>
    <row r="27" spans="2:24">
      <c r="B27" t="s">
        <v>253</v>
      </c>
      <c r="D27" s="271" t="s">
        <v>454</v>
      </c>
      <c r="E27" s="271">
        <f>'Authorized Rev Req'!K34</f>
        <v>13265.78796677478</v>
      </c>
      <c r="F27" t="s">
        <v>225</v>
      </c>
      <c r="G27" s="67">
        <f>E27</f>
        <v>13265.78796677478</v>
      </c>
      <c r="H27" s="67">
        <v>-3586.3856093897089</v>
      </c>
      <c r="I27" s="67">
        <f t="shared" ref="I27:J27" si="9">H27</f>
        <v>-3586.3856093897089</v>
      </c>
      <c r="J27" s="67">
        <f t="shared" si="9"/>
        <v>-3586.3856093897089</v>
      </c>
      <c r="K27" s="272" t="s">
        <v>447</v>
      </c>
      <c r="L27" s="262"/>
      <c r="S27" s="67"/>
      <c r="T27" s="293"/>
      <c r="W27" s="262"/>
    </row>
    <row r="28" spans="2:24">
      <c r="B28" t="s">
        <v>455</v>
      </c>
      <c r="D28" s="271" t="s">
        <v>456</v>
      </c>
      <c r="E28" s="271">
        <f>'Authorized Rev Req'!K44</f>
        <v>401830.0859770244</v>
      </c>
      <c r="F28" t="s">
        <v>402</v>
      </c>
      <c r="G28" s="65">
        <f>E28</f>
        <v>401830.0859770244</v>
      </c>
      <c r="H28" s="65">
        <f t="shared" ref="H28:J29" si="10">G28</f>
        <v>401830.0859770244</v>
      </c>
      <c r="I28" s="65">
        <f t="shared" si="10"/>
        <v>401830.0859770244</v>
      </c>
      <c r="J28" s="67">
        <f t="shared" si="10"/>
        <v>401830.0859770244</v>
      </c>
      <c r="K28" s="272" t="s">
        <v>447</v>
      </c>
      <c r="S28" s="67"/>
      <c r="T28" s="293"/>
    </row>
    <row r="29" spans="2:24">
      <c r="B29" t="s">
        <v>270</v>
      </c>
      <c r="D29" s="271" t="s">
        <v>271</v>
      </c>
      <c r="E29" s="271">
        <f>'Authorized Rev Req'!K45</f>
        <v>2877.9122958559456</v>
      </c>
      <c r="F29" t="s">
        <v>233</v>
      </c>
      <c r="G29" s="65">
        <f>E29</f>
        <v>2877.9122958559456</v>
      </c>
      <c r="H29" s="65">
        <f t="shared" si="10"/>
        <v>2877.9122958559456</v>
      </c>
      <c r="I29" s="65">
        <f t="shared" si="10"/>
        <v>2877.9122958559456</v>
      </c>
      <c r="J29" s="67">
        <f t="shared" si="10"/>
        <v>2877.9122958559456</v>
      </c>
      <c r="K29" s="272" t="s">
        <v>447</v>
      </c>
      <c r="T29" s="262"/>
      <c r="U29" s="262"/>
    </row>
    <row r="30" spans="2:24">
      <c r="B30" t="s">
        <v>280</v>
      </c>
      <c r="D30" s="271" t="s">
        <v>457</v>
      </c>
      <c r="E30" s="271">
        <f>'Authorized Rev Req'!K52</f>
        <v>46451.843589221164</v>
      </c>
      <c r="F30" t="s">
        <v>282</v>
      </c>
      <c r="G30" s="65">
        <f t="shared" ref="G30:G34" si="11">E30</f>
        <v>46451.843589221164</v>
      </c>
      <c r="H30" s="137">
        <f>G30</f>
        <v>46451.843589221164</v>
      </c>
      <c r="I30" s="137">
        <f>H30</f>
        <v>46451.843589221164</v>
      </c>
      <c r="J30" s="89">
        <f>I30</f>
        <v>46451.843589221164</v>
      </c>
      <c r="K30" s="272" t="s">
        <v>447</v>
      </c>
      <c r="T30" s="262"/>
      <c r="U30" s="262"/>
    </row>
    <row r="31" spans="2:24">
      <c r="B31" t="s">
        <v>280</v>
      </c>
      <c r="D31" s="271" t="s">
        <v>457</v>
      </c>
      <c r="E31" s="271">
        <f>'Authorized Rev Req'!K53</f>
        <v>632.17442000000005</v>
      </c>
      <c r="F31" t="s">
        <v>217</v>
      </c>
      <c r="G31" s="137">
        <f t="shared" si="11"/>
        <v>632.17442000000005</v>
      </c>
      <c r="H31" s="65">
        <f t="shared" ref="H31:I33" si="12">G31</f>
        <v>632.17442000000005</v>
      </c>
      <c r="I31" s="65">
        <f t="shared" si="12"/>
        <v>632.17442000000005</v>
      </c>
      <c r="J31" s="89">
        <f>I31</f>
        <v>632.17442000000005</v>
      </c>
      <c r="K31" s="272" t="s">
        <v>447</v>
      </c>
      <c r="T31" s="262"/>
      <c r="U31" s="262"/>
    </row>
    <row r="32" spans="2:24">
      <c r="B32" t="s">
        <v>284</v>
      </c>
      <c r="D32" s="271" t="s">
        <v>458</v>
      </c>
      <c r="E32" s="271">
        <f>'Authorized Rev Req'!K54</f>
        <v>75991.608848547883</v>
      </c>
      <c r="F32" t="s">
        <v>282</v>
      </c>
      <c r="G32" s="65">
        <f t="shared" si="11"/>
        <v>75991.608848547883</v>
      </c>
      <c r="H32" s="65">
        <f t="shared" si="12"/>
        <v>75991.608848547883</v>
      </c>
      <c r="I32" s="65">
        <f t="shared" si="12"/>
        <v>75991.608848547883</v>
      </c>
      <c r="J32" s="89">
        <f>I32</f>
        <v>75991.608848547883</v>
      </c>
      <c r="K32" s="272" t="s">
        <v>447</v>
      </c>
      <c r="L32" s="67"/>
      <c r="M32" s="67"/>
      <c r="O32" s="67"/>
      <c r="P32" s="294"/>
    </row>
    <row r="33" spans="2:16">
      <c r="B33" t="s">
        <v>284</v>
      </c>
      <c r="D33" s="271" t="s">
        <v>458</v>
      </c>
      <c r="E33" s="271">
        <f>'Authorized Rev Req'!K55</f>
        <v>-405.22582</v>
      </c>
      <c r="F33" t="s">
        <v>217</v>
      </c>
      <c r="G33" s="65">
        <f t="shared" si="11"/>
        <v>-405.22582</v>
      </c>
      <c r="H33" s="65">
        <f t="shared" si="12"/>
        <v>-405.22582</v>
      </c>
      <c r="I33" s="65">
        <f t="shared" si="12"/>
        <v>-405.22582</v>
      </c>
      <c r="J33" s="89">
        <f>I33</f>
        <v>-405.22582</v>
      </c>
      <c r="K33" s="272" t="s">
        <v>447</v>
      </c>
      <c r="L33" s="67"/>
      <c r="M33" s="67"/>
      <c r="O33" s="63"/>
      <c r="P33" s="294"/>
    </row>
    <row r="34" spans="2:16">
      <c r="B34" t="s">
        <v>287</v>
      </c>
      <c r="D34" s="271" t="s">
        <v>459</v>
      </c>
      <c r="E34" s="67">
        <f>'Authorized Rev Req'!K56</f>
        <v>101139.42103296188</v>
      </c>
      <c r="F34" t="s">
        <v>282</v>
      </c>
      <c r="G34" s="65">
        <f t="shared" si="11"/>
        <v>101139.42103296188</v>
      </c>
      <c r="H34" s="65">
        <f>G34</f>
        <v>101139.42103296188</v>
      </c>
      <c r="I34" s="65">
        <f>H34</f>
        <v>101139.42103296188</v>
      </c>
      <c r="J34" s="67">
        <f>I34</f>
        <v>101139.42103296188</v>
      </c>
      <c r="K34" s="272" t="s">
        <v>449</v>
      </c>
      <c r="L34" s="67"/>
      <c r="M34" s="67"/>
      <c r="O34" s="67"/>
      <c r="P34" s="294"/>
    </row>
    <row r="35" spans="2:16">
      <c r="B35" t="s">
        <v>295</v>
      </c>
      <c r="D35" s="271" t="s">
        <v>296</v>
      </c>
      <c r="E35" s="271">
        <f>'Authorized Rev Req'!K61</f>
        <v>-35384.072458004637</v>
      </c>
      <c r="F35" t="s">
        <v>214</v>
      </c>
      <c r="G35" s="65">
        <f>E35</f>
        <v>-35384.072458004637</v>
      </c>
      <c r="H35" s="65">
        <f>G35</f>
        <v>-35384.072458004637</v>
      </c>
      <c r="I35" s="65">
        <v>0</v>
      </c>
      <c r="J35" s="67">
        <v>0</v>
      </c>
      <c r="K35" s="272" t="s">
        <v>447</v>
      </c>
    </row>
    <row r="36" spans="2:16">
      <c r="B36" t="s">
        <v>295</v>
      </c>
      <c r="D36" s="271" t="s">
        <v>296</v>
      </c>
      <c r="E36" s="271">
        <f>'Authorized Rev Req'!K62</f>
        <v>-21028.348501689987</v>
      </c>
      <c r="F36" t="s">
        <v>225</v>
      </c>
      <c r="G36" s="65">
        <f>E36</f>
        <v>-21028.348501689987</v>
      </c>
      <c r="H36" s="65">
        <v>-22823.387058155302</v>
      </c>
      <c r="I36" s="65">
        <v>0</v>
      </c>
      <c r="J36" s="67">
        <v>0</v>
      </c>
      <c r="K36" s="272" t="s">
        <v>447</v>
      </c>
    </row>
    <row r="37" spans="2:16">
      <c r="B37" t="s">
        <v>309</v>
      </c>
      <c r="C37" s="40"/>
      <c r="D37" s="271" t="s">
        <v>310</v>
      </c>
      <c r="E37" s="271">
        <f>'Authorized Rev Req'!K76</f>
        <v>0</v>
      </c>
      <c r="F37" t="s">
        <v>214</v>
      </c>
      <c r="G37" s="262">
        <f t="shared" ref="G37:G48" si="13">E37</f>
        <v>0</v>
      </c>
      <c r="H37" s="67">
        <v>0</v>
      </c>
      <c r="I37" s="67">
        <v>0</v>
      </c>
      <c r="J37" s="67">
        <v>0</v>
      </c>
      <c r="K37" s="272" t="s">
        <v>449</v>
      </c>
      <c r="L37" s="67"/>
      <c r="M37" s="67"/>
      <c r="N37" s="40"/>
      <c r="O37" s="67"/>
      <c r="P37" s="294"/>
    </row>
    <row r="38" spans="2:16">
      <c r="B38" t="s">
        <v>309</v>
      </c>
      <c r="C38" s="40"/>
      <c r="D38" s="271" t="s">
        <v>310</v>
      </c>
      <c r="E38" s="271">
        <f>'Authorized Rev Req'!K75</f>
        <v>0</v>
      </c>
      <c r="F38" t="s">
        <v>217</v>
      </c>
      <c r="G38" s="67">
        <f t="shared" si="13"/>
        <v>0</v>
      </c>
      <c r="H38" s="67">
        <v>0</v>
      </c>
      <c r="I38" s="67">
        <v>0</v>
      </c>
      <c r="J38" s="67">
        <v>0</v>
      </c>
      <c r="K38" s="272" t="s">
        <v>449</v>
      </c>
      <c r="L38" s="67"/>
      <c r="M38" s="67"/>
      <c r="N38" s="40"/>
      <c r="O38" s="67"/>
      <c r="P38" s="294"/>
    </row>
    <row r="39" spans="2:16">
      <c r="B39" t="s">
        <v>460</v>
      </c>
      <c r="C39" s="40"/>
      <c r="D39" s="271" t="s">
        <v>306</v>
      </c>
      <c r="E39" s="271">
        <f>'Authorized Rev Req'!K70</f>
        <v>8297.3251670670052</v>
      </c>
      <c r="F39" t="s">
        <v>217</v>
      </c>
      <c r="G39" s="67">
        <f>E39</f>
        <v>8297.3251670670052</v>
      </c>
      <c r="H39" s="67">
        <v>0</v>
      </c>
      <c r="I39" s="67">
        <v>0</v>
      </c>
      <c r="J39" s="67">
        <v>0</v>
      </c>
      <c r="K39" s="272" t="s">
        <v>449</v>
      </c>
      <c r="L39" s="67"/>
      <c r="M39" s="67"/>
      <c r="N39" s="40"/>
      <c r="O39" s="67"/>
      <c r="P39" s="294"/>
    </row>
    <row r="40" spans="2:16">
      <c r="B40" t="s">
        <v>460</v>
      </c>
      <c r="C40" s="40"/>
      <c r="D40" s="271" t="s">
        <v>306</v>
      </c>
      <c r="E40" s="271">
        <f>'Authorized Rev Req'!K71</f>
        <v>4806.2146421102079</v>
      </c>
      <c r="F40" t="s">
        <v>225</v>
      </c>
      <c r="G40" s="67">
        <f>E40</f>
        <v>4806.2146421102079</v>
      </c>
      <c r="H40" s="67">
        <v>0</v>
      </c>
      <c r="I40" s="67"/>
      <c r="J40" s="67"/>
      <c r="K40" s="272" t="s">
        <v>449</v>
      </c>
      <c r="L40" s="67"/>
      <c r="M40" s="67"/>
      <c r="N40" s="40"/>
      <c r="O40" s="67"/>
      <c r="P40" s="294"/>
    </row>
    <row r="41" spans="2:16">
      <c r="B41" t="s">
        <v>460</v>
      </c>
      <c r="C41" s="40"/>
      <c r="D41" s="271" t="s">
        <v>306</v>
      </c>
      <c r="E41" s="271">
        <f>'Authorized Rev Req'!K72</f>
        <v>3730.259924341538</v>
      </c>
      <c r="F41" t="s">
        <v>214</v>
      </c>
      <c r="G41" s="67">
        <f>E41</f>
        <v>3730.259924341538</v>
      </c>
      <c r="H41" s="67">
        <v>0</v>
      </c>
      <c r="I41" s="67">
        <v>0</v>
      </c>
      <c r="J41" s="67">
        <v>0</v>
      </c>
      <c r="K41" s="272" t="s">
        <v>449</v>
      </c>
      <c r="L41" s="67"/>
      <c r="M41" s="67"/>
      <c r="N41" s="40"/>
      <c r="O41" s="67"/>
      <c r="P41" s="294"/>
    </row>
    <row r="42" spans="2:16">
      <c r="B42" t="s">
        <v>311</v>
      </c>
      <c r="C42" s="40"/>
      <c r="D42" s="271" t="s">
        <v>312</v>
      </c>
      <c r="E42" s="280">
        <f>'Authorized Rev Req'!K77</f>
        <v>0</v>
      </c>
      <c r="F42" t="s">
        <v>217</v>
      </c>
      <c r="G42" s="262">
        <f t="shared" si="13"/>
        <v>0</v>
      </c>
      <c r="H42" s="67">
        <v>0</v>
      </c>
      <c r="I42" s="67">
        <v>0</v>
      </c>
      <c r="J42" s="67">
        <v>0</v>
      </c>
      <c r="K42" s="272" t="s">
        <v>449</v>
      </c>
      <c r="L42" s="67"/>
      <c r="M42" s="67"/>
      <c r="O42" s="67"/>
      <c r="P42" s="294"/>
    </row>
    <row r="43" spans="2:16">
      <c r="B43" t="s">
        <v>311</v>
      </c>
      <c r="C43" s="40"/>
      <c r="D43" s="271" t="s">
        <v>312</v>
      </c>
      <c r="E43" s="280">
        <f>'Authorized Rev Req'!K78</f>
        <v>0</v>
      </c>
      <c r="F43" t="s">
        <v>214</v>
      </c>
      <c r="G43" s="262">
        <f t="shared" si="13"/>
        <v>0</v>
      </c>
      <c r="H43" s="67">
        <v>0</v>
      </c>
      <c r="I43" s="67">
        <v>0</v>
      </c>
      <c r="J43" s="67">
        <v>0</v>
      </c>
      <c r="K43" s="272" t="s">
        <v>449</v>
      </c>
      <c r="L43" s="67"/>
      <c r="M43" s="67"/>
      <c r="O43" s="67"/>
      <c r="P43" s="294"/>
    </row>
    <row r="44" spans="2:16">
      <c r="B44" t="s">
        <v>461</v>
      </c>
      <c r="C44" s="40"/>
      <c r="D44" s="271" t="s">
        <v>314</v>
      </c>
      <c r="E44" s="271">
        <f>'Authorized Rev Req'!K79</f>
        <v>210135.89045181416</v>
      </c>
      <c r="F44" t="s">
        <v>214</v>
      </c>
      <c r="G44" s="262">
        <f>E44</f>
        <v>210135.89045181416</v>
      </c>
      <c r="H44" s="67">
        <v>0</v>
      </c>
      <c r="I44" s="67">
        <v>0</v>
      </c>
      <c r="J44" s="67">
        <v>0</v>
      </c>
      <c r="K44" s="272" t="s">
        <v>449</v>
      </c>
      <c r="L44" s="67"/>
      <c r="M44" s="67"/>
      <c r="O44" s="67"/>
      <c r="P44" s="294"/>
    </row>
    <row r="45" spans="2:16">
      <c r="B45" t="s">
        <v>461</v>
      </c>
      <c r="C45" s="40"/>
      <c r="D45" s="271" t="s">
        <v>314</v>
      </c>
      <c r="E45" s="271">
        <f>'Authorized Rev Req'!K80</f>
        <v>546636.98279374978</v>
      </c>
      <c r="F45" t="s">
        <v>217</v>
      </c>
      <c r="G45" s="262">
        <f>E45</f>
        <v>546636.98279374978</v>
      </c>
      <c r="H45" s="67">
        <v>0</v>
      </c>
      <c r="I45" s="67">
        <v>0</v>
      </c>
      <c r="J45" s="67">
        <v>0</v>
      </c>
      <c r="K45" s="272" t="s">
        <v>449</v>
      </c>
      <c r="L45" s="67"/>
      <c r="M45" s="67"/>
      <c r="O45" s="67"/>
      <c r="P45" s="294"/>
    </row>
    <row r="46" spans="2:16">
      <c r="B46" t="s">
        <v>461</v>
      </c>
      <c r="C46" s="40"/>
      <c r="D46" s="271" t="s">
        <v>314</v>
      </c>
      <c r="E46" s="271">
        <v>0</v>
      </c>
      <c r="F46" t="s">
        <v>225</v>
      </c>
      <c r="G46" s="262">
        <f>E46</f>
        <v>0</v>
      </c>
      <c r="H46" s="67">
        <v>7429.6140248375004</v>
      </c>
      <c r="I46" s="67"/>
      <c r="J46" s="67"/>
      <c r="K46" s="272" t="s">
        <v>449</v>
      </c>
      <c r="L46" s="67"/>
      <c r="M46" s="67"/>
      <c r="O46" s="67"/>
      <c r="P46" s="294"/>
    </row>
    <row r="47" spans="2:16">
      <c r="B47" t="s">
        <v>462</v>
      </c>
      <c r="C47" s="40"/>
      <c r="D47" s="271" t="s">
        <v>463</v>
      </c>
      <c r="E47" s="295">
        <f>'Authorized Rev Req'!K85</f>
        <v>48959.963379433757</v>
      </c>
      <c r="F47" t="s">
        <v>214</v>
      </c>
      <c r="G47" s="67">
        <f t="shared" si="13"/>
        <v>48959.963379433757</v>
      </c>
      <c r="H47" s="67">
        <v>0</v>
      </c>
      <c r="I47" s="67">
        <v>0</v>
      </c>
      <c r="J47" s="67">
        <v>0</v>
      </c>
      <c r="K47" s="272" t="s">
        <v>449</v>
      </c>
      <c r="L47" s="67"/>
      <c r="M47" s="67"/>
      <c r="O47" s="67"/>
      <c r="P47" s="294"/>
    </row>
    <row r="48" spans="2:16">
      <c r="B48" t="s">
        <v>462</v>
      </c>
      <c r="C48" s="40"/>
      <c r="D48" s="271" t="s">
        <v>463</v>
      </c>
      <c r="E48" s="295">
        <f>'Authorized Rev Req'!K86</f>
        <v>9285.9628682988223</v>
      </c>
      <c r="F48" t="s">
        <v>225</v>
      </c>
      <c r="G48" s="67">
        <f t="shared" si="13"/>
        <v>9285.9628682988223</v>
      </c>
      <c r="H48" s="67">
        <v>0</v>
      </c>
      <c r="I48" s="67">
        <v>0</v>
      </c>
      <c r="J48" s="67">
        <v>0</v>
      </c>
      <c r="K48" s="272" t="s">
        <v>449</v>
      </c>
      <c r="L48" s="67"/>
      <c r="M48" s="67"/>
      <c r="N48" s="279"/>
      <c r="O48" s="67"/>
      <c r="P48" s="294"/>
    </row>
    <row r="49" spans="2:21">
      <c r="B49" t="s">
        <v>289</v>
      </c>
      <c r="C49" s="40"/>
      <c r="D49" s="271" t="s">
        <v>290</v>
      </c>
      <c r="E49" s="296">
        <f>'Authorized Rev Req'!K57</f>
        <v>-74475.455835575223</v>
      </c>
      <c r="F49" t="s">
        <v>217</v>
      </c>
      <c r="G49" s="65">
        <f>E49</f>
        <v>-74475.455835575223</v>
      </c>
      <c r="H49" s="67">
        <v>0</v>
      </c>
      <c r="I49" s="67">
        <v>0</v>
      </c>
      <c r="J49" s="67">
        <v>0</v>
      </c>
      <c r="K49" s="272" t="s">
        <v>449</v>
      </c>
      <c r="L49" s="67"/>
      <c r="M49" s="67"/>
      <c r="N49" s="40"/>
      <c r="O49" s="67"/>
      <c r="P49" s="294"/>
    </row>
    <row r="50" spans="2:21">
      <c r="B50" t="s">
        <v>291</v>
      </c>
      <c r="C50" s="40"/>
      <c r="D50" s="271" t="s">
        <v>290</v>
      </c>
      <c r="E50" s="296">
        <f>'Authorized Rev Req'!K58</f>
        <v>0</v>
      </c>
      <c r="F50" t="s">
        <v>217</v>
      </c>
      <c r="G50" s="65">
        <f>E50</f>
        <v>0</v>
      </c>
      <c r="H50" s="67">
        <v>0</v>
      </c>
      <c r="I50" s="67">
        <v>0</v>
      </c>
      <c r="J50" s="67">
        <v>0</v>
      </c>
      <c r="K50" s="272" t="s">
        <v>449</v>
      </c>
      <c r="L50" s="67"/>
      <c r="M50" s="67"/>
      <c r="N50" s="40"/>
      <c r="O50" s="67"/>
      <c r="P50" s="294"/>
    </row>
    <row r="51" spans="2:21" ht="14.5" customHeight="1">
      <c r="B51" t="s">
        <v>464</v>
      </c>
      <c r="D51" s="271" t="s">
        <v>465</v>
      </c>
      <c r="E51" s="296">
        <f>'Authorized Rev Req'!K67</f>
        <v>95891.027258263915</v>
      </c>
      <c r="F51" t="s">
        <v>214</v>
      </c>
      <c r="G51" s="67">
        <v>95891.027258263915</v>
      </c>
      <c r="H51" s="262">
        <v>463000</v>
      </c>
      <c r="I51" s="67">
        <f>H51</f>
        <v>463000</v>
      </c>
      <c r="J51" s="67">
        <f>I51</f>
        <v>463000</v>
      </c>
      <c r="K51" s="272" t="s">
        <v>449</v>
      </c>
      <c r="L51" s="67"/>
      <c r="M51" s="67"/>
      <c r="N51" s="40"/>
      <c r="O51" s="67"/>
      <c r="P51" s="294"/>
    </row>
    <row r="52" spans="2:21" ht="14.5" customHeight="1">
      <c r="B52" t="s">
        <v>327</v>
      </c>
      <c r="D52" s="271" t="s">
        <v>328</v>
      </c>
      <c r="E52" s="296">
        <f>'Authorized Rev Req'!K89</f>
        <v>32278.309522205087</v>
      </c>
      <c r="F52" t="s">
        <v>466</v>
      </c>
      <c r="G52" s="67">
        <f>E52</f>
        <v>32278.309522205087</v>
      </c>
      <c r="H52" s="262">
        <v>0</v>
      </c>
      <c r="I52" s="67">
        <f>H52</f>
        <v>0</v>
      </c>
      <c r="J52" s="67">
        <f>I52</f>
        <v>0</v>
      </c>
      <c r="K52" s="272" t="s">
        <v>449</v>
      </c>
      <c r="L52" s="67"/>
      <c r="M52" s="67"/>
      <c r="N52" s="40"/>
      <c r="O52" s="67"/>
      <c r="P52" s="294"/>
    </row>
    <row r="53" spans="2:21" ht="14.5" customHeight="1">
      <c r="B53" t="s">
        <v>327</v>
      </c>
      <c r="D53" s="271" t="s">
        <v>328</v>
      </c>
      <c r="E53" s="296">
        <f>'Authorized Rev Req'!K90</f>
        <v>9846.2071269206372</v>
      </c>
      <c r="F53" t="s">
        <v>225</v>
      </c>
      <c r="G53" s="67">
        <f t="shared" ref="G53:G55" si="14">E53</f>
        <v>9846.2071269206372</v>
      </c>
      <c r="H53" s="262">
        <v>0</v>
      </c>
      <c r="I53" s="67">
        <f t="shared" ref="I53:J53" si="15">H53</f>
        <v>0</v>
      </c>
      <c r="J53" s="67">
        <f t="shared" si="15"/>
        <v>0</v>
      </c>
      <c r="K53" s="272" t="s">
        <v>449</v>
      </c>
      <c r="L53" s="67"/>
      <c r="M53" s="67"/>
      <c r="N53" s="40"/>
      <c r="O53" s="67"/>
      <c r="P53" s="294"/>
    </row>
    <row r="54" spans="2:21">
      <c r="B54" s="297" t="s">
        <v>325</v>
      </c>
      <c r="D54" s="271" t="s">
        <v>326</v>
      </c>
      <c r="E54" s="280">
        <f>'Authorized Rev Req'!K87</f>
        <v>158033.59433360386</v>
      </c>
      <c r="F54" t="s">
        <v>466</v>
      </c>
      <c r="G54" s="67">
        <f t="shared" si="14"/>
        <v>158033.59433360386</v>
      </c>
      <c r="H54" s="262">
        <v>0</v>
      </c>
      <c r="I54" s="67">
        <f t="shared" ref="I54:J54" si="16">H54</f>
        <v>0</v>
      </c>
      <c r="J54" s="67">
        <f t="shared" si="16"/>
        <v>0</v>
      </c>
      <c r="K54" s="272" t="s">
        <v>449</v>
      </c>
      <c r="L54" s="67"/>
      <c r="M54" s="67"/>
      <c r="O54" s="67"/>
      <c r="P54" s="294"/>
    </row>
    <row r="55" spans="2:21">
      <c r="B55" s="297" t="s">
        <v>325</v>
      </c>
      <c r="D55" s="271" t="s">
        <v>326</v>
      </c>
      <c r="E55" s="271">
        <f>'Authorized Rev Req'!K88</f>
        <v>107564.38815294557</v>
      </c>
      <c r="F55" t="s">
        <v>225</v>
      </c>
      <c r="G55" s="67">
        <f t="shared" si="14"/>
        <v>107564.38815294557</v>
      </c>
      <c r="H55" s="262">
        <v>0</v>
      </c>
      <c r="I55" s="67">
        <f t="shared" ref="I55:J55" si="17">H55</f>
        <v>0</v>
      </c>
      <c r="J55" s="67">
        <f t="shared" si="17"/>
        <v>0</v>
      </c>
      <c r="K55" s="272" t="s">
        <v>449</v>
      </c>
      <c r="L55" s="67"/>
      <c r="M55" s="67"/>
      <c r="O55" s="67"/>
      <c r="P55" s="294"/>
    </row>
    <row r="56" spans="2:21">
      <c r="B56" s="267"/>
      <c r="D56" s="40"/>
      <c r="E56" s="271"/>
      <c r="G56" s="67"/>
      <c r="H56" s="67"/>
      <c r="I56" s="67"/>
      <c r="J56" s="67"/>
      <c r="L56" s="67"/>
      <c r="M56" s="67"/>
      <c r="O56" s="67"/>
      <c r="P56" s="294"/>
    </row>
    <row r="57" spans="2:21">
      <c r="B57" s="267"/>
      <c r="D57" s="40"/>
      <c r="E57" s="271"/>
      <c r="G57" s="67"/>
      <c r="H57" s="67"/>
      <c r="I57" s="67"/>
      <c r="J57" s="67"/>
      <c r="L57" s="67"/>
      <c r="M57" s="67"/>
      <c r="O57" s="67"/>
      <c r="P57" s="294"/>
    </row>
    <row r="58" spans="2:21">
      <c r="B58" s="10" t="s">
        <v>334</v>
      </c>
      <c r="C58" s="10"/>
      <c r="E58" s="40"/>
      <c r="G58" s="60"/>
      <c r="H58" s="60"/>
      <c r="I58" s="67"/>
      <c r="J58" s="67"/>
      <c r="K58"/>
    </row>
    <row r="59" spans="2:21">
      <c r="B59" t="s">
        <v>467</v>
      </c>
      <c r="C59" s="10"/>
      <c r="D59" s="271" t="s">
        <v>232</v>
      </c>
      <c r="E59" s="271">
        <f>'Authorized Rev Req'!K97</f>
        <v>-475276.50099999999</v>
      </c>
      <c r="F59" t="s">
        <v>336</v>
      </c>
      <c r="G59" s="67">
        <f t="shared" ref="G59:G64" si="18">E59</f>
        <v>-475276.50099999999</v>
      </c>
      <c r="H59" s="67">
        <f t="shared" ref="H59:I61" si="19">G59</f>
        <v>-475276.50099999999</v>
      </c>
      <c r="I59" s="67">
        <f t="shared" si="19"/>
        <v>-475276.50099999999</v>
      </c>
      <c r="J59" s="67">
        <f>I59</f>
        <v>-475276.50099999999</v>
      </c>
      <c r="K59" s="272" t="s">
        <v>447</v>
      </c>
      <c r="T59" s="293"/>
      <c r="U59" s="293"/>
    </row>
    <row r="60" spans="2:21">
      <c r="B60" t="s">
        <v>468</v>
      </c>
      <c r="D60" s="271" t="s">
        <v>232</v>
      </c>
      <c r="E60" s="271">
        <f>'Authorized Rev Req'!K127</f>
        <v>34390.797931619658</v>
      </c>
      <c r="F60" t="s">
        <v>338</v>
      </c>
      <c r="G60" s="67">
        <f t="shared" si="18"/>
        <v>34390.797931619658</v>
      </c>
      <c r="H60" s="67">
        <f t="shared" si="19"/>
        <v>34390.797931619658</v>
      </c>
      <c r="I60" s="67">
        <f t="shared" si="19"/>
        <v>34390.797931619658</v>
      </c>
      <c r="J60" s="67">
        <f t="shared" ref="J60:J70" si="20">I60</f>
        <v>34390.797931619658</v>
      </c>
      <c r="K60" s="272" t="s">
        <v>447</v>
      </c>
      <c r="S60" s="274"/>
      <c r="T60" s="64"/>
      <c r="U60" s="65"/>
    </row>
    <row r="61" spans="2:21">
      <c r="B61" t="s">
        <v>340</v>
      </c>
      <c r="C61" s="10"/>
      <c r="D61" s="271" t="s">
        <v>469</v>
      </c>
      <c r="E61" s="271">
        <f>'Authorized Rev Req'!K100</f>
        <v>76117.978020134644</v>
      </c>
      <c r="F61" t="s">
        <v>214</v>
      </c>
      <c r="G61" s="67">
        <f t="shared" si="18"/>
        <v>76117.978020134644</v>
      </c>
      <c r="H61" s="67">
        <f>G61</f>
        <v>76117.978020134644</v>
      </c>
      <c r="I61" s="67">
        <f t="shared" si="19"/>
        <v>76117.978020134644</v>
      </c>
      <c r="J61" s="67">
        <f t="shared" si="20"/>
        <v>76117.978020134644</v>
      </c>
      <c r="K61" s="272" t="s">
        <v>447</v>
      </c>
      <c r="T61" s="293"/>
      <c r="U61" s="293"/>
    </row>
    <row r="62" spans="2:21">
      <c r="B62" t="s">
        <v>375</v>
      </c>
      <c r="C62" s="10"/>
      <c r="D62" s="271" t="s">
        <v>376</v>
      </c>
      <c r="E62" s="271">
        <f>'Authorized Rev Req'!K120</f>
        <v>120736.87385986045</v>
      </c>
      <c r="F62" t="s">
        <v>338</v>
      </c>
      <c r="G62" s="67">
        <f t="shared" si="18"/>
        <v>120736.87385986045</v>
      </c>
      <c r="H62" s="67">
        <f t="shared" ref="H62:I64" si="21">G62</f>
        <v>120736.87385986045</v>
      </c>
      <c r="I62" s="67">
        <f t="shared" si="21"/>
        <v>120736.87385986045</v>
      </c>
      <c r="J62" s="67">
        <f t="shared" si="20"/>
        <v>120736.87385986045</v>
      </c>
      <c r="K62" s="272" t="s">
        <v>447</v>
      </c>
      <c r="T62" s="64"/>
      <c r="U62" s="65"/>
    </row>
    <row r="63" spans="2:21">
      <c r="B63" t="s">
        <v>377</v>
      </c>
      <c r="C63" s="10"/>
      <c r="D63" s="271" t="s">
        <v>376</v>
      </c>
      <c r="E63" s="271">
        <f>'Authorized Rev Req'!K121</f>
        <v>73514.257494181598</v>
      </c>
      <c r="F63" t="s">
        <v>338</v>
      </c>
      <c r="G63" s="67">
        <f>E63</f>
        <v>73514.257494181598</v>
      </c>
      <c r="H63" s="67">
        <v>65337.176454259301</v>
      </c>
      <c r="I63" s="67">
        <f>H63</f>
        <v>65337.176454259301</v>
      </c>
      <c r="J63" s="67">
        <f t="shared" si="20"/>
        <v>65337.176454259301</v>
      </c>
      <c r="K63" s="272" t="s">
        <v>447</v>
      </c>
      <c r="S63" s="274"/>
      <c r="T63" s="64"/>
      <c r="U63" s="65"/>
    </row>
    <row r="64" spans="2:21">
      <c r="B64" t="s">
        <v>470</v>
      </c>
      <c r="D64" s="271" t="s">
        <v>350</v>
      </c>
      <c r="E64" s="271">
        <f>'Authorized Rev Req'!K105</f>
        <v>111052.18108000001</v>
      </c>
      <c r="F64" t="s">
        <v>214</v>
      </c>
      <c r="G64" s="67">
        <f t="shared" si="18"/>
        <v>111052.18108000001</v>
      </c>
      <c r="H64" s="67">
        <f>G64</f>
        <v>111052.18108000001</v>
      </c>
      <c r="I64" s="67">
        <f t="shared" si="21"/>
        <v>111052.18108000001</v>
      </c>
      <c r="J64" s="67">
        <f t="shared" si="20"/>
        <v>111052.18108000001</v>
      </c>
      <c r="K64" s="272" t="s">
        <v>447</v>
      </c>
      <c r="T64" s="64"/>
      <c r="U64" s="65"/>
    </row>
    <row r="65" spans="2:21" ht="14.25" customHeight="1">
      <c r="B65" t="s">
        <v>471</v>
      </c>
      <c r="D65" s="271" t="s">
        <v>345</v>
      </c>
      <c r="E65" s="271">
        <f>'Authorized Rev Req'!K102</f>
        <v>24996.146000000001</v>
      </c>
      <c r="F65" t="s">
        <v>214</v>
      </c>
      <c r="G65" s="67">
        <f>E65</f>
        <v>24996.146000000001</v>
      </c>
      <c r="H65" s="67">
        <v>24700</v>
      </c>
      <c r="I65" s="67">
        <f>H65</f>
        <v>24700</v>
      </c>
      <c r="J65" s="67">
        <f>I65</f>
        <v>24700</v>
      </c>
      <c r="K65" s="272" t="s">
        <v>447</v>
      </c>
      <c r="T65" s="64"/>
      <c r="U65" s="65"/>
    </row>
    <row r="66" spans="2:21">
      <c r="B66" t="s">
        <v>329</v>
      </c>
      <c r="D66" s="271" t="s">
        <v>472</v>
      </c>
      <c r="E66" s="271">
        <f>'Authorized Rev Req'!K91</f>
        <v>26342.400000000001</v>
      </c>
      <c r="F66" t="s">
        <v>214</v>
      </c>
      <c r="G66" s="67">
        <f>E66</f>
        <v>26342.400000000001</v>
      </c>
      <c r="H66" s="67"/>
      <c r="I66" s="67">
        <v>0</v>
      </c>
      <c r="J66" s="67">
        <v>0</v>
      </c>
      <c r="K66" s="272" t="s">
        <v>449</v>
      </c>
      <c r="T66" s="64"/>
      <c r="U66" s="65"/>
    </row>
    <row r="67" spans="2:21">
      <c r="B67" t="s">
        <v>329</v>
      </c>
      <c r="D67" s="271" t="s">
        <v>472</v>
      </c>
      <c r="E67" s="271">
        <v>0</v>
      </c>
      <c r="F67" t="s">
        <v>233</v>
      </c>
      <c r="G67" s="67">
        <v>0</v>
      </c>
      <c r="H67" s="91">
        <v>-14313.6</v>
      </c>
      <c r="I67" s="67">
        <v>0</v>
      </c>
      <c r="J67" s="67">
        <v>0</v>
      </c>
      <c r="K67" s="272" t="s">
        <v>449</v>
      </c>
      <c r="T67" s="64"/>
      <c r="U67" s="65"/>
    </row>
    <row r="68" spans="2:21">
      <c r="B68" t="s">
        <v>329</v>
      </c>
      <c r="D68" s="271" t="s">
        <v>472</v>
      </c>
      <c r="E68" s="271">
        <v>0</v>
      </c>
      <c r="F68" t="s">
        <v>421</v>
      </c>
      <c r="G68" s="67">
        <v>0</v>
      </c>
      <c r="H68" s="67">
        <v>-12028.800000000001</v>
      </c>
      <c r="I68" s="67">
        <v>0</v>
      </c>
      <c r="J68" s="67">
        <v>0</v>
      </c>
      <c r="K68" s="272" t="s">
        <v>449</v>
      </c>
      <c r="T68" s="64"/>
      <c r="U68" s="65"/>
    </row>
    <row r="69" spans="2:21">
      <c r="B69" t="s">
        <v>473</v>
      </c>
      <c r="D69" s="271" t="s">
        <v>366</v>
      </c>
      <c r="E69" s="271">
        <f>'Authorized Rev Req'!K118</f>
        <v>90585.031000000003</v>
      </c>
      <c r="F69" t="s">
        <v>338</v>
      </c>
      <c r="G69" s="67">
        <f>E69</f>
        <v>90585.031000000003</v>
      </c>
      <c r="H69" s="67">
        <v>90585.031000000003</v>
      </c>
      <c r="I69" s="67">
        <f t="shared" ref="I69" si="22">H69</f>
        <v>90585.031000000003</v>
      </c>
      <c r="J69" s="67">
        <f t="shared" si="20"/>
        <v>90585.031000000003</v>
      </c>
      <c r="K69" s="272" t="s">
        <v>447</v>
      </c>
    </row>
    <row r="70" spans="2:21">
      <c r="B70" t="s">
        <v>374</v>
      </c>
      <c r="D70" s="271" t="s">
        <v>366</v>
      </c>
      <c r="E70" s="271">
        <f>'Authorized Rev Req'!K119</f>
        <v>-4800</v>
      </c>
      <c r="F70" t="s">
        <v>338</v>
      </c>
      <c r="G70" s="67">
        <f>E70</f>
        <v>-4800</v>
      </c>
      <c r="H70" s="67">
        <v>0</v>
      </c>
      <c r="I70" s="67">
        <v>0</v>
      </c>
      <c r="J70" s="67">
        <f t="shared" si="20"/>
        <v>0</v>
      </c>
      <c r="K70" s="272" t="s">
        <v>449</v>
      </c>
    </row>
    <row r="71" spans="2:21">
      <c r="B71" t="s">
        <v>365</v>
      </c>
      <c r="D71" s="271" t="s">
        <v>366</v>
      </c>
      <c r="E71" s="271">
        <f>'Authorized Rev Req'!K114</f>
        <v>11830.16</v>
      </c>
      <c r="F71" t="s">
        <v>338</v>
      </c>
      <c r="G71" s="67">
        <f>E71</f>
        <v>11830.16</v>
      </c>
      <c r="H71" s="67">
        <v>11830.16</v>
      </c>
      <c r="I71" s="67">
        <v>11830.16</v>
      </c>
      <c r="J71" s="67">
        <v>11830.16</v>
      </c>
      <c r="K71" s="272" t="s">
        <v>447</v>
      </c>
      <c r="M71" s="274"/>
    </row>
    <row r="72" spans="2:21">
      <c r="B72" t="s">
        <v>369</v>
      </c>
      <c r="D72" s="271" t="s">
        <v>370</v>
      </c>
      <c r="E72" s="271">
        <f>'Authorized Rev Req'!K116</f>
        <v>75156.70939199999</v>
      </c>
      <c r="F72" t="s">
        <v>338</v>
      </c>
      <c r="G72" s="271">
        <f t="shared" ref="G72:G75" si="23">E72</f>
        <v>75156.70939199999</v>
      </c>
      <c r="H72" s="67">
        <v>74990.000000000015</v>
      </c>
      <c r="I72" s="67">
        <v>74990.000000000015</v>
      </c>
      <c r="J72" s="67">
        <v>74990.000000000015</v>
      </c>
      <c r="K72" s="272" t="s">
        <v>447</v>
      </c>
    </row>
    <row r="73" spans="2:21">
      <c r="B73" t="s">
        <v>392</v>
      </c>
      <c r="D73" s="271" t="s">
        <v>232</v>
      </c>
      <c r="E73" s="92">
        <f>'Authorized Rev Req'!K132</f>
        <v>10171.05098444241</v>
      </c>
      <c r="F73" t="s">
        <v>338</v>
      </c>
      <c r="G73" s="271">
        <f t="shared" si="23"/>
        <v>10171.05098444241</v>
      </c>
      <c r="H73" s="67">
        <f t="shared" ref="H73:J74" si="24">G73</f>
        <v>10171.05098444241</v>
      </c>
      <c r="I73" s="67">
        <f t="shared" si="24"/>
        <v>10171.05098444241</v>
      </c>
      <c r="J73" s="67">
        <f t="shared" si="24"/>
        <v>10171.05098444241</v>
      </c>
      <c r="K73" s="272" t="s">
        <v>447</v>
      </c>
      <c r="L73" s="67"/>
      <c r="M73" s="67"/>
      <c r="O73" s="67"/>
      <c r="P73" s="294"/>
    </row>
    <row r="74" spans="2:21">
      <c r="B74" t="s">
        <v>395</v>
      </c>
      <c r="D74" s="271" t="s">
        <v>232</v>
      </c>
      <c r="E74" s="92">
        <f>'Authorized Rev Req'!K134</f>
        <v>-1086.864128346406</v>
      </c>
      <c r="F74" t="s">
        <v>338</v>
      </c>
      <c r="G74" s="271">
        <f t="shared" si="23"/>
        <v>-1086.864128346406</v>
      </c>
      <c r="H74" s="67">
        <f t="shared" si="24"/>
        <v>-1086.864128346406</v>
      </c>
      <c r="I74" s="67">
        <f t="shared" si="24"/>
        <v>-1086.864128346406</v>
      </c>
      <c r="J74" s="67">
        <f t="shared" si="24"/>
        <v>-1086.864128346406</v>
      </c>
      <c r="K74" s="272" t="s">
        <v>447</v>
      </c>
      <c r="L74" s="67"/>
      <c r="M74" s="67"/>
      <c r="O74" s="67"/>
      <c r="P74" s="294"/>
    </row>
    <row r="75" spans="2:21">
      <c r="B75" t="s">
        <v>398</v>
      </c>
      <c r="D75" s="271" t="s">
        <v>232</v>
      </c>
      <c r="E75" s="92">
        <f>'Authorized Rev Req'!K136</f>
        <v>16263.798784086401</v>
      </c>
      <c r="F75" t="s">
        <v>338</v>
      </c>
      <c r="G75" s="271">
        <f t="shared" si="23"/>
        <v>16263.798784086401</v>
      </c>
      <c r="H75" s="67">
        <f>G75</f>
        <v>16263.798784086401</v>
      </c>
      <c r="I75" s="67">
        <v>0</v>
      </c>
      <c r="J75" s="67">
        <v>0</v>
      </c>
      <c r="K75" s="272" t="s">
        <v>447</v>
      </c>
      <c r="L75" s="67"/>
      <c r="M75" s="67"/>
      <c r="O75" s="67"/>
      <c r="P75" s="294"/>
    </row>
    <row r="76" spans="2:21">
      <c r="D76" s="271"/>
      <c r="E76" s="92"/>
      <c r="G76" s="271"/>
      <c r="H76" s="89"/>
      <c r="I76" s="67"/>
      <c r="J76" s="67"/>
      <c r="K76" s="272" t="s">
        <v>447</v>
      </c>
      <c r="L76" s="67"/>
      <c r="M76" s="67"/>
      <c r="O76" s="67"/>
      <c r="P76" s="294"/>
    </row>
    <row r="77" spans="2:21">
      <c r="B77" s="267" t="s">
        <v>380</v>
      </c>
      <c r="D77" s="271" t="s">
        <v>474</v>
      </c>
      <c r="E77" s="280">
        <f>'Authorized Rev Req'!K123</f>
        <v>9611.7630000000008</v>
      </c>
      <c r="F77" t="s">
        <v>338</v>
      </c>
      <c r="G77" s="271">
        <f t="shared" ref="G77:G80" si="25">E77</f>
        <v>9611.7630000000008</v>
      </c>
      <c r="H77" s="67">
        <f>G77</f>
        <v>9611.7630000000008</v>
      </c>
      <c r="I77" s="67">
        <v>0</v>
      </c>
      <c r="J77" s="67">
        <v>0</v>
      </c>
      <c r="K77" s="272" t="s">
        <v>447</v>
      </c>
      <c r="L77" s="67"/>
      <c r="M77" s="67"/>
      <c r="N77" s="67"/>
      <c r="O77" s="67"/>
      <c r="P77" s="294"/>
    </row>
    <row r="78" spans="2:21">
      <c r="B78" t="s">
        <v>404</v>
      </c>
      <c r="D78" s="271" t="s">
        <v>475</v>
      </c>
      <c r="E78" s="271">
        <f>'Authorized Rev Req'!K140</f>
        <v>239073.677</v>
      </c>
      <c r="F78" t="s">
        <v>338</v>
      </c>
      <c r="G78" s="271">
        <f t="shared" si="25"/>
        <v>239073.677</v>
      </c>
      <c r="H78" s="67">
        <f>G78</f>
        <v>239073.677</v>
      </c>
      <c r="I78" s="67">
        <f t="shared" ref="I78:J78" si="26">H78</f>
        <v>239073.677</v>
      </c>
      <c r="J78" s="67">
        <f t="shared" si="26"/>
        <v>239073.677</v>
      </c>
      <c r="K78" s="272" t="s">
        <v>449</v>
      </c>
      <c r="L78" s="67"/>
      <c r="M78" s="67"/>
      <c r="N78" s="279"/>
      <c r="O78" s="67"/>
      <c r="P78" s="294"/>
    </row>
    <row r="79" spans="2:21">
      <c r="B79" s="267" t="s">
        <v>409</v>
      </c>
      <c r="D79" s="271" t="s">
        <v>410</v>
      </c>
      <c r="E79" s="271">
        <f>'Authorized Rev Req'!K143</f>
        <v>-4230.9560000000001</v>
      </c>
      <c r="F79" t="s">
        <v>338</v>
      </c>
      <c r="G79" s="271">
        <f t="shared" si="25"/>
        <v>-4230.9560000000001</v>
      </c>
      <c r="H79" s="67">
        <v>0</v>
      </c>
      <c r="I79" s="67">
        <v>0</v>
      </c>
      <c r="J79" s="67">
        <v>0</v>
      </c>
      <c r="K79" s="272" t="s">
        <v>449</v>
      </c>
    </row>
    <row r="80" spans="2:21">
      <c r="B80" s="267" t="s">
        <v>412</v>
      </c>
      <c r="D80" s="271" t="s">
        <v>413</v>
      </c>
      <c r="E80" s="271">
        <f>'Authorized Rev Req'!K145</f>
        <v>541.50780096000005</v>
      </c>
      <c r="F80" t="s">
        <v>338</v>
      </c>
      <c r="G80" s="60">
        <f t="shared" si="25"/>
        <v>541.50780096000005</v>
      </c>
      <c r="H80" s="67">
        <v>0</v>
      </c>
      <c r="I80" s="67">
        <v>0</v>
      </c>
      <c r="J80" s="67">
        <v>0</v>
      </c>
      <c r="K80" s="272" t="s">
        <v>449</v>
      </c>
    </row>
    <row r="81" spans="2:16">
      <c r="B81" s="267"/>
      <c r="E81" s="271"/>
      <c r="G81" s="60"/>
      <c r="H81" s="60"/>
      <c r="I81" s="67"/>
      <c r="J81" s="67"/>
    </row>
    <row r="82" spans="2:16">
      <c r="B82" s="298" t="s">
        <v>476</v>
      </c>
      <c r="E82" s="93"/>
      <c r="G82" s="60"/>
      <c r="H82" s="60"/>
      <c r="I82" s="67"/>
      <c r="J82" s="67"/>
    </row>
    <row r="83" spans="2:16">
      <c r="B83" s="274" t="s">
        <v>233</v>
      </c>
      <c r="D83" s="271" t="s">
        <v>477</v>
      </c>
      <c r="E83" s="271">
        <f>SUMIFS('Authorized Rev Req'!$K:$K,'Authorized Rev Req'!$L:$L,F83,'Authorized Rev Req'!$M:$M,"Y")</f>
        <v>0</v>
      </c>
      <c r="F83" t="s">
        <v>233</v>
      </c>
      <c r="G83" s="262">
        <f t="shared" ref="G83" si="27">E83</f>
        <v>0</v>
      </c>
      <c r="H83" s="272"/>
      <c r="I83" s="67"/>
      <c r="J83" s="67"/>
      <c r="K83" s="272" t="s">
        <v>447</v>
      </c>
    </row>
    <row r="84" spans="2:16">
      <c r="B84" s="274" t="s">
        <v>214</v>
      </c>
      <c r="D84" s="271" t="s">
        <v>478</v>
      </c>
      <c r="E84" s="271">
        <f>SUMIFS('Authorized Rev Req'!$K:$K,'Authorized Rev Req'!$L:$L,F84,'Authorized Rev Req'!$M:$M,"Y")</f>
        <v>1506159.8659514075</v>
      </c>
      <c r="F84" s="274" t="s">
        <v>214</v>
      </c>
      <c r="G84" s="272">
        <f>E84</f>
        <v>1506159.8659514075</v>
      </c>
      <c r="H84" s="271">
        <f>SUMIFS('Authorized Rev Req'!$K:$K,'Authorized Rev Req'!$L:$L,F84,'Authorized Rev Req'!$M:$M,"Y", 'Authorized Rev Req'!$N:$N, "Y")</f>
        <v>275524.73725355108</v>
      </c>
      <c r="I84" s="271">
        <f>H84</f>
        <v>275524.73725355108</v>
      </c>
      <c r="J84" s="271">
        <f>I84</f>
        <v>275524.73725355108</v>
      </c>
      <c r="K84" s="272" t="s">
        <v>447</v>
      </c>
      <c r="N84" s="274"/>
    </row>
    <row r="85" spans="2:16">
      <c r="B85" s="274" t="s">
        <v>217</v>
      </c>
      <c r="D85" s="271" t="s">
        <v>478</v>
      </c>
      <c r="E85" s="271">
        <f>SUMIFS('Authorized Rev Req'!$K:$K,'Authorized Rev Req'!$L:$L,F85,'Authorized Rev Req'!$M:$M,"Y")</f>
        <v>48167.444649081401</v>
      </c>
      <c r="F85" s="274" t="s">
        <v>217</v>
      </c>
      <c r="G85" s="272">
        <f t="shared" ref="G85:G91" si="28">E85</f>
        <v>48167.444649081401</v>
      </c>
      <c r="H85" s="271">
        <f>SUMIFS('Authorized Rev Req'!$K:$K,'Authorized Rev Req'!$L:$L,F85,'Authorized Rev Req'!$M:$M,"Y", 'Authorized Rev Req'!$N:$N, "Y")</f>
        <v>46649.265839081403</v>
      </c>
      <c r="I85" s="271">
        <f t="shared" ref="I85:J85" si="29">H85</f>
        <v>46649.265839081403</v>
      </c>
      <c r="J85" s="271">
        <f t="shared" si="29"/>
        <v>46649.265839081403</v>
      </c>
      <c r="K85" s="272" t="s">
        <v>447</v>
      </c>
      <c r="N85" s="274"/>
    </row>
    <row r="86" spans="2:16">
      <c r="B86" s="274" t="s">
        <v>248</v>
      </c>
      <c r="D86" s="271" t="s">
        <v>477</v>
      </c>
      <c r="E86" s="271">
        <f>SUMIFS('Authorized Rev Req'!$K:$K,'Authorized Rev Req'!$L:$L,F86,'Authorized Rev Req'!$M:$M,"Y")</f>
        <v>186758.54768650109</v>
      </c>
      <c r="F86" s="274" t="s">
        <v>248</v>
      </c>
      <c r="G86" s="272">
        <f t="shared" si="28"/>
        <v>186758.54768650109</v>
      </c>
      <c r="H86" s="271">
        <f>SUMIFS('Authorized Rev Req'!$K:$K,'Authorized Rev Req'!$L:$L,F86,'Authorized Rev Req'!$M:$M,"Y", 'Authorized Rev Req'!$N:$N, "Y")</f>
        <v>0</v>
      </c>
      <c r="I86" s="271">
        <f t="shared" ref="I86:J86" si="30">H86</f>
        <v>0</v>
      </c>
      <c r="J86" s="271">
        <f t="shared" si="30"/>
        <v>0</v>
      </c>
      <c r="K86" s="272" t="s">
        <v>447</v>
      </c>
      <c r="N86" s="274"/>
    </row>
    <row r="87" spans="2:16">
      <c r="B87" s="274" t="s">
        <v>338</v>
      </c>
      <c r="D87" s="271" t="s">
        <v>478</v>
      </c>
      <c r="E87" s="271">
        <f>SUMIFS('Authorized Rev Req'!$K:$K,'Authorized Rev Req'!$L:$L,F87,'Authorized Rev Req'!$M:$M,"Y")</f>
        <v>72548.007442019763</v>
      </c>
      <c r="F87" s="274" t="s">
        <v>338</v>
      </c>
      <c r="G87" s="272">
        <f t="shared" si="28"/>
        <v>72548.007442019763</v>
      </c>
      <c r="H87" s="271">
        <f>SUMIFS('Authorized Rev Req'!$K:$K,'Authorized Rev Req'!$L:$L,F87,'Authorized Rev Req'!$M:$M,"Y", 'Authorized Rev Req'!$N:$N, "Y")</f>
        <v>263091.59736561868</v>
      </c>
      <c r="I87" s="271">
        <f t="shared" ref="I87:J87" si="31">H87</f>
        <v>263091.59736561868</v>
      </c>
      <c r="J87" s="271">
        <f t="shared" si="31"/>
        <v>263091.59736561868</v>
      </c>
      <c r="K87" s="272" t="s">
        <v>447</v>
      </c>
      <c r="N87" s="274"/>
    </row>
    <row r="88" spans="2:16">
      <c r="B88" s="274" t="s">
        <v>259</v>
      </c>
      <c r="D88" s="271" t="s">
        <v>478</v>
      </c>
      <c r="E88" s="271">
        <f>SUMIFS('Authorized Rev Req'!$K:$K,'Authorized Rev Req'!$L:$L,F88,'Authorized Rev Req'!$M:$M,"Y")</f>
        <v>-1604.9394941091518</v>
      </c>
      <c r="F88" s="274" t="s">
        <v>259</v>
      </c>
      <c r="G88" s="272">
        <f t="shared" si="28"/>
        <v>-1604.9394941091518</v>
      </c>
      <c r="H88" s="271">
        <f>SUMIFS('Authorized Rev Req'!$K:$K,'Authorized Rev Req'!$L:$L,F88,'Authorized Rev Req'!$M:$M,"Y", 'Authorized Rev Req'!$N:$N, "Y")</f>
        <v>0</v>
      </c>
      <c r="I88" s="271">
        <f t="shared" ref="I88:J88" si="32">H88</f>
        <v>0</v>
      </c>
      <c r="J88" s="271">
        <f t="shared" si="32"/>
        <v>0</v>
      </c>
      <c r="K88" s="272" t="s">
        <v>447</v>
      </c>
      <c r="N88" s="274"/>
    </row>
    <row r="89" spans="2:16">
      <c r="B89" s="274" t="s">
        <v>242</v>
      </c>
      <c r="D89" s="271" t="s">
        <v>478</v>
      </c>
      <c r="E89" s="271">
        <f>SUMIFS('Authorized Rev Req'!$K:$K,'Authorized Rev Req'!$L:$L,F89,'Authorized Rev Req'!$M:$M,"Y")</f>
        <v>1685.3200572805854</v>
      </c>
      <c r="F89" s="274" t="s">
        <v>242</v>
      </c>
      <c r="G89" s="272">
        <f t="shared" si="28"/>
        <v>1685.3200572805854</v>
      </c>
      <c r="H89" s="271">
        <f>SUMIFS('Authorized Rev Req'!$K:$K,'Authorized Rev Req'!$L:$L,F89,'Authorized Rev Req'!$M:$M,"Y", 'Authorized Rev Req'!$N:$N, "Y")</f>
        <v>0</v>
      </c>
      <c r="I89" s="271">
        <f t="shared" ref="I89:J89" si="33">H89</f>
        <v>0</v>
      </c>
      <c r="J89" s="271">
        <f t="shared" si="33"/>
        <v>0</v>
      </c>
      <c r="K89" s="272" t="s">
        <v>447</v>
      </c>
      <c r="M89" s="262"/>
      <c r="N89" s="274"/>
    </row>
    <row r="90" spans="2:16">
      <c r="B90" s="274" t="s">
        <v>243</v>
      </c>
      <c r="D90" s="271" t="s">
        <v>477</v>
      </c>
      <c r="E90" s="271">
        <f>SUMIFS('Authorized Rev Req'!$K:$K,'Authorized Rev Req'!$L:$L,F90,'Authorized Rev Req'!$M:$M,"Y")</f>
        <v>23369.877054782319</v>
      </c>
      <c r="F90" s="274" t="s">
        <v>243</v>
      </c>
      <c r="G90" s="272">
        <f t="shared" si="28"/>
        <v>23369.877054782319</v>
      </c>
      <c r="H90" s="271">
        <f>SUMIFS('Authorized Rev Req'!$K:$K,'Authorized Rev Req'!$L:$L,F90,'Authorized Rev Req'!$M:$M,"Y", 'Authorized Rev Req'!$N:$N, "Y")</f>
        <v>0</v>
      </c>
      <c r="I90" s="271">
        <f t="shared" ref="I90:J90" si="34">H90</f>
        <v>0</v>
      </c>
      <c r="J90" s="271">
        <f t="shared" si="34"/>
        <v>0</v>
      </c>
      <c r="K90" s="272" t="s">
        <v>447</v>
      </c>
      <c r="N90" s="274"/>
    </row>
    <row r="91" spans="2:16">
      <c r="B91" s="274" t="s">
        <v>225</v>
      </c>
      <c r="D91" s="271" t="s">
        <v>477</v>
      </c>
      <c r="E91" s="271">
        <f>SUMIFS('Authorized Rev Req'!$K:$K,'Authorized Rev Req'!$L:$L,F91,'Authorized Rev Req'!$M:$M,"Y")</f>
        <v>629212.87142456218</v>
      </c>
      <c r="F91" s="274" t="s">
        <v>225</v>
      </c>
      <c r="G91" s="272">
        <f t="shared" si="28"/>
        <v>629212.87142456218</v>
      </c>
      <c r="H91" s="271">
        <f>SUMIFS('Authorized Rev Req'!$K:$K,'Authorized Rev Req'!$L:$L,F91,'Authorized Rev Req'!$M:$M,"Y", 'Authorized Rev Req'!$N:$N, "Y")</f>
        <v>654.55504240994981</v>
      </c>
      <c r="I91" s="271">
        <f t="shared" ref="I91:J91" si="35">H91</f>
        <v>654.55504240994981</v>
      </c>
      <c r="J91" s="271">
        <f t="shared" si="35"/>
        <v>654.55504240994981</v>
      </c>
      <c r="K91" s="272" t="s">
        <v>447</v>
      </c>
      <c r="L91" s="272"/>
      <c r="M91" s="262"/>
      <c r="N91" s="274"/>
    </row>
    <row r="92" spans="2:16">
      <c r="B92" s="274"/>
      <c r="D92" s="271"/>
      <c r="E92" s="92"/>
      <c r="G92" s="60"/>
      <c r="H92" s="60"/>
      <c r="I92" s="67"/>
      <c r="J92" s="67"/>
    </row>
    <row r="93" spans="2:16">
      <c r="B93" s="10" t="s">
        <v>417</v>
      </c>
      <c r="D93" s="271"/>
      <c r="E93" s="92"/>
      <c r="G93" s="60"/>
      <c r="H93" s="60"/>
      <c r="I93" s="67"/>
      <c r="J93" s="67"/>
      <c r="L93" s="272"/>
    </row>
    <row r="94" spans="2:16">
      <c r="B94" t="s">
        <v>479</v>
      </c>
      <c r="D94" s="271" t="s">
        <v>480</v>
      </c>
      <c r="E94" s="271">
        <f>'Authorized Rev Req'!K151</f>
        <v>2580189.8596306657</v>
      </c>
      <c r="F94" t="s">
        <v>421</v>
      </c>
      <c r="G94" s="67">
        <f>E94</f>
        <v>2580189.8596306657</v>
      </c>
      <c r="H94" s="67">
        <f t="shared" ref="H94:J95" si="36">G94</f>
        <v>2580189.8596306657</v>
      </c>
      <c r="I94" s="67">
        <f t="shared" si="36"/>
        <v>2580189.8596306657</v>
      </c>
      <c r="J94" s="67">
        <f t="shared" si="36"/>
        <v>2580189.8596306657</v>
      </c>
      <c r="K94" s="272" t="s">
        <v>447</v>
      </c>
      <c r="M94" s="67"/>
      <c r="N94" s="67"/>
      <c r="P94" s="294"/>
    </row>
    <row r="95" spans="2:16">
      <c r="B95" s="274" t="s">
        <v>481</v>
      </c>
      <c r="D95" s="271" t="s">
        <v>482</v>
      </c>
      <c r="E95" s="271">
        <f>SUM('Authorized Rev Req'!K152:K155)</f>
        <v>355331.38588014222</v>
      </c>
      <c r="F95" t="s">
        <v>425</v>
      </c>
      <c r="G95" s="67">
        <f>E95</f>
        <v>355331.38588014222</v>
      </c>
      <c r="H95" s="67">
        <f>G95-'Authorized Rev Req'!K155</f>
        <v>379071.98008906806</v>
      </c>
      <c r="I95" s="67">
        <f t="shared" si="36"/>
        <v>379071.98008906806</v>
      </c>
      <c r="J95" s="67">
        <f t="shared" si="36"/>
        <v>379071.98008906806</v>
      </c>
      <c r="K95" s="272" t="s">
        <v>447</v>
      </c>
      <c r="M95" s="262"/>
      <c r="N95" s="279"/>
      <c r="O95" s="262"/>
      <c r="P95" s="262"/>
    </row>
    <row r="96" spans="2:16">
      <c r="E96" s="92"/>
      <c r="G96" s="67"/>
      <c r="H96" s="67"/>
      <c r="I96" s="67"/>
      <c r="J96" s="67"/>
      <c r="L96" s="67"/>
      <c r="M96" s="67"/>
      <c r="N96" s="60"/>
      <c r="O96" s="60"/>
      <c r="P96" s="79"/>
    </row>
    <row r="97" spans="2:30" ht="15" thickBot="1">
      <c r="B97" s="10" t="s">
        <v>483</v>
      </c>
      <c r="E97" s="299">
        <f>SUM(E10:E96)</f>
        <v>20085486.222601485</v>
      </c>
      <c r="F97" s="293"/>
      <c r="G97" s="300">
        <f>SUM(G10:G95)</f>
        <v>20085486.222601485</v>
      </c>
      <c r="H97" s="300">
        <f>SUM(H10:H95)</f>
        <v>17326688.991971862</v>
      </c>
      <c r="I97" s="300">
        <f>SUM(I10:I95)</f>
        <v>17377933.675679099</v>
      </c>
      <c r="J97" s="300">
        <f>SUM(J10:J95)</f>
        <v>17377933.675679099</v>
      </c>
      <c r="K97"/>
      <c r="M97" s="293"/>
      <c r="N97" s="279"/>
      <c r="O97" s="262"/>
      <c r="P97" s="279"/>
    </row>
    <row r="98" spans="2:30" ht="15" thickTop="1">
      <c r="E98" s="92">
        <f>E97-C5</f>
        <v>0</v>
      </c>
      <c r="F98" s="293"/>
      <c r="G98" s="293"/>
      <c r="H98" s="293"/>
      <c r="I98" s="293"/>
      <c r="J98" s="293"/>
    </row>
    <row r="99" spans="2:30">
      <c r="E99" s="301"/>
    </row>
    <row r="100" spans="2:30" ht="30.75" customHeight="1">
      <c r="B100" s="506" t="s">
        <v>484</v>
      </c>
      <c r="C100" s="506"/>
      <c r="D100" s="506"/>
      <c r="E100" s="506"/>
      <c r="F100" s="506"/>
      <c r="G100" s="506"/>
      <c r="H100" s="506"/>
      <c r="I100" s="506"/>
      <c r="J100" s="506"/>
      <c r="K100" s="506"/>
      <c r="L100" s="506"/>
      <c r="M100" s="506"/>
      <c r="N100" s="506"/>
      <c r="O100" s="302"/>
      <c r="P100" s="302"/>
      <c r="R100" s="290" t="s">
        <v>485</v>
      </c>
      <c r="S100" s="290"/>
    </row>
    <row r="101" spans="2:30" ht="75" customHeight="1">
      <c r="B101" s="11" t="s">
        <v>207</v>
      </c>
      <c r="C101" s="11" t="s">
        <v>486</v>
      </c>
      <c r="D101" s="303" t="s">
        <v>487</v>
      </c>
      <c r="E101" s="303" t="s">
        <v>488</v>
      </c>
      <c r="F101" s="303" t="s">
        <v>489</v>
      </c>
      <c r="G101" s="288"/>
      <c r="H101" s="288"/>
      <c r="I101" s="288"/>
      <c r="J101" s="304"/>
      <c r="K101" s="303" t="s">
        <v>445</v>
      </c>
      <c r="L101" s="507" t="s">
        <v>490</v>
      </c>
      <c r="M101" s="507"/>
      <c r="N101" s="507"/>
      <c r="O101" s="507"/>
      <c r="S101" s="11">
        <f>L102</f>
        <v>2026</v>
      </c>
      <c r="T101" s="11">
        <f>M102</f>
        <v>2027</v>
      </c>
      <c r="U101" s="11">
        <f>N102</f>
        <v>2028</v>
      </c>
      <c r="V101" s="11">
        <f>O102</f>
        <v>2029</v>
      </c>
    </row>
    <row r="102" spans="2:30">
      <c r="B102" s="10" t="s">
        <v>211</v>
      </c>
      <c r="D102" s="109"/>
      <c r="E102" s="109"/>
      <c r="F102" s="109"/>
      <c r="G102">
        <f>G9</f>
        <v>2026</v>
      </c>
      <c r="H102">
        <f>G102+1</f>
        <v>2027</v>
      </c>
      <c r="I102">
        <f>H102+1</f>
        <v>2028</v>
      </c>
      <c r="J102">
        <f>I102+1</f>
        <v>2029</v>
      </c>
      <c r="K102"/>
      <c r="L102">
        <f>G9</f>
        <v>2026</v>
      </c>
      <c r="M102">
        <f>L102+1</f>
        <v>2027</v>
      </c>
      <c r="N102">
        <f>M102+1</f>
        <v>2028</v>
      </c>
      <c r="O102">
        <f>N102+1</f>
        <v>2029</v>
      </c>
      <c r="P102" s="279"/>
      <c r="R102" t="s">
        <v>233</v>
      </c>
      <c r="S102" s="64">
        <f t="shared" ref="S102:S115" si="37">SUM(S10,SUMIFS(L$103:L$123,$F$103:$F$123,$R102,$P$103:$P$123,"y"))</f>
        <v>3075727.8217516071</v>
      </c>
      <c r="T102" s="64">
        <f t="shared" ref="T102:T115" si="38">SUM(T10,SUMIFS(M$103:M$123,$F$103:$F$123,$R102,$P$103:$P$123,"y"))</f>
        <v>3096013.2017477835</v>
      </c>
      <c r="U102" s="64">
        <f t="shared" ref="U102:U115" si="39">SUM(U10,SUMIFS(N$103:N$123,$F$103:$F$123,$R102,$P$103:$P$123,"y"))</f>
        <v>3075764.2988703456</v>
      </c>
      <c r="V102" s="64">
        <f t="shared" ref="V102:V115" si="40">SUM(V10,SUMIFS(O$103:O$123,$F$103:$F$123,$R102,$P$103:$P$123,"y"))</f>
        <v>3075763.4970791722</v>
      </c>
    </row>
    <row r="103" spans="2:30" ht="15" customHeight="1">
      <c r="B103" t="s">
        <v>129</v>
      </c>
      <c r="C103" t="s">
        <v>491</v>
      </c>
      <c r="D103" t="s">
        <v>492</v>
      </c>
      <c r="E103" s="67">
        <f t="shared" ref="E103:E104" si="41">G103</f>
        <v>169268.28832762563</v>
      </c>
      <c r="F103" t="s">
        <v>217</v>
      </c>
      <c r="G103" s="67">
        <v>169268.28832762563</v>
      </c>
      <c r="H103" s="67">
        <v>0</v>
      </c>
      <c r="I103" s="67">
        <v>0</v>
      </c>
      <c r="J103" s="67">
        <v>0</v>
      </c>
      <c r="K103" s="272" t="s">
        <v>449</v>
      </c>
      <c r="L103" s="67">
        <f t="shared" ref="L103:N108" si="42">G103</f>
        <v>169268.28832762563</v>
      </c>
      <c r="M103" s="67">
        <f t="shared" si="42"/>
        <v>0</v>
      </c>
      <c r="N103" s="67">
        <f t="shared" si="42"/>
        <v>0</v>
      </c>
      <c r="O103" s="67">
        <f t="shared" ref="O103:O104" si="43">J103</f>
        <v>0</v>
      </c>
      <c r="P103" s="294" t="str">
        <f>VLOOKUP(B103,Summary!$B$8:$E$21,3,FALSE)</f>
        <v>Y</v>
      </c>
      <c r="R103" t="s">
        <v>248</v>
      </c>
      <c r="S103" s="64">
        <f t="shared" si="37"/>
        <v>431130.2253517076</v>
      </c>
      <c r="T103" s="64">
        <f t="shared" si="38"/>
        <v>244371.67766520652</v>
      </c>
      <c r="U103" s="64">
        <f t="shared" si="39"/>
        <v>244371.67766520652</v>
      </c>
      <c r="V103" s="64">
        <f t="shared" si="40"/>
        <v>244371.67766520652</v>
      </c>
    </row>
    <row r="104" spans="2:30" ht="15" customHeight="1">
      <c r="B104" t="s">
        <v>129</v>
      </c>
      <c r="C104" t="s">
        <v>491</v>
      </c>
      <c r="D104" t="s">
        <v>493</v>
      </c>
      <c r="E104" s="67">
        <f t="shared" si="41"/>
        <v>36606.402981008279</v>
      </c>
      <c r="F104" t="s">
        <v>225</v>
      </c>
      <c r="G104" s="67">
        <v>36606.402981008279</v>
      </c>
      <c r="H104" s="67">
        <v>0</v>
      </c>
      <c r="I104" s="67">
        <v>0</v>
      </c>
      <c r="J104" s="67">
        <v>0</v>
      </c>
      <c r="K104" s="272" t="s">
        <v>449</v>
      </c>
      <c r="L104" s="67">
        <f t="shared" si="42"/>
        <v>36606.402981008279</v>
      </c>
      <c r="M104" s="67">
        <f t="shared" si="42"/>
        <v>0</v>
      </c>
      <c r="N104" s="67">
        <f t="shared" si="42"/>
        <v>0</v>
      </c>
      <c r="O104" s="67">
        <f t="shared" si="43"/>
        <v>0</v>
      </c>
      <c r="P104" s="294" t="str">
        <f>VLOOKUP(B104,Summary!$B$8:$E$21,3,FALSE)</f>
        <v>Y</v>
      </c>
      <c r="R104" t="s">
        <v>214</v>
      </c>
      <c r="S104" s="64">
        <f t="shared" si="37"/>
        <v>9570321.726732187</v>
      </c>
      <c r="T104" s="64">
        <f t="shared" si="38"/>
        <v>9401821.5042150505</v>
      </c>
      <c r="U104" s="64">
        <f t="shared" si="39"/>
        <v>9810830.0167081002</v>
      </c>
      <c r="V104" s="64">
        <f t="shared" si="40"/>
        <v>10459101.567923136</v>
      </c>
    </row>
    <row r="105" spans="2:30">
      <c r="B105" s="297" t="s">
        <v>135</v>
      </c>
      <c r="C105" t="s">
        <v>494</v>
      </c>
      <c r="D105" t="s">
        <v>495</v>
      </c>
      <c r="E105" s="67">
        <f t="shared" ref="E105:E118" si="44">G105</f>
        <v>35860.538402437938</v>
      </c>
      <c r="F105" t="s">
        <v>214</v>
      </c>
      <c r="G105" s="293">
        <v>35860.538402437938</v>
      </c>
      <c r="H105" s="67">
        <v>34019.172839575942</v>
      </c>
      <c r="I105" s="67">
        <v>31781.76496018999</v>
      </c>
      <c r="J105" s="67">
        <v>19482.557498036913</v>
      </c>
      <c r="K105" s="272" t="s">
        <v>449</v>
      </c>
      <c r="L105" s="67">
        <f t="shared" si="42"/>
        <v>35860.538402437938</v>
      </c>
      <c r="M105" s="67">
        <f t="shared" si="42"/>
        <v>34019.172839575942</v>
      </c>
      <c r="N105" s="67">
        <f t="shared" si="42"/>
        <v>31781.76496018999</v>
      </c>
      <c r="O105" s="67">
        <f t="shared" ref="O105:O106" si="45">J105</f>
        <v>19482.557498036913</v>
      </c>
      <c r="P105" s="294" t="str">
        <f>VLOOKUP(B105,Summary!$B$8:$E$21,3,FALSE)</f>
        <v>Y</v>
      </c>
      <c r="R105" t="s">
        <v>336</v>
      </c>
      <c r="S105" s="64">
        <f t="shared" si="37"/>
        <v>-475276.50099999999</v>
      </c>
      <c r="T105" s="64">
        <f t="shared" si="38"/>
        <v>-475276.50099999999</v>
      </c>
      <c r="U105" s="64">
        <f t="shared" si="39"/>
        <v>-475276.50099999999</v>
      </c>
      <c r="V105" s="64">
        <f t="shared" si="40"/>
        <v>-475276.50099999999</v>
      </c>
    </row>
    <row r="106" spans="2:30" ht="14.25" customHeight="1">
      <c r="B106" s="297" t="s">
        <v>135</v>
      </c>
      <c r="C106" t="s">
        <v>494</v>
      </c>
      <c r="D106" t="s">
        <v>496</v>
      </c>
      <c r="E106" s="67">
        <f t="shared" si="44"/>
        <v>9332.7036237896464</v>
      </c>
      <c r="F106" t="s">
        <v>225</v>
      </c>
      <c r="G106" s="293">
        <v>9332.7036237896464</v>
      </c>
      <c r="H106" s="67">
        <v>6533.4099648773927</v>
      </c>
      <c r="I106" s="67">
        <v>6103.7139518788108</v>
      </c>
      <c r="J106" s="67">
        <v>3741.6411004235865</v>
      </c>
      <c r="K106" s="272" t="s">
        <v>449</v>
      </c>
      <c r="L106" s="67">
        <f t="shared" si="42"/>
        <v>9332.7036237896464</v>
      </c>
      <c r="M106" s="67">
        <f t="shared" si="42"/>
        <v>6533.4099648773927</v>
      </c>
      <c r="N106" s="67">
        <f t="shared" si="42"/>
        <v>6103.7139518788108</v>
      </c>
      <c r="O106" s="67">
        <f t="shared" si="45"/>
        <v>3741.6411004235865</v>
      </c>
      <c r="P106" s="294" t="str">
        <f>VLOOKUP(B106,Summary!$B$8:$E$21,3,FALSE)</f>
        <v>Y</v>
      </c>
      <c r="R106" t="s">
        <v>243</v>
      </c>
      <c r="S106" s="64">
        <f t="shared" si="37"/>
        <v>19992.065902402835</v>
      </c>
      <c r="T106" s="64">
        <f t="shared" si="38"/>
        <v>-3377.8111523794842</v>
      </c>
      <c r="U106" s="64">
        <f t="shared" si="39"/>
        <v>-3377.8111523794842</v>
      </c>
      <c r="V106" s="64">
        <f t="shared" si="40"/>
        <v>-3377.8111523794842</v>
      </c>
      <c r="AD106" s="305"/>
    </row>
    <row r="107" spans="2:30">
      <c r="B107" s="297" t="s">
        <v>43</v>
      </c>
      <c r="C107" t="s">
        <v>42</v>
      </c>
      <c r="D107" t="s">
        <v>497</v>
      </c>
      <c r="E107" s="67">
        <f t="shared" si="44"/>
        <v>8351.0913413177768</v>
      </c>
      <c r="F107" t="s">
        <v>214</v>
      </c>
      <c r="G107" s="293">
        <v>8351.0913413177768</v>
      </c>
      <c r="H107" s="67">
        <v>1575.6346127997931</v>
      </c>
      <c r="I107" s="67">
        <v>1520.3615523477238</v>
      </c>
      <c r="J107" s="67">
        <v>1477.549543912799</v>
      </c>
      <c r="K107" s="272" t="s">
        <v>449</v>
      </c>
      <c r="L107" s="67">
        <f t="shared" si="42"/>
        <v>8351.0913413177768</v>
      </c>
      <c r="M107" s="67">
        <f t="shared" si="42"/>
        <v>1575.6346127997931</v>
      </c>
      <c r="N107" s="67">
        <f t="shared" si="42"/>
        <v>1520.3615523477238</v>
      </c>
      <c r="O107" s="67">
        <f>J107</f>
        <v>1477.549543912799</v>
      </c>
      <c r="P107" s="294" t="str">
        <f>VLOOKUP(B107,Summary!$B$8:$E$21,3,FALSE)</f>
        <v>Y</v>
      </c>
      <c r="R107" t="s">
        <v>259</v>
      </c>
      <c r="S107" s="64">
        <f t="shared" si="37"/>
        <v>-1604.9394941091518</v>
      </c>
      <c r="T107" s="64">
        <f t="shared" si="38"/>
        <v>0</v>
      </c>
      <c r="U107" s="64">
        <f t="shared" si="39"/>
        <v>0</v>
      </c>
      <c r="V107" s="64">
        <f t="shared" si="40"/>
        <v>0</v>
      </c>
      <c r="AD107" s="305"/>
    </row>
    <row r="108" spans="2:30">
      <c r="B108" s="297" t="s">
        <v>43</v>
      </c>
      <c r="C108" t="s">
        <v>42</v>
      </c>
      <c r="D108" t="s">
        <v>497</v>
      </c>
      <c r="E108" s="67">
        <f t="shared" si="44"/>
        <v>156458.90106895272</v>
      </c>
      <c r="F108" t="s">
        <v>217</v>
      </c>
      <c r="G108" s="293">
        <v>156458.90106895272</v>
      </c>
      <c r="H108" s="293">
        <v>29519.741783348694</v>
      </c>
      <c r="I108" s="67">
        <v>28484.19302168427</v>
      </c>
      <c r="J108" s="67">
        <v>27682.103867283276</v>
      </c>
      <c r="K108" s="272" t="s">
        <v>449</v>
      </c>
      <c r="L108" s="67">
        <f t="shared" si="42"/>
        <v>156458.90106895272</v>
      </c>
      <c r="M108" s="67">
        <f t="shared" si="42"/>
        <v>29519.741783348694</v>
      </c>
      <c r="N108" s="67">
        <f t="shared" si="42"/>
        <v>28484.19302168427</v>
      </c>
      <c r="O108" s="67">
        <f t="shared" ref="O108:O109" si="46">J108</f>
        <v>27682.103867283276</v>
      </c>
      <c r="P108" s="294" t="str">
        <f>VLOOKUP(B108,Summary!$B$8:$E$21,3,FALSE)</f>
        <v>Y</v>
      </c>
      <c r="R108" t="s">
        <v>338</v>
      </c>
      <c r="S108" s="64">
        <f t="shared" si="37"/>
        <v>744305.81456082384</v>
      </c>
      <c r="T108" s="64">
        <f t="shared" si="38"/>
        <v>927878.79425154044</v>
      </c>
      <c r="U108" s="64">
        <f t="shared" si="39"/>
        <v>893406.74334929406</v>
      </c>
      <c r="V108" s="64">
        <f t="shared" si="40"/>
        <v>902413.93294057413</v>
      </c>
      <c r="AD108" s="305"/>
    </row>
    <row r="109" spans="2:30">
      <c r="B109" s="297" t="s">
        <v>43</v>
      </c>
      <c r="C109" t="s">
        <v>42</v>
      </c>
      <c r="D109" t="s">
        <v>497</v>
      </c>
      <c r="E109" s="67">
        <f t="shared" si="44"/>
        <v>5262.4030377508752</v>
      </c>
      <c r="F109" t="s">
        <v>225</v>
      </c>
      <c r="G109" s="293">
        <v>5262.4030377508752</v>
      </c>
      <c r="H109" s="67">
        <v>473.14423595502808</v>
      </c>
      <c r="I109" s="67">
        <v>313.01799212374129</v>
      </c>
      <c r="J109" s="67">
        <v>275.62456567511566</v>
      </c>
      <c r="K109" s="272" t="s">
        <v>449</v>
      </c>
      <c r="L109" s="67">
        <f t="shared" ref="L109:N112" si="47">G109</f>
        <v>5262.4030377508752</v>
      </c>
      <c r="M109" s="67">
        <f t="shared" si="47"/>
        <v>473.14423595502808</v>
      </c>
      <c r="N109" s="67">
        <f t="shared" si="47"/>
        <v>313.01799212374129</v>
      </c>
      <c r="O109" s="67">
        <f t="shared" si="46"/>
        <v>275.62456567511566</v>
      </c>
      <c r="P109" s="294" t="str">
        <f>VLOOKUP(B109,Summary!$B$8:$E$21,3,FALSE)</f>
        <v>Y</v>
      </c>
      <c r="R109" t="s">
        <v>402</v>
      </c>
      <c r="S109" s="64">
        <f t="shared" si="37"/>
        <v>401830.0859770244</v>
      </c>
      <c r="T109" s="64">
        <f t="shared" si="38"/>
        <v>401830.0859770244</v>
      </c>
      <c r="U109" s="64">
        <f t="shared" si="39"/>
        <v>401830.0859770244</v>
      </c>
      <c r="V109" s="64">
        <f t="shared" si="40"/>
        <v>401830.0859770244</v>
      </c>
    </row>
    <row r="110" spans="2:30">
      <c r="B110" t="s">
        <v>46</v>
      </c>
      <c r="C110" t="s">
        <v>45</v>
      </c>
      <c r="D110" t="s">
        <v>493</v>
      </c>
      <c r="E110" s="67">
        <f t="shared" si="44"/>
        <v>0</v>
      </c>
      <c r="F110" t="s">
        <v>225</v>
      </c>
      <c r="G110" s="67">
        <v>0</v>
      </c>
      <c r="H110" s="67">
        <v>1509586.469847593</v>
      </c>
      <c r="I110" s="67">
        <v>1523754.6825696924</v>
      </c>
      <c r="J110" s="67">
        <v>1573607.0504686588</v>
      </c>
      <c r="K110" s="272" t="s">
        <v>447</v>
      </c>
      <c r="L110" s="67">
        <f t="shared" si="47"/>
        <v>0</v>
      </c>
      <c r="M110" s="67">
        <f>H110-H12</f>
        <v>303909.28730642353</v>
      </c>
      <c r="N110" s="67">
        <f>I110-I12</f>
        <v>318077.50002852292</v>
      </c>
      <c r="O110" s="67">
        <f>J110-J12</f>
        <v>367929.86792748934</v>
      </c>
      <c r="P110" s="294" t="str">
        <f>VLOOKUP(B110,Summary!$B$8:$E$21,3,FALSE)</f>
        <v>Y</v>
      </c>
      <c r="R110" t="s">
        <v>242</v>
      </c>
      <c r="S110" s="64">
        <f t="shared" si="37"/>
        <v>1685.3200572805854</v>
      </c>
      <c r="T110" s="64">
        <f t="shared" si="38"/>
        <v>0</v>
      </c>
      <c r="U110" s="64">
        <f t="shared" si="39"/>
        <v>0</v>
      </c>
      <c r="V110" s="64">
        <f t="shared" si="40"/>
        <v>0</v>
      </c>
    </row>
    <row r="111" spans="2:30">
      <c r="B111" t="s">
        <v>46</v>
      </c>
      <c r="C111" t="s">
        <v>45</v>
      </c>
      <c r="D111" t="s">
        <v>493</v>
      </c>
      <c r="E111" s="67">
        <f t="shared" si="44"/>
        <v>0</v>
      </c>
      <c r="F111" t="s">
        <v>217</v>
      </c>
      <c r="G111" s="67">
        <v>0</v>
      </c>
      <c r="H111" s="67">
        <v>1321439.204610883</v>
      </c>
      <c r="I111" s="67">
        <v>1427919.5248459708</v>
      </c>
      <c r="J111" s="67">
        <v>1535976.335609799</v>
      </c>
      <c r="K111" s="272" t="s">
        <v>447</v>
      </c>
      <c r="L111" s="67">
        <f t="shared" si="47"/>
        <v>0</v>
      </c>
      <c r="M111" s="67">
        <f>H111-H11</f>
        <v>139367.78094133851</v>
      </c>
      <c r="N111" s="67">
        <f>I111-I11</f>
        <v>245848.10117642628</v>
      </c>
      <c r="O111" s="67">
        <f>J111-J11</f>
        <v>353904.9119402545</v>
      </c>
      <c r="P111" s="294" t="str">
        <f>VLOOKUP(B111,Summary!$B$8:$E$21,3,FALSE)</f>
        <v>Y</v>
      </c>
      <c r="R111" t="s">
        <v>421</v>
      </c>
      <c r="S111" s="64">
        <f t="shared" si="37"/>
        <v>2580189.8596306657</v>
      </c>
      <c r="T111" s="64">
        <f t="shared" si="38"/>
        <v>2568161.0596306659</v>
      </c>
      <c r="U111" s="64">
        <f t="shared" si="39"/>
        <v>2580189.8596306657</v>
      </c>
      <c r="V111" s="64">
        <f t="shared" si="40"/>
        <v>2580189.8596306657</v>
      </c>
    </row>
    <row r="112" spans="2:30">
      <c r="B112" t="s">
        <v>46</v>
      </c>
      <c r="C112" t="s">
        <v>45</v>
      </c>
      <c r="D112" t="s">
        <v>493</v>
      </c>
      <c r="E112" s="67">
        <f t="shared" si="44"/>
        <v>0</v>
      </c>
      <c r="F112" t="s">
        <v>214</v>
      </c>
      <c r="G112" s="67">
        <v>0</v>
      </c>
      <c r="H112" s="293">
        <v>8113809.5213229498</v>
      </c>
      <c r="I112" s="67">
        <v>8764776.3355631195</v>
      </c>
      <c r="J112" s="67">
        <v>9425381.0154192876</v>
      </c>
      <c r="K112" s="272" t="s">
        <v>447</v>
      </c>
      <c r="L112" s="67">
        <f t="shared" si="47"/>
        <v>0</v>
      </c>
      <c r="M112" s="67">
        <f>H112-H10</f>
        <v>852024.11268866155</v>
      </c>
      <c r="N112" s="67">
        <f>I112-I10</f>
        <v>1502990.9269288313</v>
      </c>
      <c r="O112" s="67">
        <f>J112-J10</f>
        <v>2163595.6067849994</v>
      </c>
      <c r="P112" s="294" t="str">
        <f>VLOOKUP(B112,Summary!$B$8:$E$21,3,FALSE)</f>
        <v>Y</v>
      </c>
      <c r="R112" t="s">
        <v>425</v>
      </c>
      <c r="S112" s="64">
        <f t="shared" si="37"/>
        <v>355331.38588014222</v>
      </c>
      <c r="T112" s="64">
        <f t="shared" si="38"/>
        <v>379071.98008906806</v>
      </c>
      <c r="U112" s="64">
        <f t="shared" si="39"/>
        <v>379071.98008906806</v>
      </c>
      <c r="V112" s="64">
        <f t="shared" si="40"/>
        <v>379071.98008906806</v>
      </c>
    </row>
    <row r="113" spans="2:22" ht="29">
      <c r="B113" s="109" t="s">
        <v>40</v>
      </c>
      <c r="C113" t="s">
        <v>498</v>
      </c>
      <c r="D113" t="s">
        <v>499</v>
      </c>
      <c r="E113" s="67">
        <v>0</v>
      </c>
      <c r="F113" t="s">
        <v>214</v>
      </c>
      <c r="G113" s="67">
        <v>0</v>
      </c>
      <c r="H113" s="67">
        <v>283354.25289723289</v>
      </c>
      <c r="I113" s="67">
        <v>8304.5596319474298</v>
      </c>
      <c r="J113" s="67">
        <v>8313.4504614036668</v>
      </c>
      <c r="K113" s="272" t="s">
        <v>449</v>
      </c>
      <c r="L113" s="67">
        <v>0</v>
      </c>
      <c r="M113" s="67">
        <f>H113</f>
        <v>283354.25289723289</v>
      </c>
      <c r="N113" s="67">
        <f>I113</f>
        <v>8304.5596319474298</v>
      </c>
      <c r="O113" s="67">
        <f>J113</f>
        <v>8313.4504614036668</v>
      </c>
      <c r="P113" s="294" t="str">
        <f>VLOOKUP(B113,Summary!$B$8:$E$21,3,FALSE)</f>
        <v>Y</v>
      </c>
      <c r="R113" t="s">
        <v>225</v>
      </c>
      <c r="S113" s="64">
        <f t="shared" si="37"/>
        <v>1352447.050267647</v>
      </c>
      <c r="T113" s="64">
        <f t="shared" si="38"/>
        <v>843036.21551025589</v>
      </c>
      <c r="U113" s="64">
        <f t="shared" si="39"/>
        <v>872008.37900884333</v>
      </c>
      <c r="V113" s="64">
        <f t="shared" si="40"/>
        <v>919461.28062990587</v>
      </c>
    </row>
    <row r="114" spans="2:22" ht="15.65" customHeight="1">
      <c r="B114" s="109" t="s">
        <v>40</v>
      </c>
      <c r="C114" t="s">
        <v>498</v>
      </c>
      <c r="D114" t="s">
        <v>499</v>
      </c>
      <c r="E114" s="67">
        <v>0</v>
      </c>
      <c r="F114" t="s">
        <v>233</v>
      </c>
      <c r="G114" s="67">
        <v>0</v>
      </c>
      <c r="H114" s="67">
        <v>34598.979996176342</v>
      </c>
      <c r="I114" s="67">
        <v>36.477118738489622</v>
      </c>
      <c r="J114" s="67">
        <v>35.675327565212818</v>
      </c>
      <c r="K114" s="272" t="s">
        <v>449</v>
      </c>
      <c r="L114" s="67">
        <v>0</v>
      </c>
      <c r="M114" s="67">
        <f t="shared" ref="M114:M115" si="48">H114</f>
        <v>34598.979996176342</v>
      </c>
      <c r="N114" s="67">
        <f>I114</f>
        <v>36.477118738489622</v>
      </c>
      <c r="O114" s="67">
        <f>J114</f>
        <v>35.675327565212818</v>
      </c>
      <c r="P114" s="294" t="str">
        <f>VLOOKUP(B114,Summary!$B$8:$E$21,3,FALSE)</f>
        <v>Y</v>
      </c>
      <c r="R114" t="s">
        <v>282</v>
      </c>
      <c r="S114" s="64">
        <f t="shared" si="37"/>
        <v>223582.8734707309</v>
      </c>
      <c r="T114" s="64">
        <f t="shared" si="38"/>
        <v>223582.8734707309</v>
      </c>
      <c r="U114" s="64">
        <f t="shared" si="39"/>
        <v>340137.03170729481</v>
      </c>
      <c r="V114" s="64">
        <f t="shared" si="40"/>
        <v>340137.03170729481</v>
      </c>
    </row>
    <row r="115" spans="2:22" ht="15" customHeight="1">
      <c r="B115" s="109" t="s">
        <v>40</v>
      </c>
      <c r="C115" t="s">
        <v>498</v>
      </c>
      <c r="D115" t="s">
        <v>500</v>
      </c>
      <c r="E115" s="67">
        <v>0</v>
      </c>
      <c r="F115" t="s">
        <v>282</v>
      </c>
      <c r="G115" s="67">
        <v>0</v>
      </c>
      <c r="H115" s="67">
        <v>0</v>
      </c>
      <c r="I115" s="67">
        <v>116554.15823656389</v>
      </c>
      <c r="J115" s="67">
        <v>116554.15823656389</v>
      </c>
      <c r="K115" s="272" t="s">
        <v>449</v>
      </c>
      <c r="L115" s="67">
        <f>G115</f>
        <v>0</v>
      </c>
      <c r="M115" s="67">
        <f t="shared" si="48"/>
        <v>0</v>
      </c>
      <c r="N115" s="67">
        <f t="shared" ref="N115" si="49">I115</f>
        <v>116554.15823656389</v>
      </c>
      <c r="O115" s="67">
        <f t="shared" ref="O115" si="50">J115</f>
        <v>116554.15823656389</v>
      </c>
      <c r="P115" s="294" t="str">
        <f>VLOOKUP(B115,Summary!$B$8:$E$21,3,FALSE)</f>
        <v>Y</v>
      </c>
      <c r="R115" t="s">
        <v>217</v>
      </c>
      <c r="S115" s="64">
        <f t="shared" si="37"/>
        <v>2036651.858440446</v>
      </c>
      <c r="T115" s="64">
        <f t="shared" si="38"/>
        <v>1397835.1608333131</v>
      </c>
      <c r="U115" s="64">
        <f t="shared" si="39"/>
        <v>1503279.9323067365</v>
      </c>
      <c r="V115" s="64">
        <f t="shared" si="40"/>
        <v>1610534.6539161638</v>
      </c>
    </row>
    <row r="116" spans="2:22" ht="15.65" customHeight="1">
      <c r="E116" s="67"/>
      <c r="G116" s="67"/>
      <c r="H116" s="67"/>
      <c r="I116" s="293"/>
      <c r="J116" s="67"/>
      <c r="L116" s="67"/>
      <c r="M116" s="67"/>
      <c r="N116" s="67"/>
      <c r="O116" s="67"/>
      <c r="P116" s="294"/>
      <c r="R116" t="s">
        <v>170</v>
      </c>
      <c r="S116" s="292">
        <f>SUM(S102:S115)</f>
        <v>20316314.647528559</v>
      </c>
      <c r="T116" s="292">
        <f>SUM(T102:T115)</f>
        <v>19004948.241238263</v>
      </c>
      <c r="U116" s="292">
        <f>SUM(U102:U115)</f>
        <v>19622235.693160202</v>
      </c>
      <c r="V116" s="292">
        <f>SUM(V102:V115)</f>
        <v>20434221.255405836</v>
      </c>
    </row>
    <row r="117" spans="2:22" ht="15.65" customHeight="1">
      <c r="B117" s="10" t="s">
        <v>334</v>
      </c>
      <c r="E117" s="67"/>
      <c r="G117" s="67"/>
      <c r="I117" s="67"/>
      <c r="J117" s="67"/>
      <c r="L117" s="67"/>
      <c r="M117" s="67"/>
      <c r="N117" s="67"/>
      <c r="O117" s="67"/>
      <c r="P117" s="294"/>
      <c r="S117" s="279"/>
      <c r="T117" s="279"/>
      <c r="U117" s="279"/>
      <c r="V117" s="279"/>
    </row>
    <row r="118" spans="2:22" ht="15" customHeight="1">
      <c r="B118" s="297" t="s">
        <v>142</v>
      </c>
      <c r="C118" t="s">
        <v>501</v>
      </c>
      <c r="D118" t="s">
        <v>502</v>
      </c>
      <c r="E118" s="67">
        <f t="shared" si="44"/>
        <v>0</v>
      </c>
      <c r="F118" s="274" t="s">
        <v>338</v>
      </c>
      <c r="G118" s="67">
        <v>0</v>
      </c>
      <c r="H118" s="60">
        <v>6811.8386976942393</v>
      </c>
      <c r="I118" s="67">
        <v>0</v>
      </c>
      <c r="J118" s="67">
        <v>0</v>
      </c>
      <c r="K118" s="272" t="s">
        <v>447</v>
      </c>
      <c r="L118" s="67">
        <v>0</v>
      </c>
      <c r="M118" s="67">
        <v>-3522.1880000000001</v>
      </c>
      <c r="N118" s="67">
        <f t="shared" ref="N118:N119" si="51">I118</f>
        <v>0</v>
      </c>
      <c r="O118" s="67">
        <v>0</v>
      </c>
      <c r="P118" s="294" t="str">
        <f>VLOOKUP(B118,Summary!$B$8:$E$21,3,FALSE)</f>
        <v>Y</v>
      </c>
      <c r="S118" s="279"/>
      <c r="T118" s="279"/>
      <c r="U118" s="279"/>
      <c r="V118" s="279"/>
    </row>
    <row r="119" spans="2:22" ht="15" customHeight="1">
      <c r="B119" s="297" t="s">
        <v>144</v>
      </c>
      <c r="C119" t="s">
        <v>501</v>
      </c>
      <c r="D119" t="s">
        <v>502</v>
      </c>
      <c r="E119" s="67">
        <f t="shared" ref="E119" si="52">G119</f>
        <v>0</v>
      </c>
      <c r="F119" s="274" t="s">
        <v>338</v>
      </c>
      <c r="G119" s="67">
        <v>0</v>
      </c>
      <c r="H119" s="60">
        <v>11433.257893886353</v>
      </c>
      <c r="I119" s="67">
        <v>0</v>
      </c>
      <c r="J119" s="67">
        <v>0</v>
      </c>
      <c r="K119" s="272" t="s">
        <v>447</v>
      </c>
      <c r="L119" s="67">
        <v>0</v>
      </c>
      <c r="M119" s="67">
        <v>-3594.08</v>
      </c>
      <c r="N119" s="67">
        <f t="shared" si="51"/>
        <v>0</v>
      </c>
      <c r="O119" s="67">
        <v>0</v>
      </c>
      <c r="P119" s="294" t="str">
        <f>VLOOKUP(B119,Summary!$B$8:$E$21,3,FALSE)</f>
        <v>Y</v>
      </c>
      <c r="S119" s="279"/>
      <c r="T119" s="279"/>
      <c r="U119" s="279"/>
      <c r="V119" s="279"/>
    </row>
    <row r="120" spans="2:22">
      <c r="B120" s="297" t="s">
        <v>146</v>
      </c>
      <c r="C120" t="s">
        <v>503</v>
      </c>
      <c r="D120" t="s">
        <v>504</v>
      </c>
      <c r="E120" s="67">
        <f>G120</f>
        <v>0</v>
      </c>
      <c r="F120" s="274" t="s">
        <v>338</v>
      </c>
      <c r="G120" s="67">
        <v>0</v>
      </c>
      <c r="H120" s="67">
        <v>0</v>
      </c>
      <c r="I120" s="67">
        <v>74146.082235039998</v>
      </c>
      <c r="J120" s="67">
        <v>82592.619251919998</v>
      </c>
      <c r="K120" s="272" t="s">
        <v>447</v>
      </c>
      <c r="L120" s="67">
        <f>G120</f>
        <v>0</v>
      </c>
      <c r="M120" s="67">
        <f t="shared" ref="M120:M121" si="53">H120</f>
        <v>0</v>
      </c>
      <c r="N120" s="67">
        <f>I120-I69</f>
        <v>-16438.948764960005</v>
      </c>
      <c r="O120" s="67">
        <f>J120-J69</f>
        <v>-7992.4117480800051</v>
      </c>
      <c r="P120" s="294" t="str">
        <f>VLOOKUP(B120,Summary!$B$8:$E$21,3,FALSE)</f>
        <v>Y</v>
      </c>
      <c r="S120" s="279"/>
      <c r="T120" s="279"/>
      <c r="U120" s="279"/>
      <c r="V120" s="279"/>
    </row>
    <row r="121" spans="2:22">
      <c r="B121" s="297" t="s">
        <v>149</v>
      </c>
      <c r="C121" t="s">
        <v>503</v>
      </c>
      <c r="D121" t="s">
        <v>505</v>
      </c>
      <c r="E121" s="67">
        <f>G121</f>
        <v>0</v>
      </c>
      <c r="F121" s="274" t="s">
        <v>338</v>
      </c>
      <c r="G121" s="67">
        <v>0</v>
      </c>
      <c r="H121" s="67">
        <v>0</v>
      </c>
      <c r="I121" s="67">
        <v>12556.3516468</v>
      </c>
      <c r="J121" s="67">
        <v>13117.004221200001</v>
      </c>
      <c r="K121" s="272" t="s">
        <v>447</v>
      </c>
      <c r="L121" s="67">
        <f>G121</f>
        <v>0</v>
      </c>
      <c r="M121" s="67">
        <f t="shared" si="53"/>
        <v>0</v>
      </c>
      <c r="N121" s="67">
        <f>I121-I71</f>
        <v>726.19164679999994</v>
      </c>
      <c r="O121" s="67">
        <f>J121-J71</f>
        <v>1286.8442212000009</v>
      </c>
      <c r="P121" s="294" t="str">
        <f>VLOOKUP(B121,Summary!$B$8:$E$21,3,FALSE)</f>
        <v>Y</v>
      </c>
      <c r="S121" s="279"/>
      <c r="T121" s="279"/>
      <c r="U121" s="279"/>
      <c r="V121" s="279"/>
    </row>
    <row r="122" spans="2:22">
      <c r="B122" s="10" t="s">
        <v>417</v>
      </c>
      <c r="E122" s="67"/>
      <c r="F122" s="67"/>
      <c r="G122" s="60"/>
      <c r="H122" s="60"/>
      <c r="I122" s="60"/>
      <c r="J122" s="60"/>
      <c r="L122" s="67"/>
      <c r="M122" s="67"/>
      <c r="N122" s="67"/>
      <c r="O122" s="67"/>
      <c r="P122" s="294"/>
      <c r="R122" s="262"/>
      <c r="S122" s="279"/>
      <c r="T122" s="279"/>
      <c r="U122" s="279"/>
      <c r="V122" s="279"/>
    </row>
    <row r="123" spans="2:22">
      <c r="E123" s="92"/>
      <c r="F123" s="67"/>
      <c r="G123" s="60"/>
      <c r="H123" s="60"/>
      <c r="I123" s="60"/>
      <c r="J123" s="60"/>
      <c r="L123" s="60"/>
      <c r="M123" s="60"/>
      <c r="N123" s="60"/>
      <c r="O123" s="60"/>
      <c r="P123" s="60"/>
      <c r="S123" s="279"/>
      <c r="T123" s="279"/>
      <c r="U123" s="279"/>
      <c r="V123" s="279"/>
    </row>
    <row r="124" spans="2:22" ht="15" thickBot="1">
      <c r="B124" s="10" t="s">
        <v>506</v>
      </c>
      <c r="E124" s="299">
        <f>SUM(E103:E122)</f>
        <v>421140.32878288289</v>
      </c>
      <c r="G124" s="300">
        <f>SUM(G103:G122)</f>
        <v>421140.32878288289</v>
      </c>
      <c r="H124" s="300">
        <f>SUM(H103:H122)</f>
        <v>11353154.628702972</v>
      </c>
      <c r="I124" s="300">
        <f>SUM(I103:I122)</f>
        <v>11996251.223326096</v>
      </c>
      <c r="J124" s="300">
        <f>SUM(J103:J122)</f>
        <v>12808236.78557173</v>
      </c>
      <c r="K124"/>
      <c r="L124" s="300">
        <f>SUM(L103:L122)</f>
        <v>421140.32878288289</v>
      </c>
      <c r="M124" s="300">
        <f>SUM(M103:M122)</f>
        <v>1678259.2492663898</v>
      </c>
      <c r="N124" s="300">
        <f>SUM(N103:N122)</f>
        <v>2244302.0174810947</v>
      </c>
      <c r="O124" s="300">
        <f>SUM(O103:O122)</f>
        <v>3056287.5797267272</v>
      </c>
      <c r="P124" s="306"/>
      <c r="S124" s="279"/>
      <c r="T124" s="279"/>
      <c r="U124" s="279"/>
      <c r="V124" s="279"/>
    </row>
    <row r="125" spans="2:22" ht="15" thickTop="1">
      <c r="S125" s="279"/>
      <c r="T125" s="279"/>
      <c r="U125" s="279"/>
      <c r="V125" s="279"/>
    </row>
    <row r="126" spans="2:22">
      <c r="S126" s="279"/>
      <c r="T126" s="279"/>
      <c r="U126" s="279"/>
      <c r="V126" s="279"/>
    </row>
    <row r="127" spans="2:22">
      <c r="S127" s="279"/>
      <c r="T127" s="279"/>
      <c r="U127" s="279"/>
      <c r="V127" s="279"/>
    </row>
    <row r="128" spans="2:22">
      <c r="B128" t="s">
        <v>507</v>
      </c>
      <c r="C128" s="307">
        <v>1.0869E-2</v>
      </c>
      <c r="S128" s="279"/>
      <c r="T128" s="279"/>
      <c r="U128" s="279"/>
      <c r="V128" s="279"/>
    </row>
    <row r="129" spans="2:22">
      <c r="B129" t="s">
        <v>508</v>
      </c>
      <c r="C129" s="308">
        <v>1.0810999999999999E-2</v>
      </c>
      <c r="S129" s="279"/>
      <c r="T129" s="279"/>
      <c r="U129" s="279"/>
      <c r="V129" s="279"/>
    </row>
    <row r="130" spans="2:22">
      <c r="B130" t="s">
        <v>509</v>
      </c>
      <c r="C130" s="308">
        <v>1.1245E-2</v>
      </c>
      <c r="F130" s="273"/>
      <c r="S130" s="279"/>
      <c r="T130" s="279"/>
      <c r="U130" s="279"/>
      <c r="V130" s="279"/>
    </row>
    <row r="131" spans="2:22">
      <c r="B131" t="s">
        <v>510</v>
      </c>
      <c r="C131" s="309">
        <v>1.252E-2</v>
      </c>
      <c r="S131" s="279"/>
      <c r="T131" s="279"/>
      <c r="U131" s="279"/>
      <c r="V131" s="279"/>
    </row>
    <row r="132" spans="2:22">
      <c r="B132" t="s">
        <v>511</v>
      </c>
      <c r="C132" s="309">
        <v>1.3604E-2</v>
      </c>
      <c r="S132" s="279"/>
      <c r="T132" s="279"/>
      <c r="U132" s="279"/>
      <c r="V132" s="279"/>
    </row>
    <row r="133" spans="2:22">
      <c r="D133" s="67"/>
      <c r="S133" s="279"/>
      <c r="T133" s="279"/>
      <c r="U133" s="279"/>
      <c r="V133" s="279"/>
    </row>
    <row r="134" spans="2:22">
      <c r="S134" s="279"/>
      <c r="T134" s="279"/>
      <c r="U134" s="279"/>
      <c r="V134" s="279"/>
    </row>
    <row r="135" spans="2:22" ht="15.65" customHeight="1">
      <c r="C135" s="310"/>
      <c r="D135" s="63"/>
      <c r="S135" s="279"/>
      <c r="T135" s="279"/>
      <c r="U135" s="279"/>
      <c r="V135" s="279"/>
    </row>
    <row r="136" spans="2:22" ht="27.75" customHeight="1">
      <c r="D136" s="311"/>
      <c r="S136" s="279"/>
      <c r="T136" s="279"/>
      <c r="U136" s="279"/>
      <c r="V136" s="279"/>
    </row>
    <row r="137" spans="2:22" ht="15.65" customHeight="1">
      <c r="S137" s="279"/>
      <c r="T137" s="279"/>
      <c r="U137" s="279"/>
      <c r="V137" s="279"/>
    </row>
    <row r="138" spans="2:22" ht="15.65" customHeight="1">
      <c r="S138" s="279"/>
      <c r="T138" s="279"/>
      <c r="U138" s="279"/>
      <c r="V138" s="279"/>
    </row>
    <row r="139" spans="2:22" ht="15.65" customHeight="1">
      <c r="S139" s="279"/>
      <c r="T139" s="279"/>
      <c r="U139" s="279"/>
      <c r="V139" s="279"/>
    </row>
    <row r="140" spans="2:22" ht="15.65" customHeight="1">
      <c r="S140" s="279"/>
      <c r="T140" s="279"/>
      <c r="U140" s="279"/>
      <c r="V140" s="279"/>
    </row>
    <row r="141" spans="2:22" ht="15.65" customHeight="1">
      <c r="S141" s="279"/>
      <c r="T141" s="279"/>
      <c r="U141" s="279"/>
      <c r="V141" s="279"/>
    </row>
    <row r="142" spans="2:22" ht="15.65" customHeight="1">
      <c r="S142" s="279"/>
      <c r="T142" s="279"/>
      <c r="U142" s="279"/>
      <c r="V142" s="279"/>
    </row>
    <row r="143" spans="2:22" ht="15.65" customHeight="1">
      <c r="S143" s="279"/>
      <c r="T143" s="279"/>
      <c r="U143" s="279"/>
      <c r="V143" s="279"/>
    </row>
    <row r="144" spans="2:22" ht="15.65" customHeight="1">
      <c r="S144" s="279"/>
      <c r="T144" s="279"/>
      <c r="U144" s="279"/>
      <c r="V144" s="279"/>
    </row>
    <row r="145" spans="18:22" ht="15.65" customHeight="1">
      <c r="S145" s="279"/>
      <c r="T145" s="279"/>
      <c r="U145" s="279"/>
      <c r="V145" s="279"/>
    </row>
    <row r="146" spans="18:22" ht="15.65" customHeight="1">
      <c r="S146" s="279"/>
      <c r="T146" s="279"/>
      <c r="U146" s="279"/>
      <c r="V146" s="279"/>
    </row>
    <row r="147" spans="18:22" ht="15.65" customHeight="1">
      <c r="S147" s="279"/>
      <c r="T147" s="279"/>
      <c r="U147" s="279"/>
      <c r="V147" s="279"/>
    </row>
    <row r="148" spans="18:22" ht="15.65" customHeight="1">
      <c r="S148" s="279"/>
      <c r="T148" s="279"/>
      <c r="U148" s="279"/>
      <c r="V148" s="279"/>
    </row>
    <row r="149" spans="18:22">
      <c r="S149" s="279"/>
      <c r="T149" s="279"/>
      <c r="U149" s="279"/>
      <c r="V149" s="279"/>
    </row>
    <row r="150" spans="18:22">
      <c r="S150" s="279"/>
      <c r="T150" s="279"/>
      <c r="U150" s="279"/>
      <c r="V150" s="279"/>
    </row>
    <row r="153" spans="18:22">
      <c r="R153" s="312"/>
    </row>
    <row r="229" spans="6:13">
      <c r="F229" s="268"/>
      <c r="G229" s="268"/>
      <c r="H229" s="268"/>
      <c r="I229" s="268"/>
      <c r="J229" s="268"/>
      <c r="K229" s="268"/>
      <c r="L229" s="268"/>
      <c r="M229" s="268"/>
    </row>
    <row r="230" spans="6:13">
      <c r="F230" s="268"/>
      <c r="G230" s="268"/>
      <c r="H230" s="268"/>
      <c r="I230" s="268"/>
      <c r="J230" s="268"/>
      <c r="K230" s="268"/>
      <c r="L230" s="268"/>
      <c r="M230" s="268"/>
    </row>
    <row r="231" spans="6:13">
      <c r="F231" s="268"/>
      <c r="G231" s="268"/>
      <c r="H231" s="268"/>
      <c r="I231" s="268"/>
      <c r="J231" s="268"/>
      <c r="K231" s="268"/>
      <c r="L231" s="268"/>
      <c r="M231" s="268"/>
    </row>
    <row r="232" spans="6:13">
      <c r="F232" s="268"/>
      <c r="G232" s="268"/>
      <c r="H232" s="268"/>
      <c r="I232" s="268"/>
      <c r="J232" s="268"/>
      <c r="K232" s="268"/>
      <c r="L232" s="268"/>
      <c r="M232" s="268"/>
    </row>
    <row r="233" spans="6:13">
      <c r="F233" s="268"/>
      <c r="G233" s="268"/>
      <c r="H233" s="268"/>
      <c r="I233" s="268"/>
      <c r="J233" s="268"/>
      <c r="K233" s="268"/>
      <c r="L233" s="268"/>
      <c r="M233" s="268"/>
    </row>
    <row r="234" spans="6:13">
      <c r="F234" s="268"/>
      <c r="G234" s="268"/>
      <c r="H234" s="268"/>
      <c r="I234" s="268"/>
      <c r="J234" s="268"/>
      <c r="K234" s="268"/>
      <c r="L234" s="268"/>
      <c r="M234" s="268"/>
    </row>
    <row r="235" spans="6:13">
      <c r="F235" s="268"/>
      <c r="G235" s="268"/>
      <c r="H235" s="268"/>
      <c r="I235" s="268"/>
      <c r="J235" s="268"/>
      <c r="K235" s="268"/>
      <c r="L235" s="268"/>
      <c r="M235" s="268"/>
    </row>
    <row r="236" spans="6:13">
      <c r="F236" s="268"/>
      <c r="G236" s="268"/>
      <c r="H236" s="268"/>
      <c r="I236" s="268"/>
      <c r="J236" s="268"/>
      <c r="K236" s="268"/>
      <c r="L236" s="268"/>
      <c r="M236" s="268"/>
    </row>
    <row r="237" spans="6:13">
      <c r="F237" s="268"/>
      <c r="G237" s="268"/>
      <c r="H237" s="268"/>
      <c r="I237" s="268"/>
      <c r="J237" s="268"/>
      <c r="K237" s="268"/>
      <c r="L237" s="268"/>
      <c r="M237" s="268"/>
    </row>
    <row r="238" spans="6:13">
      <c r="F238" s="268"/>
      <c r="G238" s="268"/>
      <c r="H238" s="268"/>
      <c r="I238" s="268"/>
      <c r="J238" s="268"/>
      <c r="K238" s="268"/>
      <c r="L238" s="268"/>
      <c r="M238" s="268"/>
    </row>
    <row r="239" spans="6:13">
      <c r="F239" s="268"/>
      <c r="G239" s="268"/>
      <c r="H239" s="268"/>
      <c r="I239" s="268"/>
      <c r="J239" s="268"/>
      <c r="K239" s="268"/>
      <c r="L239" s="268"/>
      <c r="M239" s="268"/>
    </row>
    <row r="240" spans="6:13">
      <c r="F240" s="268"/>
      <c r="G240" s="268"/>
      <c r="H240" s="268"/>
      <c r="I240" s="268"/>
      <c r="J240" s="268"/>
      <c r="K240" s="268"/>
      <c r="L240" s="268"/>
      <c r="M240" s="268"/>
    </row>
    <row r="241" spans="6:13">
      <c r="F241" s="268"/>
      <c r="G241" s="268"/>
      <c r="H241" s="268"/>
      <c r="I241" s="268"/>
      <c r="J241" s="268"/>
      <c r="K241" s="268"/>
      <c r="L241" s="268"/>
      <c r="M241" s="268"/>
    </row>
  </sheetData>
  <autoFilter ref="F2:F241" xr:uid="{428F7DA5-8F2A-447A-9B23-06CD6D8B0E1D}"/>
  <mergeCells count="3">
    <mergeCell ref="B7:K7"/>
    <mergeCell ref="B100:N100"/>
    <mergeCell ref="L101:O101"/>
  </mergeCells>
  <phoneticPr fontId="34" type="noConversion"/>
  <conditionalFormatting sqref="F49:F50">
    <cfRule type="containsText" dxfId="2" priority="3" operator="containsText" text="Public">
      <formula>NOT(ISERROR(SEARCH("Public",F49)))</formula>
    </cfRule>
    <cfRule type="cellIs" dxfId="1" priority="4" operator="equal">
      <formula>"""Public Purpose Program"""</formula>
    </cfRule>
  </conditionalFormatting>
  <conditionalFormatting sqref="M64:M72 M60">
    <cfRule type="duplicateValues" dxfId="0" priority="20"/>
  </conditionalFormatting>
  <dataValidations disablePrompts="1" count="1">
    <dataValidation type="list" allowBlank="1" showInputMessage="1" showErrorMessage="1" sqref="K102:L102 G102" xr:uid="{6088A891-38B4-4D34-91E9-49BBED0B39DE}">
      <formula1>"2019,2020,2021,2022,2023,2024,2025"</formula1>
    </dataValidation>
  </dataValidations>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583C-BC29-4C0A-9DD4-F45D9C5A9712}">
  <sheetPr codeName="Sheet5">
    <pageSetUpPr autoPageBreaks="0"/>
  </sheetPr>
  <dimension ref="B1:AN74"/>
  <sheetViews>
    <sheetView tabSelected="1" zoomScale="90" zoomScaleNormal="90" workbookViewId="0">
      <selection activeCell="E20" sqref="E20"/>
    </sheetView>
  </sheetViews>
  <sheetFormatPr defaultColWidth="8.81640625" defaultRowHeight="15.5"/>
  <cols>
    <col min="1" max="1" width="3.54296875" style="124" customWidth="1"/>
    <col min="2" max="2" width="20.54296875" style="124" customWidth="1"/>
    <col min="3" max="3" width="19.453125" style="124" customWidth="1"/>
    <col min="4" max="4" width="17.453125" style="124" customWidth="1"/>
    <col min="5" max="5" width="10.54296875" style="124" customWidth="1"/>
    <col min="6" max="6" width="25.453125" style="124" customWidth="1"/>
    <col min="7" max="7" width="18.26953125" style="124" customWidth="1"/>
    <col min="8" max="8" width="18.54296875" style="124" customWidth="1"/>
    <col min="9" max="9" width="13.54296875" style="124" customWidth="1"/>
    <col min="10" max="10" width="15.81640625" style="124" customWidth="1"/>
    <col min="11" max="11" width="16.81640625" style="124" customWidth="1"/>
    <col min="12" max="14" width="15.453125" style="124" customWidth="1"/>
    <col min="15" max="15" width="16.1796875" style="124" customWidth="1"/>
    <col min="16" max="16" width="15.54296875" style="124" customWidth="1"/>
    <col min="17" max="17" width="13" style="124" customWidth="1"/>
    <col min="18" max="18" width="14" style="124" customWidth="1"/>
    <col min="19" max="19" width="15.81640625" style="124" customWidth="1"/>
    <col min="20" max="20" width="13.26953125" style="124" customWidth="1"/>
    <col min="21" max="21" width="15" style="124" customWidth="1"/>
    <col min="22" max="22" width="16.26953125" style="124" bestFit="1" customWidth="1"/>
    <col min="23" max="23" width="11.54296875" style="124" bestFit="1" customWidth="1"/>
    <col min="24" max="24" width="15.453125" style="124" customWidth="1"/>
    <col min="25" max="26" width="20.1796875" style="124" customWidth="1"/>
    <col min="27" max="27" width="15.7265625" style="124" bestFit="1" customWidth="1"/>
    <col min="28" max="28" width="16.1796875" style="124" bestFit="1" customWidth="1"/>
    <col min="29" max="29" width="16.1796875" style="124" customWidth="1"/>
    <col min="30" max="30" width="12.81640625" style="124" bestFit="1" customWidth="1"/>
    <col min="31" max="31" width="12.81640625" style="124" customWidth="1"/>
    <col min="32" max="32" width="13.81640625" style="124" customWidth="1"/>
    <col min="33" max="34" width="8.81640625" style="124"/>
    <col min="35" max="35" width="14.7265625" style="124" bestFit="1" customWidth="1"/>
    <col min="36" max="36" width="16.26953125" style="124" bestFit="1" customWidth="1"/>
    <col min="37" max="37" width="9.54296875" style="124" bestFit="1" customWidth="1"/>
    <col min="38" max="38" width="8.81640625" style="124"/>
    <col min="39" max="39" width="15.81640625" style="124" bestFit="1" customWidth="1"/>
    <col min="40" max="40" width="11.81640625" style="124" customWidth="1"/>
    <col min="41" max="16384" width="8.81640625" style="124"/>
  </cols>
  <sheetData>
    <row r="1" spans="2:29" ht="53.9" customHeight="1">
      <c r="B1" s="313"/>
      <c r="C1" s="313"/>
      <c r="D1" s="313"/>
      <c r="E1" s="313"/>
      <c r="F1" s="313"/>
      <c r="G1" s="313"/>
      <c r="H1" s="313"/>
      <c r="I1" s="313"/>
      <c r="J1" s="313"/>
      <c r="K1" s="313"/>
      <c r="L1" s="313"/>
      <c r="M1" s="313"/>
      <c r="N1" s="313"/>
      <c r="O1" s="313"/>
      <c r="P1" s="313"/>
      <c r="Q1" s="313"/>
      <c r="R1" s="313"/>
      <c r="S1" s="313"/>
      <c r="T1" s="313"/>
      <c r="U1" s="313"/>
      <c r="V1" s="313"/>
      <c r="W1" s="313"/>
    </row>
    <row r="2" spans="2:29">
      <c r="B2" s="314"/>
      <c r="C2" s="517" t="s">
        <v>512</v>
      </c>
      <c r="D2" s="517"/>
      <c r="E2" s="314"/>
      <c r="F2" s="314"/>
      <c r="H2" s="316"/>
      <c r="J2" s="316"/>
      <c r="R2" s="314"/>
      <c r="S2" s="314"/>
      <c r="T2" s="314"/>
      <c r="U2" s="314"/>
      <c r="V2" s="314"/>
      <c r="W2" s="314"/>
    </row>
    <row r="3" spans="2:29">
      <c r="B3" s="317"/>
      <c r="C3" s="318" t="s">
        <v>446</v>
      </c>
      <c r="D3" s="318" t="s">
        <v>513</v>
      </c>
      <c r="R3" s="319"/>
      <c r="S3" s="319"/>
      <c r="T3" s="319"/>
      <c r="U3" s="319"/>
      <c r="V3" s="319"/>
      <c r="W3" s="319"/>
    </row>
    <row r="4" spans="2:29">
      <c r="B4" s="320" t="s">
        <v>233</v>
      </c>
      <c r="C4" s="187">
        <f>INDEX('Incremental Rev Req'!$R$9:$V$24,MATCH(B4,'Incremental Rev Req'!$R$9:$R$24,0),MATCH(Summary!$D$3,'Incremental Rev Req'!$R$9:$V$9,0))</f>
        <v>3075727.8217516071</v>
      </c>
      <c r="D4" s="187">
        <f>INDEX('Incremental Rev Req'!$R$101:$V$116,MATCH(B4,'Incremental Rev Req'!$R$101:$R$116,0),MATCH(Summary!$D$3,'Incremental Rev Req'!$R$101:$V$101,0))</f>
        <v>3075727.8217516071</v>
      </c>
      <c r="G4" s="520" t="s">
        <v>514</v>
      </c>
      <c r="H4" s="520"/>
      <c r="I4" s="520"/>
      <c r="J4" s="520"/>
      <c r="K4" s="520"/>
      <c r="L4" s="520"/>
      <c r="M4" s="520"/>
      <c r="N4" s="520"/>
      <c r="O4" s="520"/>
      <c r="P4" s="520"/>
      <c r="Q4" s="520"/>
      <c r="R4" s="520"/>
      <c r="S4" s="520"/>
      <c r="T4" s="520"/>
      <c r="U4" s="321"/>
      <c r="V4" s="321"/>
      <c r="W4" s="321"/>
      <c r="X4" s="321"/>
      <c r="Y4" s="321"/>
    </row>
    <row r="5" spans="2:29" ht="31">
      <c r="B5" s="320" t="s">
        <v>248</v>
      </c>
      <c r="C5" s="187">
        <f>INDEX('Incremental Rev Req'!$R$9:$V$24,MATCH(B5,'Incremental Rev Req'!$R$9:$R$24,0),MATCH(Summary!$D$3,'Incremental Rev Req'!$R$9:$V$9,0))</f>
        <v>431130.2253517076</v>
      </c>
      <c r="D5" s="187">
        <f>INDEX('Incremental Rev Req'!$R$101:$V$116,MATCH(B5,'Incremental Rev Req'!$R$101:$R$116,0),MATCH(Summary!$D$3,'Incremental Rev Req'!$R$101:$V$101,0))</f>
        <v>431130.2253517076</v>
      </c>
      <c r="F5" s="5"/>
      <c r="G5" s="322" t="s">
        <v>233</v>
      </c>
      <c r="H5" s="322" t="s">
        <v>214</v>
      </c>
      <c r="I5" s="322" t="s">
        <v>259</v>
      </c>
      <c r="J5" s="322" t="s">
        <v>515</v>
      </c>
      <c r="K5" s="322" t="s">
        <v>248</v>
      </c>
      <c r="L5" s="322" t="s">
        <v>421</v>
      </c>
      <c r="M5" s="322" t="s">
        <v>243</v>
      </c>
      <c r="N5" s="322" t="s">
        <v>242</v>
      </c>
      <c r="O5" s="322" t="s">
        <v>425</v>
      </c>
      <c r="P5" s="322" t="s">
        <v>516</v>
      </c>
      <c r="Q5" s="323" t="s">
        <v>402</v>
      </c>
      <c r="R5" s="322" t="s">
        <v>282</v>
      </c>
      <c r="S5" s="323" t="s">
        <v>225</v>
      </c>
      <c r="T5" s="324" t="s">
        <v>217</v>
      </c>
      <c r="AB5" s="325"/>
    </row>
    <row r="6" spans="2:29">
      <c r="B6" s="320" t="s">
        <v>214</v>
      </c>
      <c r="C6" s="187">
        <f>INDEX('Incremental Rev Req'!$R$9:$V$24,MATCH(B6,'Incremental Rev Req'!$R$9:$R$24,0),MATCH(Summary!$D$3,'Incremental Rev Req'!$R$9:$V$9,0))</f>
        <v>9526110.0969884321</v>
      </c>
      <c r="D6" s="187">
        <f>INDEX('Incremental Rev Req'!$R$101:$V$116,MATCH(B6,'Incremental Rev Req'!$R$101:$R$116,0),MATCH(Summary!$D$3,'Incremental Rev Req'!$R$101:$V$101,0))</f>
        <v>9570321.726732187</v>
      </c>
      <c r="F6" s="5" t="s">
        <v>163</v>
      </c>
      <c r="G6" s="62">
        <f>VLOOKUP(Summary!$D$3,$F$35:$T$38,G$33,FALSE)</f>
        <v>0.43002924310865648</v>
      </c>
      <c r="H6" s="62">
        <f>VLOOKUP(Summary!$D$3,$F$35:$T$38,H$33,FALSE)</f>
        <v>0.40612392962777127</v>
      </c>
      <c r="I6" s="62">
        <f>VLOOKUP(Summary!$D$3,$F$35:$T$38,I$33,FALSE)</f>
        <v>0.34239546338225313</v>
      </c>
      <c r="J6" s="62">
        <f>VLOOKUP(Summary!$D$3,$F$35:$T$38,J$33,FALSE)</f>
        <v>0.3392713624279195</v>
      </c>
      <c r="K6" s="62">
        <f>VLOOKUP(Summary!$D$3,$F$35:$T$38,K$33,FALSE)</f>
        <v>0.48768036339609455</v>
      </c>
      <c r="L6" s="62">
        <f>VLOOKUP(Summary!$D$3,$F$35:$T$38,L$33,FALSE)</f>
        <v>0.47700509598271418</v>
      </c>
      <c r="M6" s="62">
        <f>VLOOKUP(Summary!$D$3,$F$35:$T$38,M$33,FALSE)</f>
        <v>0.36222602887535721</v>
      </c>
      <c r="N6" s="62">
        <f>VLOOKUP(Summary!$D$3,$F$35:$T$38,N$33,FALSE)</f>
        <v>0.35051136171955549</v>
      </c>
      <c r="O6" s="62">
        <f>VLOOKUP(Summary!$D$3,$F$35:$T$38,O$33,FALSE)</f>
        <v>0.3453077165713041</v>
      </c>
      <c r="P6" s="62">
        <f>VLOOKUP(Summary!$D$3,$F$35:$T$38,P$33,FALSE)</f>
        <v>0.83472389049415474</v>
      </c>
      <c r="Q6" s="62">
        <f>VLOOKUP(Summary!$D$3,$F$35:$T$38,Q$33,FALSE)</f>
        <v>0.27230327335928306</v>
      </c>
      <c r="R6" s="62">
        <f>VLOOKUP(Summary!$D$3,$F$35:$T$38,R$33,FALSE)</f>
        <v>0.3383268031352431</v>
      </c>
      <c r="S6" s="62">
        <f>VLOOKUP(Summary!$D$3,$F$35:$T$38,S$33,FALSE)</f>
        <v>0.35064423154799867</v>
      </c>
      <c r="T6" s="62">
        <f>VLOOKUP(Summary!$D$3,$F$35:$T$38,T$33,FALSE)</f>
        <v>0.39524787945951845</v>
      </c>
      <c r="U6" s="326"/>
    </row>
    <row r="7" spans="2:29">
      <c r="B7" s="320" t="s">
        <v>336</v>
      </c>
      <c r="C7" s="187">
        <f>INDEX('Incremental Rev Req'!$R$9:$V$24,MATCH(B7,'Incremental Rev Req'!$R$9:$R$24,0),MATCH(Summary!$D$3,'Incremental Rev Req'!$R$9:$V$9,0))</f>
        <v>-475276.50099999999</v>
      </c>
      <c r="D7" s="187">
        <f>INDEX('Incremental Rev Req'!$R$101:$V$116,MATCH(B7,'Incremental Rev Req'!$R$101:$R$116,0),MATCH(Summary!$D$3,'Incremental Rev Req'!$R$101:$V$101,0))</f>
        <v>-475276.50099999999</v>
      </c>
      <c r="F7" s="5"/>
      <c r="G7" s="70"/>
      <c r="H7" s="70"/>
      <c r="I7" s="70"/>
      <c r="J7" s="70"/>
      <c r="K7" s="70"/>
      <c r="L7" s="70"/>
      <c r="M7" s="70"/>
      <c r="N7" s="70"/>
      <c r="O7" s="70"/>
      <c r="P7" s="70"/>
      <c r="Q7" s="70"/>
    </row>
    <row r="8" spans="2:29" ht="15.75" customHeight="1">
      <c r="B8" s="320" t="s">
        <v>243</v>
      </c>
      <c r="C8" s="187">
        <f>INDEX('Incremental Rev Req'!$R$9:$V$24,MATCH(B8,'Incremental Rev Req'!$R$9:$R$24,0),MATCH(Summary!$D$3,'Incremental Rev Req'!$R$9:$V$9,0))</f>
        <v>19992.065902402835</v>
      </c>
      <c r="D8" s="187">
        <f>INDEX('Incremental Rev Req'!$R$101:$V$116,MATCH(B8,'Incremental Rev Req'!$R$101:$R$116,0),MATCH(Summary!$D$3,'Incremental Rev Req'!$R$101:$V$101,0))</f>
        <v>19992.065902402835</v>
      </c>
      <c r="F8" s="321"/>
      <c r="G8" s="520" t="s">
        <v>517</v>
      </c>
      <c r="H8" s="520"/>
      <c r="I8" s="520"/>
      <c r="J8" s="520"/>
      <c r="K8" s="520"/>
      <c r="L8" s="520"/>
      <c r="M8" s="520"/>
      <c r="N8" s="520"/>
      <c r="O8" s="520"/>
      <c r="P8" s="520"/>
      <c r="Q8" s="520"/>
      <c r="R8" s="520"/>
      <c r="S8" s="520"/>
      <c r="T8" s="520"/>
    </row>
    <row r="9" spans="2:29" ht="34.5" customHeight="1">
      <c r="B9" s="320" t="s">
        <v>259</v>
      </c>
      <c r="C9" s="187">
        <f>INDEX('Incremental Rev Req'!$R$9:$V$24,MATCH(B9,'Incremental Rev Req'!$R$9:$R$24,0),MATCH(Summary!$D$3,'Incremental Rev Req'!$R$9:$V$9,0))</f>
        <v>-1604.9394941091518</v>
      </c>
      <c r="D9" s="187">
        <f>INDEX('Incremental Rev Req'!$R$101:$V$116,MATCH(B9,'Incremental Rev Req'!$R$101:$R$116,0),MATCH(Summary!$D$3,'Incremental Rev Req'!$R$101:$V$101,0))</f>
        <v>-1604.9394941091518</v>
      </c>
      <c r="F9" s="327" t="s">
        <v>446</v>
      </c>
      <c r="G9" s="322" t="s">
        <v>233</v>
      </c>
      <c r="H9" s="322" t="s">
        <v>214</v>
      </c>
      <c r="I9" s="322" t="s">
        <v>259</v>
      </c>
      <c r="J9" s="322" t="s">
        <v>338</v>
      </c>
      <c r="K9" s="322" t="s">
        <v>248</v>
      </c>
      <c r="L9" s="322" t="s">
        <v>421</v>
      </c>
      <c r="M9" s="322" t="s">
        <v>243</v>
      </c>
      <c r="N9" s="322" t="s">
        <v>242</v>
      </c>
      <c r="O9" s="322" t="s">
        <v>425</v>
      </c>
      <c r="P9" s="322" t="s">
        <v>336</v>
      </c>
      <c r="Q9" s="322" t="s">
        <v>402</v>
      </c>
      <c r="R9" s="322" t="s">
        <v>282</v>
      </c>
      <c r="S9" s="323" t="s">
        <v>225</v>
      </c>
      <c r="T9" s="324" t="s">
        <v>217</v>
      </c>
      <c r="U9" s="322" t="s">
        <v>170</v>
      </c>
    </row>
    <row r="10" spans="2:29">
      <c r="B10" s="320" t="s">
        <v>338</v>
      </c>
      <c r="C10" s="187">
        <f>INDEX('Incremental Rev Req'!$R$9:$V$24,MATCH(B10,'Incremental Rev Req'!$R$9:$R$24,0),MATCH(Summary!$D$3,'Incremental Rev Req'!$R$9:$V$9,0))</f>
        <v>744305.81456082384</v>
      </c>
      <c r="D10" s="187">
        <f>INDEX('Incremental Rev Req'!$R$101:$V$116,MATCH(B10,'Incremental Rev Req'!$R$101:$R$116,0),MATCH(Summary!$D$3,'Incremental Rev Req'!$R$101:$V$101,0))</f>
        <v>744305.81456082384</v>
      </c>
      <c r="F10" s="5" t="s">
        <v>163</v>
      </c>
      <c r="G10" s="328">
        <f t="shared" ref="G10:Q10" si="0">G6*G11</f>
        <v>1322652.9071960803</v>
      </c>
      <c r="H10" s="328">
        <f t="shared" si="0"/>
        <v>3868781.2666557315</v>
      </c>
      <c r="I10" s="328">
        <f t="shared" si="0"/>
        <v>-549.52400178598191</v>
      </c>
      <c r="J10" s="328">
        <f t="shared" si="0"/>
        <v>252521.64776907311</v>
      </c>
      <c r="K10" s="328">
        <f t="shared" si="0"/>
        <v>210253.74497056089</v>
      </c>
      <c r="L10" s="328">
        <f t="shared" si="0"/>
        <v>1230763.7116467515</v>
      </c>
      <c r="M10" s="328">
        <f t="shared" si="0"/>
        <v>7241.6466408418137</v>
      </c>
      <c r="N10" s="328">
        <f t="shared" si="0"/>
        <v>590.72382821069721</v>
      </c>
      <c r="O10" s="328">
        <f t="shared" si="0"/>
        <v>122698.66948438884</v>
      </c>
      <c r="P10" s="328">
        <f t="shared" si="0"/>
        <v>-396724.64997516904</v>
      </c>
      <c r="Q10" s="328">
        <f t="shared" si="0"/>
        <v>109419.64774578589</v>
      </c>
      <c r="R10" s="328">
        <f>R6*R11</f>
        <v>75644.078817143949</v>
      </c>
      <c r="S10" s="328">
        <f>S6*S11</f>
        <v>456274.24264774763</v>
      </c>
      <c r="T10" s="328">
        <f>T6*T11</f>
        <v>676239.34735456703</v>
      </c>
      <c r="U10" s="329">
        <f>SUM(G10:T10)</f>
        <v>7935807.4607799286</v>
      </c>
      <c r="W10" s="330"/>
      <c r="X10" s="330"/>
    </row>
    <row r="11" spans="2:29">
      <c r="B11" s="320" t="s">
        <v>402</v>
      </c>
      <c r="C11" s="187">
        <f>INDEX('Incremental Rev Req'!$R$9:$V$24,MATCH(B11,'Incremental Rev Req'!$R$9:$R$24,0),MATCH(Summary!$D$3,'Incremental Rev Req'!$R$9:$V$9,0))</f>
        <v>401830.0859770244</v>
      </c>
      <c r="D11" s="187">
        <f>INDEX('Incremental Rev Req'!$R$101:$V$116,MATCH(B11,'Incremental Rev Req'!$R$101:$R$116,0),MATCH(Summary!$D$3,'Incremental Rev Req'!$R$101:$V$101,0))</f>
        <v>401830.0859770244</v>
      </c>
      <c r="F11" s="5" t="s">
        <v>518</v>
      </c>
      <c r="G11" s="55">
        <f t="shared" ref="G11:M11" si="1">VLOOKUP(G9,$B$4:$D$17,2,FALSE)</f>
        <v>3075727.8217516071</v>
      </c>
      <c r="H11" s="55">
        <f t="shared" si="1"/>
        <v>9526110.0969884321</v>
      </c>
      <c r="I11" s="55">
        <f t="shared" si="1"/>
        <v>-1604.9394941091518</v>
      </c>
      <c r="J11" s="55">
        <f t="shared" si="1"/>
        <v>744305.81456082384</v>
      </c>
      <c r="K11" s="55">
        <f t="shared" si="1"/>
        <v>431130.2253517076</v>
      </c>
      <c r="L11" s="55">
        <f t="shared" si="1"/>
        <v>2580189.8596306657</v>
      </c>
      <c r="M11" s="55">
        <f t="shared" si="1"/>
        <v>19992.065902402835</v>
      </c>
      <c r="N11" s="55">
        <f>VLOOKUP(N9,$B$4:$D$16,2,FALSE)</f>
        <v>1685.3200572805854</v>
      </c>
      <c r="O11" s="55">
        <f>VLOOKUP(O9,$B$4:$D$16,2,FALSE)</f>
        <v>355331.38588014222</v>
      </c>
      <c r="P11" s="55">
        <f>VLOOKUP(P9,$B$4:$D$17,2,FALSE)</f>
        <v>-475276.50099999999</v>
      </c>
      <c r="Q11" s="55">
        <f>VLOOKUP(Q9,$B$4:$D$17,2,FALSE)</f>
        <v>401830.0859770244</v>
      </c>
      <c r="R11" s="55">
        <f>VLOOKUP(R9,$B$4:$D$17,2,FALSE)</f>
        <v>223582.8734707309</v>
      </c>
      <c r="S11" s="56">
        <f>VLOOKUP(S9,$B$4:$D$17,2,FALSE)</f>
        <v>1301245.5406250982</v>
      </c>
      <c r="T11" s="55">
        <f>VLOOKUP(T9,$B$4:$D$17,2,FALSE)</f>
        <v>1710924.6690438676</v>
      </c>
      <c r="U11" s="74">
        <f>SUM(G11:T11)</f>
        <v>19895174.318745676</v>
      </c>
      <c r="X11" s="316"/>
    </row>
    <row r="12" spans="2:29">
      <c r="B12" s="320" t="s">
        <v>242</v>
      </c>
      <c r="C12" s="187">
        <f>INDEX('Incremental Rev Req'!$R$9:$V$24,MATCH(B12,'Incremental Rev Req'!$R$9:$R$24,0),MATCH(Summary!$D$3,'Incremental Rev Req'!$R$9:$V$9,0))</f>
        <v>1685.3200572805854</v>
      </c>
      <c r="D12" s="187">
        <f>INDEX('Incremental Rev Req'!$R$101:$V$116,MATCH(B12,'Incremental Rev Req'!$R$101:$R$116,0),MATCH(Summary!$D$3,'Incremental Rev Req'!$R$101:$V$101,0))</f>
        <v>1685.3200572805854</v>
      </c>
      <c r="F12" s="327" t="s">
        <v>519</v>
      </c>
      <c r="U12" s="326"/>
    </row>
    <row r="13" spans="2:29" ht="15.65" customHeight="1">
      <c r="B13" s="320" t="s">
        <v>421</v>
      </c>
      <c r="C13" s="187">
        <f>INDEX('Incremental Rev Req'!$R$9:$V$24,MATCH(B13,'Incremental Rev Req'!$R$9:$R$24,0),MATCH(Summary!$D$3,'Incremental Rev Req'!$R$9:$V$9,0))</f>
        <v>2580189.8596306657</v>
      </c>
      <c r="D13" s="187">
        <f>INDEX('Incremental Rev Req'!$R$101:$V$116,MATCH(B13,'Incremental Rev Req'!$R$101:$R$116,0),MATCH(Summary!$D$3,'Incremental Rev Req'!$R$101:$V$101,0))</f>
        <v>2580189.8596306657</v>
      </c>
      <c r="F13" s="5" t="s">
        <v>163</v>
      </c>
      <c r="G13" s="328">
        <f>G6*G14</f>
        <v>1322652.9071960803</v>
      </c>
      <c r="H13" s="328">
        <f t="shared" ref="H13:Q13" si="2">H6*H14</f>
        <v>3886736.6674625133</v>
      </c>
      <c r="I13" s="328">
        <f t="shared" si="2"/>
        <v>-549.52400178598191</v>
      </c>
      <c r="J13" s="328">
        <f t="shared" si="2"/>
        <v>252521.64776907311</v>
      </c>
      <c r="K13" s="328">
        <f t="shared" si="2"/>
        <v>210253.74497056089</v>
      </c>
      <c r="L13" s="328">
        <f t="shared" si="2"/>
        <v>1230763.7116467515</v>
      </c>
      <c r="M13" s="328">
        <f>M6*M14</f>
        <v>7241.6466408418137</v>
      </c>
      <c r="N13" s="328">
        <f>N6*N14</f>
        <v>590.72382821069721</v>
      </c>
      <c r="O13" s="328">
        <f t="shared" si="2"/>
        <v>122698.66948438884</v>
      </c>
      <c r="P13" s="328">
        <f t="shared" si="2"/>
        <v>-396724.64997516904</v>
      </c>
      <c r="Q13" s="328">
        <f t="shared" si="2"/>
        <v>109419.64774578589</v>
      </c>
      <c r="R13" s="328">
        <f>R6*R14</f>
        <v>75644.078817143949</v>
      </c>
      <c r="S13" s="328">
        <f>S6*S14</f>
        <v>474227.75665045663</v>
      </c>
      <c r="T13" s="328">
        <f>T6*T14</f>
        <v>804982.32824587356</v>
      </c>
      <c r="U13" s="329">
        <f>SUM(G13:T13)</f>
        <v>8100459.3564807251</v>
      </c>
    </row>
    <row r="14" spans="2:29" ht="15.65" customHeight="1">
      <c r="B14" s="320" t="s">
        <v>425</v>
      </c>
      <c r="C14" s="187">
        <f>INDEX('Incremental Rev Req'!$R$9:$V$24,MATCH(B14,'Incremental Rev Req'!$R$9:$R$24,0),MATCH(Summary!$D$3,'Incremental Rev Req'!$R$9:$V$9,0))</f>
        <v>355331.38588014222</v>
      </c>
      <c r="D14" s="187">
        <f>INDEX('Incremental Rev Req'!$R$101:$V$116,MATCH(B14,'Incremental Rev Req'!$R$101:$R$116,0),MATCH(Summary!$D$3,'Incremental Rev Req'!$R$101:$V$101,0))</f>
        <v>355331.38588014222</v>
      </c>
      <c r="F14" s="5" t="s">
        <v>518</v>
      </c>
      <c r="G14" s="55">
        <f>VLOOKUP(G9,$B$4:$D$16,3,FALSE)</f>
        <v>3075727.8217516071</v>
      </c>
      <c r="H14" s="55">
        <f t="shared" ref="H14:S14" si="3">VLOOKUP(H9,$B$4:$D$16,3,FALSE)</f>
        <v>9570321.726732187</v>
      </c>
      <c r="I14" s="55">
        <f t="shared" si="3"/>
        <v>-1604.9394941091518</v>
      </c>
      <c r="J14" s="55">
        <f t="shared" si="3"/>
        <v>744305.81456082384</v>
      </c>
      <c r="K14" s="55">
        <f t="shared" si="3"/>
        <v>431130.2253517076</v>
      </c>
      <c r="L14" s="55">
        <f t="shared" si="3"/>
        <v>2580189.8596306657</v>
      </c>
      <c r="M14" s="55">
        <f t="shared" si="3"/>
        <v>19992.065902402835</v>
      </c>
      <c r="N14" s="55">
        <f>VLOOKUP(N9,$B$4:$D$16,3,FALSE)</f>
        <v>1685.3200572805854</v>
      </c>
      <c r="O14" s="55">
        <f t="shared" si="3"/>
        <v>355331.38588014222</v>
      </c>
      <c r="P14" s="55">
        <f t="shared" si="3"/>
        <v>-475276.50099999999</v>
      </c>
      <c r="Q14" s="55">
        <f t="shared" si="3"/>
        <v>401830.0859770244</v>
      </c>
      <c r="R14" s="55">
        <f t="shared" si="3"/>
        <v>223582.8734707309</v>
      </c>
      <c r="S14" s="55">
        <f t="shared" si="3"/>
        <v>1352447.050267647</v>
      </c>
      <c r="T14" s="55">
        <f>VLOOKUP(T9,$B$4:$D$17,3,FALSE)</f>
        <v>2036651.858440446</v>
      </c>
      <c r="U14" s="74">
        <f>SUM(G14:T14)</f>
        <v>20316314.647528559</v>
      </c>
    </row>
    <row r="15" spans="2:29">
      <c r="B15" s="320" t="s">
        <v>225</v>
      </c>
      <c r="C15" s="76">
        <f>INDEX('Incremental Rev Req'!$R$9:$V$24,MATCH(B15,'Incremental Rev Req'!$R$9:$R$24,0),MATCH(Summary!$D$3,'Incremental Rev Req'!$R$9:$V$9,0))</f>
        <v>1301245.5406250982</v>
      </c>
      <c r="D15" s="187">
        <f>INDEX('Incremental Rev Req'!$R$101:$V$116,MATCH(B15,'Incremental Rev Req'!$R$101:$R$116,0),MATCH(Summary!$D$3,'Incremental Rev Req'!$R$101:$V$101,0))</f>
        <v>1352447.050267647</v>
      </c>
      <c r="F15" s="199"/>
      <c r="G15" s="331"/>
      <c r="H15" s="331"/>
      <c r="I15" s="331"/>
      <c r="J15" s="321"/>
      <c r="AA15" s="5"/>
      <c r="AB15" s="332" t="s">
        <v>446</v>
      </c>
      <c r="AC15" s="332" t="s">
        <v>519</v>
      </c>
    </row>
    <row r="16" spans="2:29">
      <c r="B16" s="320" t="s">
        <v>282</v>
      </c>
      <c r="C16" s="76">
        <f>INDEX('Incremental Rev Req'!$R$9:$V$24,MATCH(B16,'Incremental Rev Req'!$R$9:$R$24,0),MATCH(Summary!$D$3,'Incremental Rev Req'!$R$9:$V$9,0))</f>
        <v>223582.8734707309</v>
      </c>
      <c r="D16" s="187">
        <f>INDEX('Incremental Rev Req'!$R$101:$V$116,MATCH(B16,'Incremental Rev Req'!$R$101:$R$116,0),MATCH(Summary!$D$3,'Incremental Rev Req'!$R$101:$V$101,0))</f>
        <v>223582.8734707309</v>
      </c>
      <c r="U16" s="515" t="s">
        <v>446</v>
      </c>
      <c r="V16" s="516"/>
      <c r="W16" s="515" t="s">
        <v>519</v>
      </c>
      <c r="X16" s="516"/>
      <c r="AA16" s="72" t="s">
        <v>520</v>
      </c>
      <c r="AB16" s="73">
        <f>((VLOOKUP(Summary!$D$3,N51:O54,2,FALSE))-(VLOOKUP(Summary!$D$3,F51:G54,2,FALSE)))/(VLOOKUP(Summary!$D$3,N51:O54,2,FALSE))</f>
        <v>0.27045122760591045</v>
      </c>
      <c r="AC16" s="73">
        <f>AB16</f>
        <v>0.27045122760591045</v>
      </c>
    </row>
    <row r="17" spans="2:40">
      <c r="B17" s="124" t="s">
        <v>217</v>
      </c>
      <c r="C17" s="76">
        <f>INDEX('Incremental Rev Req'!$R$9:$V$24,MATCH(B17,'Incremental Rev Req'!$R$9:$R$24,0),MATCH(Summary!$D$3,'Incremental Rev Req'!$R$9:$V$9,0))</f>
        <v>1710924.6690438676</v>
      </c>
      <c r="D17" s="187">
        <f>INDEX('Incremental Rev Req'!$R$101:$V$116,MATCH(B17,'Incremental Rev Req'!$R$101:$R$116,0),MATCH(Summary!$D$3,'Incremental Rev Req'!$R$101:$V$101,0))</f>
        <v>2036651.858440446</v>
      </c>
      <c r="F17" s="321"/>
      <c r="G17" s="521" t="s">
        <v>521</v>
      </c>
      <c r="H17" s="521"/>
      <c r="I17" s="521"/>
      <c r="J17" s="521"/>
      <c r="K17" s="521"/>
      <c r="L17" s="521"/>
      <c r="M17" s="521"/>
      <c r="N17" s="521"/>
      <c r="O17" s="521"/>
      <c r="P17" s="521"/>
      <c r="Q17" s="521"/>
      <c r="R17" s="521"/>
      <c r="S17" s="521"/>
      <c r="T17" s="519"/>
      <c r="U17" s="518" t="s">
        <v>522</v>
      </c>
      <c r="V17" s="519"/>
      <c r="W17" s="518" t="s">
        <v>522</v>
      </c>
      <c r="X17" s="519"/>
      <c r="AA17" s="72" t="s">
        <v>523</v>
      </c>
      <c r="AB17" s="73">
        <v>0.35</v>
      </c>
      <c r="AC17" s="73">
        <f>AB17</f>
        <v>0.35</v>
      </c>
      <c r="AF17" s="325"/>
    </row>
    <row r="18" spans="2:40" ht="31.5" customHeight="1">
      <c r="B18" s="320" t="s">
        <v>170</v>
      </c>
      <c r="C18" s="188">
        <f>SUM(C4:C17)</f>
        <v>19895174.318745676</v>
      </c>
      <c r="D18" s="188">
        <f>SUM(D4:D17)</f>
        <v>20316314.647528559</v>
      </c>
      <c r="E18" s="321"/>
      <c r="G18" s="323" t="s">
        <v>233</v>
      </c>
      <c r="H18" s="322" t="s">
        <v>214</v>
      </c>
      <c r="I18" s="322" t="s">
        <v>259</v>
      </c>
      <c r="J18" s="322" t="s">
        <v>515</v>
      </c>
      <c r="K18" s="322" t="s">
        <v>248</v>
      </c>
      <c r="L18" s="322" t="s">
        <v>421</v>
      </c>
      <c r="M18" s="322" t="s">
        <v>243</v>
      </c>
      <c r="N18" s="322" t="s">
        <v>242</v>
      </c>
      <c r="O18" s="322" t="s">
        <v>425</v>
      </c>
      <c r="P18" s="322" t="s">
        <v>516</v>
      </c>
      <c r="Q18" s="323" t="s">
        <v>402</v>
      </c>
      <c r="R18" s="322" t="s">
        <v>282</v>
      </c>
      <c r="S18" s="323" t="s">
        <v>225</v>
      </c>
      <c r="T18" s="335" t="s">
        <v>217</v>
      </c>
      <c r="U18" s="41" t="s">
        <v>170</v>
      </c>
      <c r="V18" s="41" t="s">
        <v>524</v>
      </c>
      <c r="W18" s="336" t="s">
        <v>170</v>
      </c>
      <c r="X18" s="337" t="s">
        <v>524</v>
      </c>
      <c r="AA18" s="72" t="s">
        <v>525</v>
      </c>
      <c r="AB18" s="55">
        <f>SUM(H10:O10,S10:T10,G10/H19)*AB16*AB17</f>
        <v>968142.91952427558</v>
      </c>
      <c r="AC18" s="55">
        <f>SUM(H13:O13,S13:T13,G13/H19)*AB16*AB17</f>
        <v>983728.52708624792</v>
      </c>
    </row>
    <row r="19" spans="2:40">
      <c r="B19" s="6"/>
      <c r="C19" s="187"/>
      <c r="D19" s="5"/>
      <c r="F19" s="5" t="s">
        <v>163</v>
      </c>
      <c r="G19" s="94">
        <f>VLOOKUP(Summary!$D$3,$F$41:$Q$44,G$33,FALSE)</f>
        <v>1</v>
      </c>
      <c r="H19" s="94">
        <f>VLOOKUP(Summary!$D$3,$F$41:$T$44,H$33,FALSE)</f>
        <v>0.3886737227775372</v>
      </c>
      <c r="I19" s="94">
        <f>VLOOKUP(Summary!$D$3,$F$41:$T$44,I$33,FALSE)</f>
        <v>0.3886737227775372</v>
      </c>
      <c r="J19" s="94">
        <f>VLOOKUP(Summary!$D$3,$F$41:$T$44,J$33,FALSE)</f>
        <v>0.3886737227775372</v>
      </c>
      <c r="K19" s="94">
        <f>VLOOKUP(Summary!$D$3,$F$41:$T$44,K$33,FALSE)</f>
        <v>0.3886737227775372</v>
      </c>
      <c r="L19" s="94">
        <f>VLOOKUP(Summary!$D$3,$F$41:$T$44,L$33,FALSE)</f>
        <v>0.3886737227775372</v>
      </c>
      <c r="M19" s="94">
        <f>VLOOKUP(Summary!$D$3,$F$41:$T$44,M$33,FALSE)</f>
        <v>0.3886737227775372</v>
      </c>
      <c r="N19" s="94">
        <f>VLOOKUP(Summary!$D$3,$F$41:$T$44,N$33,FALSE)</f>
        <v>0.3886737227775372</v>
      </c>
      <c r="O19" s="94">
        <f>VLOOKUP(Summary!$D$3,$F$41:$T$44,O$33,FALSE)</f>
        <v>0.3886737227775372</v>
      </c>
      <c r="P19" s="94">
        <f>VLOOKUP(Summary!$D$3,$F$41:$T$44,P$33,FALSE)</f>
        <v>0.3886737227775372</v>
      </c>
      <c r="Q19" s="94">
        <f>VLOOKUP(Summary!$D$3,$F$41:$T$44,Q$33,FALSE)</f>
        <v>0.3886737227775372</v>
      </c>
      <c r="R19" s="94">
        <f>VLOOKUP(Summary!$D$3,$F$41:$T$44,R$33,FALSE)</f>
        <v>0.3886737227775372</v>
      </c>
      <c r="S19" s="94">
        <f>VLOOKUP(Summary!$D$3,$F$41:$T$44,S$33,FALSE)</f>
        <v>-0.22807392582306496</v>
      </c>
      <c r="T19" s="71">
        <f>VLOOKUP(Summary!$D$3,$F$41:$T$44,T$33,FALSE)</f>
        <v>0.3886737227775372</v>
      </c>
      <c r="U19" s="56">
        <f>SUMPRODUCT(G10:T10,G19:T19)</f>
        <v>3611606.2405707175</v>
      </c>
      <c r="V19" s="56">
        <f>U19-(($AB$18-$AB$21)*H19)</f>
        <v>3342760.3097934653</v>
      </c>
      <c r="W19" s="74">
        <f>SUMPRODUCT(G13:T13,G19:T19)</f>
        <v>3664529.3182898364</v>
      </c>
      <c r="X19" s="75">
        <f>W19-(($AC$18-$AC$21)*H19)</f>
        <v>3391355.3827446662</v>
      </c>
      <c r="AA19" s="72" t="s">
        <v>526</v>
      </c>
      <c r="AB19" s="328">
        <f>VLOOKUP(Summary!$D$3,$F$51:$G$54,2,FALSE)</f>
        <v>19358300.385786124</v>
      </c>
      <c r="AC19" s="76">
        <f>AB19</f>
        <v>19358300.385786124</v>
      </c>
      <c r="AF19" s="325"/>
    </row>
    <row r="20" spans="2:40">
      <c r="B20" s="6"/>
      <c r="C20" s="6"/>
      <c r="D20" s="5"/>
      <c r="F20" s="5" t="s">
        <v>518</v>
      </c>
      <c r="G20" s="94">
        <f>VLOOKUP(Summary!$D$3,$F$45:$T$48,G$33,FALSE)</f>
        <v>1</v>
      </c>
      <c r="H20" s="94">
        <f>VLOOKUP(Summary!$D$3,$F$45:$T$48,H$33,FALSE)</f>
        <v>0.32886186544742674</v>
      </c>
      <c r="I20" s="94">
        <f>VLOOKUP(Summary!$D$3,$F$45:$T$48,I$33,FALSE)</f>
        <v>0.32886186544742674</v>
      </c>
      <c r="J20" s="94">
        <f>VLOOKUP(Summary!$D$3,$F$45:$T$48,J$33,FALSE)</f>
        <v>0.32886186544742674</v>
      </c>
      <c r="K20" s="94">
        <f>VLOOKUP(Summary!$D$3,$F$45:$T$48,K$33,FALSE)</f>
        <v>0.32886186544742674</v>
      </c>
      <c r="L20" s="94">
        <f>VLOOKUP(Summary!$D$3,$F$45:$T$48,L$33,FALSE)</f>
        <v>0.32886186544742674</v>
      </c>
      <c r="M20" s="94">
        <f>VLOOKUP(Summary!$D$3,$F$45:$T$48,M$33,FALSE)</f>
        <v>0.32886186544742674</v>
      </c>
      <c r="N20" s="94">
        <f>VLOOKUP(Summary!$D$3,$F$45:$T$48,N$33,FALSE)</f>
        <v>0.32886186544742674</v>
      </c>
      <c r="O20" s="94">
        <f>VLOOKUP(Summary!$D$3,$F$45:$T$48,O$33,FALSE)</f>
        <v>0.32886186544742674</v>
      </c>
      <c r="P20" s="94">
        <f>VLOOKUP(Summary!$D$3,$F$45:$T$48,P$33,FALSE)</f>
        <v>0.32886186544742674</v>
      </c>
      <c r="Q20" s="94">
        <f>VLOOKUP(Summary!$D$3,$F$45:$T$48,Q$33,FALSE)</f>
        <v>0.32886186544742674</v>
      </c>
      <c r="R20" s="94">
        <f>VLOOKUP(Summary!$D$3,$F$45:$T$48,R$33,FALSE)</f>
        <v>0.32886186544742674</v>
      </c>
      <c r="S20" s="94">
        <f>VLOOKUP(Summary!$D$3,$F$45:$T$48,S$33,FALSE)</f>
        <v>-0.18596781844616742</v>
      </c>
      <c r="T20" s="71">
        <f>VLOOKUP(Summary!$D$3,$F$45:$T$48,T$33,FALSE)</f>
        <v>0.32886186544742674</v>
      </c>
      <c r="U20" s="56">
        <f>SUMPRODUCT(G11:T11,G20:T20)</f>
        <v>7937082.5421982938</v>
      </c>
      <c r="V20" s="56">
        <f>U20</f>
        <v>7937082.5421982938</v>
      </c>
      <c r="W20" s="74">
        <f>SUMPRODUCT(G14:T14,G20:T20)</f>
        <v>8049219.4793128278</v>
      </c>
      <c r="X20" s="75">
        <f>W20</f>
        <v>8049219.4793128278</v>
      </c>
      <c r="AA20" s="72" t="s">
        <v>527</v>
      </c>
      <c r="AB20" s="328">
        <f>VLOOKUP(Summary!$D$3,$F$55:$G$58,2,FALSE)</f>
        <v>67795755.926224142</v>
      </c>
      <c r="AC20" s="76">
        <f>AB20</f>
        <v>67795755.926224142</v>
      </c>
    </row>
    <row r="21" spans="2:40">
      <c r="B21" s="6"/>
      <c r="C21" s="6"/>
      <c r="D21" s="5"/>
      <c r="G21" s="316"/>
      <c r="H21" s="316"/>
      <c r="I21" s="316"/>
      <c r="J21" s="316"/>
      <c r="K21" s="316"/>
      <c r="L21" s="316"/>
      <c r="M21" s="316"/>
      <c r="N21" s="316"/>
      <c r="O21" s="316"/>
      <c r="P21" s="316"/>
      <c r="Q21" s="316"/>
      <c r="S21" s="316"/>
      <c r="U21" s="5"/>
      <c r="V21" s="56"/>
      <c r="AA21" s="72" t="s">
        <v>528</v>
      </c>
      <c r="AB21" s="55">
        <f>AB18*AB19/AB20</f>
        <v>276442.10461961129</v>
      </c>
      <c r="AC21" s="55">
        <f>AC18*AC19/AC20</f>
        <v>280892.39606865076</v>
      </c>
    </row>
    <row r="22" spans="2:40">
      <c r="B22" s="6"/>
      <c r="C22" s="6"/>
      <c r="D22" s="5"/>
      <c r="F22" s="321" t="str">
        <f>"Notes: Allocation and bundled/unbundled split based on "&amp;Summary!L4&amp;" sales forecast"</f>
        <v>Notes: Allocation and bundled/unbundled split based on 2026 sales forecast</v>
      </c>
      <c r="R22" s="316"/>
      <c r="S22" s="322"/>
      <c r="T22" s="5"/>
      <c r="V22" s="124" t="s">
        <v>529</v>
      </c>
      <c r="W22" s="330">
        <f>P10*P19</f>
        <v>-154196.44662346432</v>
      </c>
      <c r="X22" s="330">
        <f>P13*P19</f>
        <v>-154196.44662346432</v>
      </c>
      <c r="Y22" s="338"/>
    </row>
    <row r="23" spans="2:40">
      <c r="B23" s="6"/>
      <c r="C23" s="6"/>
      <c r="E23" s="5"/>
      <c r="F23" s="5"/>
      <c r="G23" s="6"/>
      <c r="H23" s="6"/>
      <c r="I23" s="6"/>
      <c r="J23" s="6"/>
      <c r="K23" s="6"/>
      <c r="L23" s="6"/>
      <c r="M23" s="6"/>
      <c r="N23" s="6"/>
      <c r="O23" s="6"/>
      <c r="P23" s="6"/>
      <c r="Q23" s="6"/>
      <c r="R23" s="6"/>
      <c r="S23" s="9"/>
      <c r="T23" s="9"/>
      <c r="U23" s="5"/>
      <c r="V23" s="339" t="s">
        <v>530</v>
      </c>
      <c r="W23" s="330">
        <f>P11*P20</f>
        <v>-156300.31672218579</v>
      </c>
      <c r="X23" s="340">
        <f>P14*P20</f>
        <v>-156300.31672218579</v>
      </c>
      <c r="Y23" s="5"/>
    </row>
    <row r="24" spans="2:40" ht="16" thickBot="1">
      <c r="B24" s="6"/>
      <c r="C24" s="6"/>
      <c r="E24" s="41"/>
      <c r="F24" s="41"/>
      <c r="G24" s="341"/>
      <c r="H24" s="41"/>
      <c r="I24" s="41"/>
      <c r="J24" s="41"/>
      <c r="K24" s="41"/>
      <c r="L24" s="41"/>
      <c r="M24" s="41"/>
      <c r="N24" s="41"/>
      <c r="O24" s="41"/>
      <c r="P24" s="41"/>
      <c r="Q24" s="41"/>
      <c r="R24" s="41"/>
      <c r="S24" s="9"/>
      <c r="T24" s="9"/>
      <c r="U24" s="189"/>
      <c r="V24" s="189"/>
      <c r="X24" s="5"/>
      <c r="Y24" s="116"/>
    </row>
    <row r="25" spans="2:40" ht="16" thickBot="1">
      <c r="B25" s="6"/>
      <c r="C25" s="6"/>
      <c r="E25" s="41"/>
      <c r="F25" s="41"/>
      <c r="G25" s="41"/>
      <c r="H25" s="41"/>
      <c r="I25" s="41"/>
      <c r="J25" s="41"/>
      <c r="K25" s="41"/>
      <c r="L25" s="41"/>
      <c r="M25" s="41"/>
      <c r="N25" s="41"/>
      <c r="O25" s="41"/>
      <c r="P25" s="41"/>
      <c r="Q25" s="41"/>
      <c r="R25" s="41"/>
      <c r="S25" s="190"/>
      <c r="T25" s="5"/>
      <c r="U25" s="5"/>
      <c r="V25" s="5"/>
      <c r="X25" s="5"/>
      <c r="Y25" s="342"/>
      <c r="AA25" s="508">
        <v>2026</v>
      </c>
      <c r="AB25" s="509"/>
      <c r="AC25" s="509"/>
      <c r="AD25" s="509"/>
      <c r="AE25" s="509"/>
      <c r="AF25" s="510"/>
      <c r="AI25" s="508">
        <v>2027</v>
      </c>
      <c r="AJ25" s="509"/>
      <c r="AK25" s="509"/>
      <c r="AL25" s="509"/>
      <c r="AM25" s="509"/>
      <c r="AN25" s="510"/>
    </row>
    <row r="26" spans="2:40">
      <c r="B26" s="6"/>
      <c r="C26" s="6"/>
      <c r="D26" s="5"/>
      <c r="E26" s="5"/>
      <c r="F26" s="512" t="s">
        <v>531</v>
      </c>
      <c r="G26" s="513"/>
      <c r="H26" s="513"/>
      <c r="I26" s="513"/>
      <c r="J26" s="513"/>
      <c r="K26" s="514"/>
      <c r="O26" s="5"/>
      <c r="P26" s="512" t="s">
        <v>532</v>
      </c>
      <c r="Q26" s="513"/>
      <c r="R26" s="513"/>
      <c r="S26" s="513"/>
      <c r="T26" s="513"/>
      <c r="U26" s="514"/>
      <c r="V26" s="191"/>
      <c r="Z26" s="5"/>
      <c r="AA26" s="343"/>
      <c r="AB26" s="192">
        <v>500000000</v>
      </c>
      <c r="AC26" s="344"/>
      <c r="AF26" s="344"/>
      <c r="AI26" s="345"/>
      <c r="AJ26" s="193">
        <v>500000000</v>
      </c>
      <c r="AK26" s="346"/>
      <c r="AN26" s="344"/>
    </row>
    <row r="27" spans="2:40" ht="46.5">
      <c r="B27" s="6"/>
      <c r="C27" s="6"/>
      <c r="D27" s="5"/>
      <c r="E27" s="5"/>
      <c r="F27" s="322" t="str">
        <f>Summary!D3&amp;" Sales"</f>
        <v>2026 Sales</v>
      </c>
      <c r="G27" s="322" t="str">
        <f>TEXT(Summary!L3,"mm/d/yyyy")&amp;" Avg Rates"</f>
        <v>03/1/2026 Avg Rates</v>
      </c>
      <c r="H27" s="322" t="s">
        <v>533</v>
      </c>
      <c r="I27" s="322" t="s">
        <v>534</v>
      </c>
      <c r="J27" s="322" t="s">
        <v>535</v>
      </c>
      <c r="K27" s="322" t="s">
        <v>536</v>
      </c>
      <c r="O27" s="5"/>
      <c r="P27" s="322" t="str">
        <f>F27</f>
        <v>2026 Sales</v>
      </c>
      <c r="Q27" s="322" t="str">
        <f>G27</f>
        <v>03/1/2026 Avg Rates</v>
      </c>
      <c r="R27" s="322" t="s">
        <v>533</v>
      </c>
      <c r="S27" s="322" t="s">
        <v>534</v>
      </c>
      <c r="T27" s="322" t="s">
        <v>535</v>
      </c>
      <c r="U27" s="322" t="s">
        <v>536</v>
      </c>
      <c r="V27" s="191"/>
      <c r="Z27" s="5"/>
      <c r="AA27" s="347" t="s">
        <v>537</v>
      </c>
      <c r="AB27" s="192">
        <f>(SUMIF('Authorized Rev Req'!L:L, "Distribution (Wildfire)", 'Authorized Rev Req'!H:H)+SUMIF('Authorized Rev Req'!L:L, "WHC", 'Authorized Rev Req'!H:H))*1000</f>
        <v>2216164203.6611958</v>
      </c>
      <c r="AC27" s="344"/>
      <c r="AF27" s="344"/>
      <c r="AI27" s="347" t="s">
        <v>537</v>
      </c>
      <c r="AJ27" s="192">
        <f>('Incremental Rev Req'!T115+'Incremental Rev Req'!T114)*1000</f>
        <v>1621418034.304044</v>
      </c>
      <c r="AK27" s="344"/>
      <c r="AN27" s="344"/>
    </row>
    <row r="28" spans="2:40" ht="16" thickBot="1">
      <c r="B28" s="6"/>
      <c r="C28" s="6"/>
      <c r="D28" s="5"/>
      <c r="E28" s="348" t="s">
        <v>163</v>
      </c>
      <c r="F28" s="98">
        <f>VLOOKUP(Summary!$D$3,$J$51:$K$54,2,FALSE)</f>
        <v>10313310.03806413</v>
      </c>
      <c r="G28" s="341">
        <f>IF(Summary!$I$3="Y",AB50,AC50)</f>
        <v>32.340654762006949</v>
      </c>
      <c r="H28" s="9">
        <f>IF(Summary!$I$3="Y",V19/$F$28*100,SUM(V19-W22)/$F$28*100)</f>
        <v>32.412099485578167</v>
      </c>
      <c r="I28" s="9">
        <f>IF(Summary!$I$3="Y",X19/$F$28*100,SUM(X19-X22)/$F$28*100)</f>
        <v>32.883287423998006</v>
      </c>
      <c r="J28" s="112">
        <f>H28/G28-1</f>
        <v>2.2091303993989619E-3</v>
      </c>
      <c r="K28" s="112">
        <f>I28/G28-1</f>
        <v>1.6778654173338792E-2</v>
      </c>
      <c r="O28" s="348" t="s">
        <v>163</v>
      </c>
      <c r="P28" s="98">
        <f>VLOOKUP(Summary!$D$3,$N$51:$O$54,2,FALSE)</f>
        <v>26534621.286881018</v>
      </c>
      <c r="Q28" s="341">
        <f>IF(Summary!$I$3="Y",AE50,AF50)</f>
        <v>29.788022651798478</v>
      </c>
      <c r="R28" s="9">
        <f>IF(Summary!$I$3="Y",U10/P28*100,(U10-P10)/P28)</f>
        <v>29.907370355813107</v>
      </c>
      <c r="S28" s="9">
        <f>IF(Summary!$I$3="Y",U13/P28*100,(U13-P13)/P28)</f>
        <v>30.527887580915554</v>
      </c>
      <c r="T28" s="112">
        <f>R28/Q28-1</f>
        <v>4.0065668476796379E-3</v>
      </c>
      <c r="U28" s="112">
        <f>S28/Q28-1</f>
        <v>2.4837665049660673E-2</v>
      </c>
      <c r="V28" s="191"/>
      <c r="W28" s="316"/>
      <c r="X28" s="55"/>
      <c r="AA28" s="349"/>
      <c r="AB28" s="350"/>
      <c r="AC28" s="351"/>
      <c r="AF28" s="344"/>
      <c r="AI28" s="352"/>
      <c r="AJ28" s="350"/>
      <c r="AK28" s="351"/>
      <c r="AN28" s="344"/>
    </row>
    <row r="29" spans="2:40">
      <c r="E29" s="348" t="s">
        <v>518</v>
      </c>
      <c r="F29" s="98">
        <f>VLOOKUP(Summary!$D$3,$J$55:$K$58,2,FALSE)</f>
        <v>24784494.935273737</v>
      </c>
      <c r="G29" s="341">
        <f>IF(Summary!$I$3="Y",AB51,AC51)</f>
        <v>32.596708001946226</v>
      </c>
      <c r="H29" s="9">
        <f>IF(Summary!$I$3="Y",V20/$F$29*100,SUM(V20-W23)/$F$29*100)</f>
        <v>32.024386871414897</v>
      </c>
      <c r="I29" s="9">
        <f>IF(Summary!$I$3="Y",W20/$F$29*100,SUM(W20-X23)/$F$29*100)</f>
        <v>32.476834812788681</v>
      </c>
      <c r="J29" s="112">
        <f>H29/G29-1</f>
        <v>-1.7557635896764734E-2</v>
      </c>
      <c r="K29" s="112">
        <f>I29/G29-1</f>
        <v>-3.6774630478141335E-3</v>
      </c>
      <c r="O29" s="348" t="s">
        <v>518</v>
      </c>
      <c r="P29" s="98">
        <f>VLOOKUP(Summary!$D$3,$N$55:$O$58,2,FALSE)</f>
        <v>75364454.013400629</v>
      </c>
      <c r="Q29" s="341">
        <f>IF(Summary!$I$3="Y",AE51,AF51)</f>
        <v>26.65073540105055</v>
      </c>
      <c r="R29" s="9">
        <f>IF(Summary!$I$3="Y",U11/P29*100,(U11-P11)/P29)</f>
        <v>26.398617994642535</v>
      </c>
      <c r="S29" s="9">
        <f>IF(Summary!$I$3="Y",U14/P29*100,(U14-P14)/P29)</f>
        <v>26.95742298340819</v>
      </c>
      <c r="T29" s="112">
        <f>R29/Q29-1</f>
        <v>-9.4600543892712219E-3</v>
      </c>
      <c r="U29" s="112">
        <f>S29/Q29-1</f>
        <v>1.1507659272529835E-2</v>
      </c>
      <c r="V29" s="194"/>
      <c r="AA29" s="353"/>
      <c r="AB29" s="354" t="s">
        <v>214</v>
      </c>
      <c r="AC29" s="346" t="s">
        <v>538</v>
      </c>
      <c r="AE29" s="355" t="s">
        <v>539</v>
      </c>
      <c r="AF29" s="356" t="s">
        <v>540</v>
      </c>
      <c r="AI29" s="353"/>
      <c r="AJ29" s="124" t="s">
        <v>214</v>
      </c>
      <c r="AK29" s="344" t="s">
        <v>538</v>
      </c>
      <c r="AM29" s="355" t="s">
        <v>539</v>
      </c>
      <c r="AN29" s="356" t="s">
        <v>540</v>
      </c>
    </row>
    <row r="30" spans="2:40">
      <c r="Q30" s="5"/>
      <c r="R30" s="5"/>
      <c r="S30" s="190"/>
      <c r="T30" s="5"/>
      <c r="U30" s="190"/>
      <c r="V30" s="191"/>
      <c r="AA30" s="357" t="s">
        <v>541</v>
      </c>
      <c r="AB30" s="183">
        <v>0.47635912890533372</v>
      </c>
      <c r="AC30" s="184">
        <v>0.37373788819706122</v>
      </c>
      <c r="AE30" s="358">
        <f>AVERAGE(AB30:AC30)</f>
        <v>0.42504850855119747</v>
      </c>
      <c r="AF30" s="359">
        <f>(0.125*AB30)+(0.875*AC30)</f>
        <v>0.38656554328559534</v>
      </c>
      <c r="AI30" s="357" t="s">
        <v>541</v>
      </c>
      <c r="AJ30" s="183">
        <f>AB30</f>
        <v>0.47635912890533372</v>
      </c>
      <c r="AK30" s="184">
        <f>AC30</f>
        <v>0.37373788819706122</v>
      </c>
      <c r="AM30" s="358">
        <f>AVERAGE(AJ30:AK30)</f>
        <v>0.42504850855119747</v>
      </c>
      <c r="AN30" s="359">
        <f>(0.125*AJ30)+(0.875*AK30)</f>
        <v>0.38656554328559534</v>
      </c>
    </row>
    <row r="31" spans="2:40">
      <c r="Q31" s="5"/>
      <c r="R31" s="5"/>
      <c r="S31" s="190"/>
      <c r="T31" s="5"/>
      <c r="U31" s="190"/>
      <c r="V31" s="194"/>
      <c r="AA31" s="357" t="s">
        <v>542</v>
      </c>
      <c r="AB31" s="183">
        <v>0.10594202727452035</v>
      </c>
      <c r="AC31" s="184">
        <v>9.2040201092834811E-2</v>
      </c>
      <c r="AF31" s="344"/>
      <c r="AI31" s="357" t="s">
        <v>542</v>
      </c>
      <c r="AJ31" s="183">
        <f t="shared" ref="AJ31:AJ40" si="4">AB31</f>
        <v>0.10594202727452035</v>
      </c>
      <c r="AK31" s="184">
        <f t="shared" ref="AK31:AK40" si="5">AC31</f>
        <v>9.2040201092834811E-2</v>
      </c>
      <c r="AN31" s="344"/>
    </row>
    <row r="32" spans="2:40">
      <c r="B32" s="6"/>
      <c r="C32" s="6"/>
      <c r="D32" s="5"/>
      <c r="E32" s="5"/>
      <c r="F32" s="360"/>
      <c r="G32" s="360"/>
      <c r="H32" s="360"/>
      <c r="I32" s="41"/>
      <c r="J32" s="41"/>
      <c r="K32" s="41"/>
      <c r="L32" s="5"/>
      <c r="M32" s="5"/>
      <c r="N32" s="5"/>
      <c r="O32" s="5"/>
      <c r="P32" s="5"/>
      <c r="Q32" s="5"/>
      <c r="R32" s="5"/>
      <c r="S32" s="190"/>
      <c r="T32" s="5"/>
      <c r="U32" s="190"/>
      <c r="V32" s="194"/>
      <c r="W32" s="194"/>
      <c r="X32" s="191"/>
      <c r="AA32" s="357" t="s">
        <v>543</v>
      </c>
      <c r="AB32" s="183">
        <v>3.3281626839025656E-2</v>
      </c>
      <c r="AC32" s="184">
        <v>2.9394853387822543E-2</v>
      </c>
      <c r="AF32" s="344"/>
      <c r="AI32" s="357" t="s">
        <v>543</v>
      </c>
      <c r="AJ32" s="183">
        <f t="shared" si="4"/>
        <v>3.3281626839025656E-2</v>
      </c>
      <c r="AK32" s="184">
        <f t="shared" si="5"/>
        <v>2.9394853387822543E-2</v>
      </c>
      <c r="AN32" s="344"/>
    </row>
    <row r="33" spans="2:40">
      <c r="B33" s="6"/>
      <c r="C33" s="6"/>
      <c r="D33" s="5"/>
      <c r="E33" s="41"/>
      <c r="F33" s="340"/>
      <c r="G33" s="322">
        <v>2</v>
      </c>
      <c r="H33" s="322">
        <v>3</v>
      </c>
      <c r="I33" s="41">
        <v>4</v>
      </c>
      <c r="J33" s="41">
        <v>5</v>
      </c>
      <c r="K33" s="41">
        <v>6</v>
      </c>
      <c r="L33" s="322">
        <v>7</v>
      </c>
      <c r="M33" s="322">
        <v>8</v>
      </c>
      <c r="N33" s="322">
        <v>9</v>
      </c>
      <c r="O33" s="322">
        <v>10</v>
      </c>
      <c r="P33" s="322">
        <v>11</v>
      </c>
      <c r="Q33" s="322">
        <v>12</v>
      </c>
      <c r="R33" s="322">
        <v>13</v>
      </c>
      <c r="S33" s="322">
        <v>14</v>
      </c>
      <c r="T33" s="322">
        <v>15</v>
      </c>
      <c r="U33" s="190"/>
      <c r="V33" s="191"/>
      <c r="W33" s="194"/>
      <c r="X33" s="191"/>
      <c r="AA33" s="357" t="s">
        <v>544</v>
      </c>
      <c r="AB33" s="183">
        <v>8.8088789773212287E-2</v>
      </c>
      <c r="AC33" s="184">
        <v>0.10147953048583333</v>
      </c>
      <c r="AF33" s="344"/>
      <c r="AI33" s="357" t="s">
        <v>544</v>
      </c>
      <c r="AJ33" s="183">
        <f t="shared" si="4"/>
        <v>8.8088789773212287E-2</v>
      </c>
      <c r="AK33" s="184">
        <f t="shared" si="5"/>
        <v>0.10147953048583333</v>
      </c>
      <c r="AN33" s="344"/>
    </row>
    <row r="34" spans="2:40" ht="31">
      <c r="B34" s="6"/>
      <c r="C34" s="6"/>
      <c r="D34" s="321"/>
      <c r="E34" s="327"/>
      <c r="F34" s="327" t="s">
        <v>545</v>
      </c>
      <c r="G34" s="322" t="s">
        <v>233</v>
      </c>
      <c r="H34" s="322" t="s">
        <v>214</v>
      </c>
      <c r="I34" s="322" t="s">
        <v>259</v>
      </c>
      <c r="J34" s="322" t="s">
        <v>515</v>
      </c>
      <c r="K34" s="322" t="s">
        <v>248</v>
      </c>
      <c r="L34" s="322" t="s">
        <v>421</v>
      </c>
      <c r="M34" s="322" t="s">
        <v>243</v>
      </c>
      <c r="N34" s="322" t="s">
        <v>242</v>
      </c>
      <c r="O34" s="322" t="s">
        <v>425</v>
      </c>
      <c r="P34" s="322" t="s">
        <v>516</v>
      </c>
      <c r="Q34" s="322" t="s">
        <v>402</v>
      </c>
      <c r="R34" s="322" t="s">
        <v>282</v>
      </c>
      <c r="S34" s="322" t="s">
        <v>225</v>
      </c>
      <c r="T34" s="322" t="s">
        <v>217</v>
      </c>
      <c r="U34" s="5"/>
      <c r="V34" s="189"/>
      <c r="W34" s="194"/>
      <c r="AA34" s="357" t="s">
        <v>546</v>
      </c>
      <c r="AB34" s="183">
        <v>0.14614496563460946</v>
      </c>
      <c r="AC34" s="184">
        <v>0.18401660606871539</v>
      </c>
      <c r="AF34" s="344"/>
      <c r="AI34" s="357" t="s">
        <v>546</v>
      </c>
      <c r="AJ34" s="183">
        <f t="shared" si="4"/>
        <v>0.14614496563460946</v>
      </c>
      <c r="AK34" s="184">
        <f t="shared" si="5"/>
        <v>0.18401660606871539</v>
      </c>
      <c r="AN34" s="344"/>
    </row>
    <row r="35" spans="2:40">
      <c r="E35" s="5"/>
      <c r="F35" s="361">
        <v>2026</v>
      </c>
      <c r="G35" s="62">
        <v>0.43002924310865648</v>
      </c>
      <c r="H35" s="362">
        <v>0.40612392962777127</v>
      </c>
      <c r="I35" s="62">
        <v>0.34239546338225313</v>
      </c>
      <c r="J35" s="62">
        <v>0.3392713624279195</v>
      </c>
      <c r="K35" s="62">
        <v>0.48768036339609455</v>
      </c>
      <c r="L35" s="62">
        <v>0.47700509598271418</v>
      </c>
      <c r="M35" s="62">
        <v>0.36222602887535721</v>
      </c>
      <c r="N35" s="62">
        <v>0.35051136171955549</v>
      </c>
      <c r="O35" s="62">
        <v>0.3453077165713041</v>
      </c>
      <c r="P35" s="62">
        <v>0.83472389049415474</v>
      </c>
      <c r="Q35" s="62">
        <v>0.27230327335928306</v>
      </c>
      <c r="R35" s="62">
        <v>0.3383268031352431</v>
      </c>
      <c r="S35" s="62">
        <v>0.35064423154799867</v>
      </c>
      <c r="T35" s="62">
        <f>((AJ26*AE30)+((AB27-AB26)*(AF30)))/AB27</f>
        <v>0.39524787945951845</v>
      </c>
      <c r="U35" s="5"/>
      <c r="V35" s="62"/>
      <c r="W35" s="195"/>
      <c r="AA35" s="357" t="s">
        <v>547</v>
      </c>
      <c r="AB35" s="183">
        <v>3.4254682883420378E-3</v>
      </c>
      <c r="AC35" s="184">
        <v>3.9605516879272504E-3</v>
      </c>
      <c r="AF35" s="344"/>
      <c r="AI35" s="357" t="s">
        <v>547</v>
      </c>
      <c r="AJ35" s="183">
        <f t="shared" si="4"/>
        <v>3.4254682883420378E-3</v>
      </c>
      <c r="AK35" s="184">
        <f t="shared" si="5"/>
        <v>3.9605516879272504E-3</v>
      </c>
      <c r="AN35" s="344"/>
    </row>
    <row r="36" spans="2:40">
      <c r="E36" s="5"/>
      <c r="F36" s="361">
        <f>F35+1</f>
        <v>2027</v>
      </c>
      <c r="G36" s="62">
        <f>G35</f>
        <v>0.43002924310865648</v>
      </c>
      <c r="H36" s="62">
        <f t="shared" ref="H36:S36" si="6">H35</f>
        <v>0.40612392962777127</v>
      </c>
      <c r="I36" s="62">
        <f t="shared" si="6"/>
        <v>0.34239546338225313</v>
      </c>
      <c r="J36" s="62">
        <f t="shared" si="6"/>
        <v>0.3392713624279195</v>
      </c>
      <c r="K36" s="62">
        <f t="shared" si="6"/>
        <v>0.48768036339609455</v>
      </c>
      <c r="L36" s="62">
        <f t="shared" si="6"/>
        <v>0.47700509598271418</v>
      </c>
      <c r="M36" s="62">
        <f t="shared" si="6"/>
        <v>0.36222602887535721</v>
      </c>
      <c r="N36" s="62">
        <f t="shared" si="6"/>
        <v>0.35051136171955549</v>
      </c>
      <c r="O36" s="62">
        <f t="shared" si="6"/>
        <v>0.3453077165713041</v>
      </c>
      <c r="P36" s="62">
        <f t="shared" si="6"/>
        <v>0.83472389049415474</v>
      </c>
      <c r="Q36" s="62">
        <f t="shared" si="6"/>
        <v>0.27230327335928306</v>
      </c>
      <c r="R36" s="62">
        <f t="shared" si="6"/>
        <v>0.3383268031352431</v>
      </c>
      <c r="S36" s="62">
        <f t="shared" si="6"/>
        <v>0.35064423154799867</v>
      </c>
      <c r="T36" s="62">
        <f>((AJ26*AM30)+((AJ27-AJ26)*(AN30)))/AJ27</f>
        <v>0.39843261409997666</v>
      </c>
      <c r="U36" s="190"/>
      <c r="V36" s="5"/>
      <c r="X36" s="5"/>
      <c r="AA36" s="357" t="s">
        <v>548</v>
      </c>
      <c r="AB36" s="183">
        <v>1.3888877142098327E-3</v>
      </c>
      <c r="AC36" s="184">
        <v>3.8893033581186244E-3</v>
      </c>
      <c r="AF36" s="344"/>
      <c r="AI36" s="357" t="s">
        <v>548</v>
      </c>
      <c r="AJ36" s="183">
        <f t="shared" si="4"/>
        <v>1.3888877142098327E-3</v>
      </c>
      <c r="AK36" s="184">
        <f t="shared" si="5"/>
        <v>3.8893033581186244E-3</v>
      </c>
      <c r="AN36" s="344"/>
    </row>
    <row r="37" spans="2:40">
      <c r="B37" s="6"/>
      <c r="C37" s="6"/>
      <c r="E37" s="5"/>
      <c r="F37" s="361">
        <f>F36+1</f>
        <v>2028</v>
      </c>
      <c r="G37" s="62">
        <f>G36</f>
        <v>0.43002924310865648</v>
      </c>
      <c r="H37" s="62">
        <f>H36</f>
        <v>0.40612392962777127</v>
      </c>
      <c r="I37" s="62">
        <f>I36</f>
        <v>0.34239546338225313</v>
      </c>
      <c r="J37" s="62">
        <f t="shared" ref="J37:Q37" si="7">J36</f>
        <v>0.3392713624279195</v>
      </c>
      <c r="K37" s="62">
        <f t="shared" si="7"/>
        <v>0.48768036339609455</v>
      </c>
      <c r="L37" s="62">
        <f t="shared" si="7"/>
        <v>0.47700509598271418</v>
      </c>
      <c r="M37" s="62">
        <f t="shared" si="7"/>
        <v>0.36222602887535721</v>
      </c>
      <c r="N37" s="62">
        <f t="shared" si="7"/>
        <v>0.35051136171955549</v>
      </c>
      <c r="O37" s="62">
        <f t="shared" si="7"/>
        <v>0.3453077165713041</v>
      </c>
      <c r="P37" s="62">
        <f t="shared" si="7"/>
        <v>0.83472389049415474</v>
      </c>
      <c r="Q37" s="62">
        <f t="shared" si="7"/>
        <v>0.27230327335928306</v>
      </c>
      <c r="R37" s="62">
        <f>R36</f>
        <v>0.3383268031352431</v>
      </c>
      <c r="S37" s="62">
        <f>S36</f>
        <v>0.35064423154799867</v>
      </c>
      <c r="T37" s="62">
        <f>T36</f>
        <v>0.39843261409997666</v>
      </c>
      <c r="U37" s="190"/>
      <c r="V37" s="194"/>
      <c r="W37" s="196"/>
      <c r="X37" s="191"/>
      <c r="AA37" s="357" t="s">
        <v>549</v>
      </c>
      <c r="AB37" s="183">
        <v>8.8543538034994873E-2</v>
      </c>
      <c r="AC37" s="184">
        <v>8.0695912474960468E-2</v>
      </c>
      <c r="AF37" s="344"/>
      <c r="AI37" s="357" t="s">
        <v>549</v>
      </c>
      <c r="AJ37" s="183">
        <f t="shared" si="4"/>
        <v>8.8543538034994873E-2</v>
      </c>
      <c r="AK37" s="184">
        <f t="shared" si="5"/>
        <v>8.0695912474960468E-2</v>
      </c>
      <c r="AN37" s="344"/>
    </row>
    <row r="38" spans="2:40">
      <c r="B38" s="6"/>
      <c r="C38" s="6"/>
      <c r="E38" s="5"/>
      <c r="F38" s="361">
        <f>F37+1</f>
        <v>2029</v>
      </c>
      <c r="G38" s="62">
        <f>G36</f>
        <v>0.43002924310865648</v>
      </c>
      <c r="H38" s="62">
        <f>H37</f>
        <v>0.40612392962777127</v>
      </c>
      <c r="I38" s="62">
        <f>I36</f>
        <v>0.34239546338225313</v>
      </c>
      <c r="J38" s="62">
        <f t="shared" ref="J38:Q38" si="8">J36</f>
        <v>0.3392713624279195</v>
      </c>
      <c r="K38" s="62">
        <f t="shared" si="8"/>
        <v>0.48768036339609455</v>
      </c>
      <c r="L38" s="62">
        <f t="shared" si="8"/>
        <v>0.47700509598271418</v>
      </c>
      <c r="M38" s="62">
        <f t="shared" si="8"/>
        <v>0.36222602887535721</v>
      </c>
      <c r="N38" s="62">
        <f t="shared" si="8"/>
        <v>0.35051136171955549</v>
      </c>
      <c r="O38" s="62">
        <f t="shared" si="8"/>
        <v>0.3453077165713041</v>
      </c>
      <c r="P38" s="62">
        <f t="shared" si="8"/>
        <v>0.83472389049415474</v>
      </c>
      <c r="Q38" s="62">
        <f t="shared" si="8"/>
        <v>0.27230327335928306</v>
      </c>
      <c r="R38" s="62">
        <f>R36</f>
        <v>0.3383268031352431</v>
      </c>
      <c r="S38" s="62">
        <f>S36</f>
        <v>0.35064423154799867</v>
      </c>
      <c r="T38" s="62">
        <f>T37</f>
        <v>0.39843261409997666</v>
      </c>
      <c r="U38" s="190"/>
      <c r="V38" s="194"/>
      <c r="W38" s="191"/>
      <c r="X38" s="191"/>
      <c r="AA38" s="357" t="s">
        <v>550</v>
      </c>
      <c r="AB38" s="183">
        <v>3.9672541409688462E-2</v>
      </c>
      <c r="AC38" s="184">
        <v>6.7877531643634414E-2</v>
      </c>
      <c r="AF38" s="344"/>
      <c r="AI38" s="357" t="s">
        <v>550</v>
      </c>
      <c r="AJ38" s="183">
        <f t="shared" si="4"/>
        <v>3.9672541409688462E-2</v>
      </c>
      <c r="AK38" s="184">
        <f t="shared" si="5"/>
        <v>6.7877531643634414E-2</v>
      </c>
      <c r="AN38" s="344"/>
    </row>
    <row r="39" spans="2:40">
      <c r="B39" s="6"/>
      <c r="C39" s="6"/>
      <c r="E39" s="5"/>
      <c r="F39" s="7"/>
      <c r="G39" s="8"/>
      <c r="H39" s="113"/>
      <c r="I39" s="41"/>
      <c r="J39" s="41"/>
      <c r="K39" s="41"/>
      <c r="L39" s="5"/>
      <c r="M39" s="5"/>
      <c r="N39" s="5"/>
      <c r="O39" s="5"/>
      <c r="P39" s="5"/>
      <c r="Q39" s="5"/>
      <c r="S39" s="62"/>
      <c r="T39" s="5"/>
      <c r="U39" s="190"/>
      <c r="V39" s="194"/>
      <c r="W39" s="196"/>
      <c r="X39" s="194"/>
      <c r="AA39" s="357" t="s">
        <v>551</v>
      </c>
      <c r="AB39" s="183">
        <v>1.5683267100265449E-2</v>
      </c>
      <c r="AC39" s="184">
        <v>2.2712125739292564E-2</v>
      </c>
      <c r="AF39" s="344"/>
      <c r="AI39" s="357" t="s">
        <v>551</v>
      </c>
      <c r="AJ39" s="183">
        <f t="shared" si="4"/>
        <v>1.5683267100265449E-2</v>
      </c>
      <c r="AK39" s="184">
        <f t="shared" si="5"/>
        <v>2.2712125739292564E-2</v>
      </c>
      <c r="AN39" s="344"/>
    </row>
    <row r="40" spans="2:40" ht="18.75" customHeight="1" thickBot="1">
      <c r="B40" s="6"/>
      <c r="C40" s="6"/>
      <c r="D40" s="5"/>
      <c r="E40" s="5"/>
      <c r="F40" s="327" t="s">
        <v>521</v>
      </c>
      <c r="G40" s="41"/>
      <c r="H40" s="41"/>
      <c r="I40" s="41"/>
      <c r="J40" s="41"/>
      <c r="K40" s="41"/>
      <c r="L40" s="5"/>
      <c r="M40" s="5"/>
      <c r="N40" s="5"/>
      <c r="O40" s="5"/>
      <c r="P40" s="5"/>
      <c r="Q40" s="5"/>
      <c r="S40" s="62"/>
      <c r="T40" s="5"/>
      <c r="U40" s="190"/>
      <c r="V40" s="194"/>
      <c r="W40" s="194"/>
      <c r="X40" s="191"/>
      <c r="AA40" s="349" t="s">
        <v>552</v>
      </c>
      <c r="AB40" s="185">
        <v>1.4697590257974668E-3</v>
      </c>
      <c r="AC40" s="186">
        <v>4.0195495863799224E-2</v>
      </c>
      <c r="AD40" s="350"/>
      <c r="AE40" s="350"/>
      <c r="AF40" s="351"/>
      <c r="AI40" s="349" t="s">
        <v>552</v>
      </c>
      <c r="AJ40" s="185">
        <f t="shared" si="4"/>
        <v>1.4697590257974668E-3</v>
      </c>
      <c r="AK40" s="186">
        <f t="shared" si="5"/>
        <v>4.0195495863799224E-2</v>
      </c>
      <c r="AL40" s="350"/>
      <c r="AM40" s="350"/>
      <c r="AN40" s="351"/>
    </row>
    <row r="41" spans="2:40">
      <c r="B41" s="6"/>
      <c r="C41" s="6"/>
      <c r="D41" s="5"/>
      <c r="E41" s="348" t="s">
        <v>163</v>
      </c>
      <c r="F41" s="361">
        <f>F35</f>
        <v>2026</v>
      </c>
      <c r="G41" s="62">
        <v>1</v>
      </c>
      <c r="H41" s="62">
        <f t="shared" ref="H41:Q41" si="9">$K51/$O51</f>
        <v>0.3886737227775372</v>
      </c>
      <c r="I41" s="62">
        <f t="shared" si="9"/>
        <v>0.3886737227775372</v>
      </c>
      <c r="J41" s="62">
        <f t="shared" si="9"/>
        <v>0.3886737227775372</v>
      </c>
      <c r="K41" s="62">
        <f t="shared" si="9"/>
        <v>0.3886737227775372</v>
      </c>
      <c r="L41" s="62">
        <f t="shared" si="9"/>
        <v>0.3886737227775372</v>
      </c>
      <c r="M41" s="62">
        <f t="shared" si="9"/>
        <v>0.3886737227775372</v>
      </c>
      <c r="N41" s="62">
        <f>$K51/$O51</f>
        <v>0.3886737227775372</v>
      </c>
      <c r="O41" s="62">
        <f t="shared" si="9"/>
        <v>0.3886737227775372</v>
      </c>
      <c r="P41" s="62">
        <f t="shared" si="9"/>
        <v>0.3886737227775372</v>
      </c>
      <c r="Q41" s="62">
        <f t="shared" si="9"/>
        <v>0.3886737227775372</v>
      </c>
      <c r="R41" s="62">
        <f>$K51/$O51</f>
        <v>0.3886737227775372</v>
      </c>
      <c r="S41" s="62">
        <v>-0.22807392582306496</v>
      </c>
      <c r="T41" s="62">
        <f>$K51/$O51</f>
        <v>0.3886737227775372</v>
      </c>
      <c r="U41" s="190"/>
      <c r="V41" s="194"/>
      <c r="W41" s="189"/>
      <c r="X41" s="189"/>
      <c r="AJ41" s="363"/>
      <c r="AK41" s="363"/>
    </row>
    <row r="42" spans="2:40">
      <c r="B42" s="6"/>
      <c r="C42" s="6"/>
      <c r="D42" s="5"/>
      <c r="E42" s="348" t="s">
        <v>163</v>
      </c>
      <c r="F42" s="361">
        <f>F36</f>
        <v>2027</v>
      </c>
      <c r="G42" s="62">
        <v>1</v>
      </c>
      <c r="H42" s="62">
        <f t="shared" ref="H42:T42" si="10">$K52/$O52</f>
        <v>0.3886737227775372</v>
      </c>
      <c r="I42" s="62">
        <f>$K52/$O52</f>
        <v>0.3886737227775372</v>
      </c>
      <c r="J42" s="62">
        <f t="shared" si="10"/>
        <v>0.3886737227775372</v>
      </c>
      <c r="K42" s="62">
        <f t="shared" si="10"/>
        <v>0.3886737227775372</v>
      </c>
      <c r="L42" s="62">
        <f t="shared" si="10"/>
        <v>0.3886737227775372</v>
      </c>
      <c r="M42" s="62">
        <f t="shared" si="10"/>
        <v>0.3886737227775372</v>
      </c>
      <c r="N42" s="62">
        <f t="shared" si="10"/>
        <v>0.3886737227775372</v>
      </c>
      <c r="O42" s="62">
        <f t="shared" si="10"/>
        <v>0.3886737227775372</v>
      </c>
      <c r="P42" s="62">
        <f t="shared" si="10"/>
        <v>0.3886737227775372</v>
      </c>
      <c r="Q42" s="62">
        <f t="shared" si="10"/>
        <v>0.3886737227775372</v>
      </c>
      <c r="R42" s="62">
        <f t="shared" si="10"/>
        <v>0.3886737227775372</v>
      </c>
      <c r="S42" s="62">
        <v>0.31485609588383029</v>
      </c>
      <c r="T42" s="62">
        <f t="shared" si="10"/>
        <v>0.3886737227775372</v>
      </c>
      <c r="U42" s="5"/>
      <c r="V42" s="189"/>
      <c r="X42" s="191"/>
      <c r="AB42" s="364"/>
      <c r="AC42" s="364"/>
    </row>
    <row r="43" spans="2:40" ht="46.5">
      <c r="B43" s="6"/>
      <c r="C43" s="6"/>
      <c r="D43" s="5"/>
      <c r="E43" s="348" t="s">
        <v>163</v>
      </c>
      <c r="F43" s="361">
        <f>F37</f>
        <v>2028</v>
      </c>
      <c r="G43" s="62">
        <f t="shared" ref="G43:S43" si="11">G42</f>
        <v>1</v>
      </c>
      <c r="H43" s="62">
        <f t="shared" si="11"/>
        <v>0.3886737227775372</v>
      </c>
      <c r="I43" s="62">
        <f t="shared" si="11"/>
        <v>0.3886737227775372</v>
      </c>
      <c r="J43" s="62">
        <f t="shared" si="11"/>
        <v>0.3886737227775372</v>
      </c>
      <c r="K43" s="62">
        <f t="shared" si="11"/>
        <v>0.3886737227775372</v>
      </c>
      <c r="L43" s="62">
        <f t="shared" si="11"/>
        <v>0.3886737227775372</v>
      </c>
      <c r="M43" s="62">
        <f t="shared" si="11"/>
        <v>0.3886737227775372</v>
      </c>
      <c r="N43" s="62">
        <f t="shared" si="11"/>
        <v>0.3886737227775372</v>
      </c>
      <c r="O43" s="62">
        <f t="shared" si="11"/>
        <v>0.3886737227775372</v>
      </c>
      <c r="P43" s="62">
        <f t="shared" si="11"/>
        <v>0.3886737227775372</v>
      </c>
      <c r="Q43" s="62">
        <f t="shared" si="11"/>
        <v>0.3886737227775372</v>
      </c>
      <c r="R43" s="62">
        <f t="shared" si="11"/>
        <v>0.3886737227775372</v>
      </c>
      <c r="S43" s="62">
        <f t="shared" si="11"/>
        <v>0.31485609588383029</v>
      </c>
      <c r="T43" s="62">
        <f t="shared" ref="T43:T45" si="12">$K53/$O53</f>
        <v>0.3886737227775372</v>
      </c>
      <c r="U43" s="190"/>
      <c r="V43" s="194"/>
      <c r="W43" s="144"/>
      <c r="X43" s="5"/>
      <c r="AA43" s="138"/>
      <c r="AB43" s="213" t="s">
        <v>553</v>
      </c>
      <c r="AC43" s="213" t="s">
        <v>554</v>
      </c>
      <c r="AD43" s="138"/>
      <c r="AE43" s="213" t="s">
        <v>555</v>
      </c>
      <c r="AF43" s="213" t="s">
        <v>556</v>
      </c>
    </row>
    <row r="44" spans="2:40">
      <c r="B44" s="6"/>
      <c r="C44" s="6"/>
      <c r="D44" s="5"/>
      <c r="E44" s="348" t="s">
        <v>163</v>
      </c>
      <c r="F44" s="361">
        <f>F38</f>
        <v>2029</v>
      </c>
      <c r="G44" s="62">
        <f>G42</f>
        <v>1</v>
      </c>
      <c r="H44" s="62">
        <f t="shared" ref="H44:Q44" si="13">H42</f>
        <v>0.3886737227775372</v>
      </c>
      <c r="I44" s="62">
        <f t="shared" si="13"/>
        <v>0.3886737227775372</v>
      </c>
      <c r="J44" s="62">
        <f t="shared" si="13"/>
        <v>0.3886737227775372</v>
      </c>
      <c r="K44" s="62">
        <f t="shared" si="13"/>
        <v>0.3886737227775372</v>
      </c>
      <c r="L44" s="62">
        <f t="shared" si="13"/>
        <v>0.3886737227775372</v>
      </c>
      <c r="M44" s="62">
        <f t="shared" si="13"/>
        <v>0.3886737227775372</v>
      </c>
      <c r="N44" s="62">
        <f t="shared" si="13"/>
        <v>0.3886737227775372</v>
      </c>
      <c r="O44" s="62">
        <f t="shared" si="13"/>
        <v>0.3886737227775372</v>
      </c>
      <c r="P44" s="62">
        <f t="shared" si="13"/>
        <v>0.3886737227775372</v>
      </c>
      <c r="Q44" s="62">
        <f t="shared" si="13"/>
        <v>0.3886737227775372</v>
      </c>
      <c r="R44" s="62">
        <f>R42</f>
        <v>0.3886737227775372</v>
      </c>
      <c r="S44" s="62">
        <f t="shared" ref="S44" si="14">S43</f>
        <v>0.31485609588383029</v>
      </c>
      <c r="T44" s="62">
        <f t="shared" si="12"/>
        <v>0.3886737227775372</v>
      </c>
      <c r="U44" s="5"/>
      <c r="V44" s="5"/>
      <c r="W44" s="5"/>
      <c r="X44" s="5"/>
      <c r="AA44" s="139"/>
      <c r="AB44" s="148"/>
      <c r="AC44" s="148"/>
      <c r="AD44" s="149"/>
      <c r="AE44" s="148"/>
      <c r="AF44" s="148"/>
    </row>
    <row r="45" spans="2:40">
      <c r="B45" s="6"/>
      <c r="C45" s="6"/>
      <c r="D45" s="5"/>
      <c r="E45" s="348" t="s">
        <v>518</v>
      </c>
      <c r="F45" s="361">
        <f>F41</f>
        <v>2026</v>
      </c>
      <c r="G45" s="62">
        <v>1</v>
      </c>
      <c r="H45" s="62">
        <f t="shared" ref="H45:Q45" si="15">$K55/$O55</f>
        <v>0.32886186544742674</v>
      </c>
      <c r="I45" s="62">
        <f t="shared" si="15"/>
        <v>0.32886186544742674</v>
      </c>
      <c r="J45" s="62">
        <f t="shared" si="15"/>
        <v>0.32886186544742674</v>
      </c>
      <c r="K45" s="62">
        <f t="shared" si="15"/>
        <v>0.32886186544742674</v>
      </c>
      <c r="L45" s="62">
        <f t="shared" si="15"/>
        <v>0.32886186544742674</v>
      </c>
      <c r="M45" s="62">
        <f t="shared" si="15"/>
        <v>0.32886186544742674</v>
      </c>
      <c r="N45" s="62">
        <f t="shared" si="15"/>
        <v>0.32886186544742674</v>
      </c>
      <c r="O45" s="62">
        <f t="shared" si="15"/>
        <v>0.32886186544742674</v>
      </c>
      <c r="P45" s="62">
        <f t="shared" si="15"/>
        <v>0.32886186544742674</v>
      </c>
      <c r="Q45" s="62">
        <f t="shared" si="15"/>
        <v>0.32886186544742674</v>
      </c>
      <c r="R45" s="62">
        <f>$K55/$O55</f>
        <v>0.32886186544742674</v>
      </c>
      <c r="S45" s="62">
        <v>-0.18596781844616742</v>
      </c>
      <c r="T45" s="62">
        <f t="shared" si="12"/>
        <v>0.32886186544742674</v>
      </c>
      <c r="U45" s="190"/>
      <c r="V45" s="194"/>
      <c r="W45" s="191"/>
      <c r="X45" s="191"/>
      <c r="AA45" s="139" t="s">
        <v>163</v>
      </c>
      <c r="AB45" s="217">
        <v>33.674121802021645</v>
      </c>
      <c r="AC45" s="217">
        <v>34.992096998939267</v>
      </c>
      <c r="AD45" s="149" t="s">
        <v>163</v>
      </c>
      <c r="AE45" s="217">
        <v>30.486135087914555</v>
      </c>
      <c r="AF45" s="217">
        <v>31.980709283060875</v>
      </c>
      <c r="AJ45" s="128"/>
      <c r="AK45" s="128"/>
      <c r="AM45" s="128"/>
      <c r="AN45" s="128"/>
    </row>
    <row r="46" spans="2:40">
      <c r="B46" s="6"/>
      <c r="C46" s="6"/>
      <c r="D46" s="5"/>
      <c r="E46" s="348" t="s">
        <v>518</v>
      </c>
      <c r="F46" s="361">
        <f>F42</f>
        <v>2027</v>
      </c>
      <c r="G46" s="62">
        <v>1</v>
      </c>
      <c r="H46" s="62">
        <f>$K56/$O56</f>
        <v>0.32886186544742674</v>
      </c>
      <c r="I46" s="62">
        <f t="shared" ref="I46:T46" si="16">$K56/$O56</f>
        <v>0.32886186544742674</v>
      </c>
      <c r="J46" s="62">
        <f t="shared" si="16"/>
        <v>0.32886186544742674</v>
      </c>
      <c r="K46" s="62">
        <f t="shared" si="16"/>
        <v>0.32886186544742674</v>
      </c>
      <c r="L46" s="62">
        <f t="shared" si="16"/>
        <v>0.32886186544742674</v>
      </c>
      <c r="M46" s="62">
        <f t="shared" si="16"/>
        <v>0.32886186544742674</v>
      </c>
      <c r="N46" s="62">
        <f t="shared" si="16"/>
        <v>0.32886186544742674</v>
      </c>
      <c r="O46" s="62">
        <f t="shared" si="16"/>
        <v>0.32886186544742674</v>
      </c>
      <c r="P46" s="62">
        <f t="shared" si="16"/>
        <v>0.32886186544742674</v>
      </c>
      <c r="Q46" s="62">
        <f t="shared" si="16"/>
        <v>0.32886186544742674</v>
      </c>
      <c r="R46" s="62">
        <f t="shared" si="16"/>
        <v>0.32886186544742674</v>
      </c>
      <c r="S46" s="62">
        <v>0.28144412281858089</v>
      </c>
      <c r="T46" s="62">
        <f t="shared" si="16"/>
        <v>0.32886186544742674</v>
      </c>
      <c r="U46" s="190"/>
      <c r="V46" s="194"/>
      <c r="W46" s="191"/>
      <c r="X46" s="191"/>
      <c r="AA46" s="139" t="s">
        <v>166</v>
      </c>
      <c r="AB46" s="217">
        <v>33.416008222733581</v>
      </c>
      <c r="AC46" s="217">
        <v>34.072433607860397</v>
      </c>
      <c r="AD46" s="149" t="s">
        <v>518</v>
      </c>
      <c r="AE46" s="217">
        <v>27.143640625458705</v>
      </c>
      <c r="AF46" s="217">
        <v>27.73770240701548</v>
      </c>
      <c r="AJ46" s="128"/>
      <c r="AK46" s="128"/>
      <c r="AM46" s="128"/>
      <c r="AN46" s="128"/>
    </row>
    <row r="47" spans="2:40">
      <c r="B47" s="6"/>
      <c r="C47" s="6"/>
      <c r="D47" s="5"/>
      <c r="E47" s="348" t="s">
        <v>518</v>
      </c>
      <c r="F47" s="361">
        <f>F43</f>
        <v>2028</v>
      </c>
      <c r="G47" s="62">
        <f t="shared" ref="G47:S47" si="17">G46</f>
        <v>1</v>
      </c>
      <c r="H47" s="62">
        <f t="shared" si="17"/>
        <v>0.32886186544742674</v>
      </c>
      <c r="I47" s="62">
        <f t="shared" si="17"/>
        <v>0.32886186544742674</v>
      </c>
      <c r="J47" s="62">
        <f t="shared" si="17"/>
        <v>0.32886186544742674</v>
      </c>
      <c r="K47" s="62">
        <f t="shared" si="17"/>
        <v>0.32886186544742674</v>
      </c>
      <c r="L47" s="62">
        <f t="shared" si="17"/>
        <v>0.32886186544742674</v>
      </c>
      <c r="M47" s="62">
        <f t="shared" si="17"/>
        <v>0.32886186544742674</v>
      </c>
      <c r="N47" s="62">
        <f t="shared" si="17"/>
        <v>0.32886186544742674</v>
      </c>
      <c r="O47" s="62">
        <f t="shared" si="17"/>
        <v>0.32886186544742674</v>
      </c>
      <c r="P47" s="62">
        <f t="shared" si="17"/>
        <v>0.32886186544742674</v>
      </c>
      <c r="Q47" s="62">
        <f t="shared" si="17"/>
        <v>0.32886186544742674</v>
      </c>
      <c r="R47" s="62">
        <f t="shared" si="17"/>
        <v>0.32886186544742674</v>
      </c>
      <c r="S47" s="62">
        <f t="shared" si="17"/>
        <v>0.28144412281858089</v>
      </c>
      <c r="T47" s="62">
        <f>$K57/$O57</f>
        <v>0.32886186544742674</v>
      </c>
      <c r="U47" s="5"/>
      <c r="V47" s="189"/>
      <c r="W47" s="194"/>
      <c r="X47" s="191"/>
      <c r="AA47" s="140"/>
      <c r="AB47" s="150"/>
      <c r="AC47" s="150"/>
      <c r="AD47" s="150"/>
      <c r="AE47" s="150"/>
      <c r="AF47" s="151"/>
    </row>
    <row r="48" spans="2:40" ht="46.5">
      <c r="B48" s="6"/>
      <c r="C48" s="6"/>
      <c r="D48" s="5"/>
      <c r="E48" s="348" t="s">
        <v>518</v>
      </c>
      <c r="F48" s="361">
        <f>F44</f>
        <v>2029</v>
      </c>
      <c r="G48" s="62">
        <f>G46</f>
        <v>1</v>
      </c>
      <c r="H48" s="62">
        <f t="shared" ref="H48:Q48" si="18">H46</f>
        <v>0.32886186544742674</v>
      </c>
      <c r="I48" s="62">
        <f t="shared" si="18"/>
        <v>0.32886186544742674</v>
      </c>
      <c r="J48" s="62">
        <f t="shared" si="18"/>
        <v>0.32886186544742674</v>
      </c>
      <c r="K48" s="62">
        <f t="shared" si="18"/>
        <v>0.32886186544742674</v>
      </c>
      <c r="L48" s="62">
        <f t="shared" si="18"/>
        <v>0.32886186544742674</v>
      </c>
      <c r="M48" s="62">
        <f t="shared" si="18"/>
        <v>0.32886186544742674</v>
      </c>
      <c r="N48" s="62">
        <f t="shared" si="18"/>
        <v>0.32886186544742674</v>
      </c>
      <c r="O48" s="62">
        <f t="shared" si="18"/>
        <v>0.32886186544742674</v>
      </c>
      <c r="P48" s="62">
        <f t="shared" si="18"/>
        <v>0.32886186544742674</v>
      </c>
      <c r="Q48" s="62">
        <f t="shared" si="18"/>
        <v>0.32886186544742674</v>
      </c>
      <c r="R48" s="62">
        <f>R46</f>
        <v>0.32886186544742674</v>
      </c>
      <c r="S48" s="62">
        <f t="shared" ref="S48" si="19">S47</f>
        <v>0.28144412281858089</v>
      </c>
      <c r="T48" s="62">
        <f>$K58/$O58</f>
        <v>0.32886186544742674</v>
      </c>
      <c r="U48" s="190"/>
      <c r="V48" s="194"/>
      <c r="W48" s="194"/>
      <c r="X48" s="191"/>
      <c r="AA48" s="138"/>
      <c r="AB48" s="209" t="s">
        <v>557</v>
      </c>
      <c r="AC48" s="209" t="s">
        <v>558</v>
      </c>
      <c r="AD48" s="148"/>
      <c r="AE48" s="209" t="s">
        <v>559</v>
      </c>
      <c r="AF48" s="209" t="s">
        <v>560</v>
      </c>
      <c r="AM48" s="365"/>
    </row>
    <row r="49" spans="2:32">
      <c r="B49" s="6"/>
      <c r="C49" s="6"/>
      <c r="D49" s="5"/>
      <c r="E49" s="5"/>
      <c r="F49" s="41"/>
      <c r="G49" s="41"/>
      <c r="H49" s="41"/>
      <c r="I49" s="41"/>
      <c r="J49" s="41"/>
      <c r="K49" s="41"/>
      <c r="L49" s="5"/>
      <c r="M49" s="5"/>
      <c r="N49" s="5"/>
      <c r="O49" s="5"/>
      <c r="P49" s="5"/>
      <c r="Q49" s="5"/>
      <c r="R49" s="5"/>
      <c r="S49" s="190"/>
      <c r="T49" s="5"/>
      <c r="U49" s="5"/>
      <c r="V49" s="5"/>
      <c r="W49" s="191"/>
      <c r="X49" s="191"/>
      <c r="AA49" s="139"/>
      <c r="AB49" s="148"/>
      <c r="AC49" s="148"/>
      <c r="AD49" s="149"/>
      <c r="AE49" s="148"/>
      <c r="AF49" s="148"/>
    </row>
    <row r="50" spans="2:32">
      <c r="B50" s="6"/>
      <c r="C50" s="6"/>
      <c r="D50" s="5"/>
      <c r="E50" s="5"/>
      <c r="F50" s="327" t="s">
        <v>561</v>
      </c>
      <c r="G50" s="41"/>
      <c r="H50" s="41"/>
      <c r="I50" s="41"/>
      <c r="J50" s="327" t="s">
        <v>562</v>
      </c>
      <c r="K50" s="41"/>
      <c r="L50" s="114"/>
      <c r="M50" s="197"/>
      <c r="N50" s="327" t="s">
        <v>563</v>
      </c>
      <c r="O50" s="5"/>
      <c r="P50" s="5"/>
      <c r="Q50" s="5"/>
      <c r="R50" s="5"/>
      <c r="S50" s="190"/>
      <c r="T50" s="511"/>
      <c r="U50" s="511"/>
      <c r="V50" s="5"/>
      <c r="W50" s="189"/>
      <c r="X50" s="189"/>
      <c r="AA50" s="139" t="s">
        <v>163</v>
      </c>
      <c r="AB50" s="217">
        <v>32.340654762006949</v>
      </c>
      <c r="AC50" s="217">
        <v>33.658629958924571</v>
      </c>
      <c r="AD50" s="149" t="s">
        <v>163</v>
      </c>
      <c r="AE50" s="217">
        <v>29.788022651798478</v>
      </c>
      <c r="AF50" s="217">
        <v>31.282596846944799</v>
      </c>
    </row>
    <row r="51" spans="2:32">
      <c r="B51" s="5"/>
      <c r="C51" s="5"/>
      <c r="D51" s="5"/>
      <c r="E51" s="348" t="s">
        <v>163</v>
      </c>
      <c r="F51" s="361">
        <f>F41</f>
        <v>2026</v>
      </c>
      <c r="G51" s="98">
        <v>19358300.385786124</v>
      </c>
      <c r="H51" s="41"/>
      <c r="I51" s="348" t="s">
        <v>163</v>
      </c>
      <c r="J51" s="361">
        <f t="shared" ref="J51" si="20">F51</f>
        <v>2026</v>
      </c>
      <c r="K51" s="98">
        <v>10313310.03806413</v>
      </c>
      <c r="L51" s="340"/>
      <c r="M51" s="348" t="s">
        <v>163</v>
      </c>
      <c r="N51" s="361">
        <f t="shared" ref="N51" si="21">F51</f>
        <v>2026</v>
      </c>
      <c r="O51" s="328">
        <v>26534621.286881018</v>
      </c>
      <c r="P51" s="115"/>
      <c r="Q51" s="5"/>
      <c r="R51" s="5"/>
      <c r="S51" s="366"/>
      <c r="T51" s="5"/>
      <c r="U51" s="190"/>
      <c r="V51" s="194"/>
      <c r="W51" s="5"/>
      <c r="X51" s="5"/>
      <c r="AA51" s="139" t="s">
        <v>166</v>
      </c>
      <c r="AB51" s="217">
        <v>32.596708001946226</v>
      </c>
      <c r="AC51" s="217">
        <v>33.253133387073035</v>
      </c>
      <c r="AD51" s="149" t="s">
        <v>518</v>
      </c>
      <c r="AE51" s="218">
        <v>26.65073540105055</v>
      </c>
      <c r="AF51" s="218">
        <v>27.244797182607329</v>
      </c>
    </row>
    <row r="52" spans="2:32">
      <c r="B52" s="5"/>
      <c r="C52" s="5"/>
      <c r="D52" s="5"/>
      <c r="E52" s="348" t="s">
        <v>163</v>
      </c>
      <c r="F52" s="361">
        <f t="shared" ref="F52:F58" si="22">F42</f>
        <v>2027</v>
      </c>
      <c r="G52" s="98">
        <f>G51</f>
        <v>19358300.385786124</v>
      </c>
      <c r="H52" s="198"/>
      <c r="I52" s="348" t="s">
        <v>163</v>
      </c>
      <c r="J52" s="361">
        <f t="shared" ref="J52:J58" si="23">F52</f>
        <v>2027</v>
      </c>
      <c r="K52" s="98">
        <f>K51</f>
        <v>10313310.03806413</v>
      </c>
      <c r="L52" s="210"/>
      <c r="M52" s="348" t="s">
        <v>163</v>
      </c>
      <c r="N52" s="361">
        <f t="shared" ref="N52:N58" si="24">F52</f>
        <v>2027</v>
      </c>
      <c r="O52" s="328">
        <f>O51</f>
        <v>26534621.286881018</v>
      </c>
      <c r="P52" s="198"/>
      <c r="Q52" s="6"/>
      <c r="R52" s="146"/>
      <c r="S52" s="190"/>
      <c r="T52" s="5"/>
      <c r="U52" s="190"/>
      <c r="V52" s="191"/>
      <c r="W52" s="5"/>
      <c r="X52" s="5"/>
    </row>
    <row r="53" spans="2:32">
      <c r="B53" s="5"/>
      <c r="C53" s="5"/>
      <c r="D53" s="5"/>
      <c r="E53" s="348" t="s">
        <v>163</v>
      </c>
      <c r="F53" s="361">
        <f t="shared" si="22"/>
        <v>2028</v>
      </c>
      <c r="G53" s="98">
        <f>G52</f>
        <v>19358300.385786124</v>
      </c>
      <c r="H53" s="41"/>
      <c r="I53" s="348" t="s">
        <v>163</v>
      </c>
      <c r="J53" s="361">
        <f t="shared" si="23"/>
        <v>2028</v>
      </c>
      <c r="K53" s="98">
        <f>K52</f>
        <v>10313310.03806413</v>
      </c>
      <c r="L53" s="5"/>
      <c r="M53" s="348" t="s">
        <v>163</v>
      </c>
      <c r="N53" s="361">
        <f t="shared" si="24"/>
        <v>2028</v>
      </c>
      <c r="O53" s="98">
        <f>O52</f>
        <v>26534621.286881018</v>
      </c>
      <c r="P53" s="5"/>
      <c r="Q53" s="5"/>
      <c r="R53" s="5"/>
      <c r="S53" s="190"/>
      <c r="T53" s="5"/>
      <c r="U53" s="190"/>
      <c r="V53" s="194"/>
      <c r="W53" s="194"/>
      <c r="X53" s="191"/>
    </row>
    <row r="54" spans="2:32">
      <c r="B54" s="5"/>
      <c r="C54" s="5"/>
      <c r="D54" s="5"/>
      <c r="E54" s="348" t="s">
        <v>163</v>
      </c>
      <c r="F54" s="361">
        <f t="shared" si="22"/>
        <v>2029</v>
      </c>
      <c r="G54" s="98">
        <f>G53</f>
        <v>19358300.385786124</v>
      </c>
      <c r="H54" s="41"/>
      <c r="I54" s="348" t="s">
        <v>163</v>
      </c>
      <c r="J54" s="361">
        <f t="shared" si="23"/>
        <v>2029</v>
      </c>
      <c r="K54" s="98">
        <f>K53</f>
        <v>10313310.03806413</v>
      </c>
      <c r="L54" s="5"/>
      <c r="M54" s="348" t="s">
        <v>163</v>
      </c>
      <c r="N54" s="361">
        <f t="shared" si="24"/>
        <v>2029</v>
      </c>
      <c r="O54" s="98">
        <f>$O$53</f>
        <v>26534621.286881018</v>
      </c>
      <c r="P54" s="5"/>
      <c r="Q54" s="5"/>
      <c r="R54" s="5"/>
      <c r="S54" s="190"/>
      <c r="T54" s="5"/>
      <c r="U54" s="190"/>
      <c r="V54" s="194"/>
      <c r="W54" s="194"/>
      <c r="X54" s="191"/>
    </row>
    <row r="55" spans="2:32">
      <c r="B55" s="5"/>
      <c r="C55" s="5"/>
      <c r="D55" s="5"/>
      <c r="E55" s="348" t="s">
        <v>518</v>
      </c>
      <c r="F55" s="361">
        <f t="shared" si="22"/>
        <v>2026</v>
      </c>
      <c r="G55" s="98">
        <v>67795755.926224142</v>
      </c>
      <c r="H55" s="41"/>
      <c r="I55" s="348" t="s">
        <v>518</v>
      </c>
      <c r="J55" s="361">
        <f t="shared" si="23"/>
        <v>2026</v>
      </c>
      <c r="K55" s="98">
        <v>24784494.935273737</v>
      </c>
      <c r="L55" s="5"/>
      <c r="M55" s="348" t="s">
        <v>518</v>
      </c>
      <c r="N55" s="361">
        <f t="shared" si="24"/>
        <v>2026</v>
      </c>
      <c r="O55" s="328">
        <v>75364454.013400629</v>
      </c>
      <c r="P55" s="115"/>
      <c r="Q55" s="5"/>
      <c r="R55" s="5"/>
      <c r="S55" s="190"/>
      <c r="T55" s="5"/>
      <c r="U55" s="190"/>
      <c r="V55" s="191"/>
      <c r="W55" s="194"/>
      <c r="X55" s="191"/>
      <c r="AB55" s="128"/>
    </row>
    <row r="56" spans="2:32">
      <c r="B56" s="5"/>
      <c r="C56" s="5"/>
      <c r="D56" s="5"/>
      <c r="E56" s="348" t="s">
        <v>518</v>
      </c>
      <c r="F56" s="361">
        <f t="shared" si="22"/>
        <v>2027</v>
      </c>
      <c r="G56" s="98">
        <f>G55</f>
        <v>67795755.926224142</v>
      </c>
      <c r="H56" s="198"/>
      <c r="I56" s="348" t="s">
        <v>518</v>
      </c>
      <c r="J56" s="361">
        <f t="shared" si="23"/>
        <v>2027</v>
      </c>
      <c r="K56" s="98">
        <f>K55</f>
        <v>24784494.935273737</v>
      </c>
      <c r="L56" s="198"/>
      <c r="M56" s="348" t="s">
        <v>518</v>
      </c>
      <c r="N56" s="361">
        <f t="shared" si="24"/>
        <v>2027</v>
      </c>
      <c r="O56" s="328">
        <f>O55</f>
        <v>75364454.013400629</v>
      </c>
      <c r="P56" s="198"/>
      <c r="Q56" s="5"/>
      <c r="R56" s="5"/>
      <c r="S56" s="190"/>
      <c r="T56" s="5"/>
      <c r="U56" s="5"/>
      <c r="V56" s="5"/>
      <c r="W56" s="5"/>
      <c r="X56" s="5"/>
    </row>
    <row r="57" spans="2:32">
      <c r="B57" s="5"/>
      <c r="C57" s="5"/>
      <c r="D57" s="5"/>
      <c r="E57" s="348" t="s">
        <v>518</v>
      </c>
      <c r="F57" s="361">
        <f t="shared" si="22"/>
        <v>2028</v>
      </c>
      <c r="G57" s="98">
        <f>G56</f>
        <v>67795755.926224142</v>
      </c>
      <c r="H57" s="41"/>
      <c r="I57" s="348" t="s">
        <v>518</v>
      </c>
      <c r="J57" s="361">
        <f t="shared" si="23"/>
        <v>2028</v>
      </c>
      <c r="K57" s="98">
        <f>K56</f>
        <v>24784494.935273737</v>
      </c>
      <c r="L57" s="5"/>
      <c r="M57" s="348" t="s">
        <v>518</v>
      </c>
      <c r="N57" s="361">
        <f t="shared" si="24"/>
        <v>2028</v>
      </c>
      <c r="O57" s="98">
        <f>O56</f>
        <v>75364454.013400629</v>
      </c>
      <c r="P57" s="5"/>
      <c r="Q57" s="5"/>
      <c r="R57" s="5"/>
      <c r="S57" s="190"/>
      <c r="T57" s="5"/>
      <c r="U57" s="5"/>
      <c r="V57" s="5"/>
      <c r="W57" s="5"/>
      <c r="X57" s="5"/>
    </row>
    <row r="58" spans="2:32">
      <c r="B58" s="5"/>
      <c r="C58" s="5"/>
      <c r="D58" s="5"/>
      <c r="E58" s="348" t="s">
        <v>518</v>
      </c>
      <c r="F58" s="361">
        <f t="shared" si="22"/>
        <v>2029</v>
      </c>
      <c r="G58" s="98">
        <f>G57</f>
        <v>67795755.926224142</v>
      </c>
      <c r="H58" s="41"/>
      <c r="I58" s="348" t="s">
        <v>518</v>
      </c>
      <c r="J58" s="361">
        <f t="shared" si="23"/>
        <v>2029</v>
      </c>
      <c r="K58" s="98">
        <f>K57</f>
        <v>24784494.935273737</v>
      </c>
      <c r="L58" s="5"/>
      <c r="M58" s="348" t="s">
        <v>518</v>
      </c>
      <c r="N58" s="361">
        <f t="shared" si="24"/>
        <v>2029</v>
      </c>
      <c r="O58" s="98">
        <f>O57</f>
        <v>75364454.013400629</v>
      </c>
      <c r="P58" s="5"/>
      <c r="Q58" s="5"/>
      <c r="R58" s="5"/>
      <c r="S58" s="190"/>
      <c r="T58" s="5"/>
      <c r="U58" s="190"/>
      <c r="V58" s="191"/>
      <c r="W58" s="194"/>
      <c r="X58" s="191"/>
    </row>
    <row r="59" spans="2:32">
      <c r="B59" s="5"/>
      <c r="C59" s="5"/>
      <c r="D59" s="5"/>
      <c r="E59" s="5"/>
      <c r="F59" s="41"/>
      <c r="G59" s="41"/>
      <c r="H59" s="41"/>
      <c r="I59" s="41"/>
      <c r="J59" s="41"/>
      <c r="K59" s="41"/>
      <c r="L59" s="5"/>
      <c r="M59" s="5"/>
      <c r="N59" s="5"/>
      <c r="O59" s="5"/>
      <c r="P59" s="5"/>
      <c r="Q59" s="5"/>
      <c r="R59" s="5"/>
      <c r="S59" s="190"/>
      <c r="T59" s="5"/>
      <c r="U59" s="5"/>
      <c r="V59" s="189"/>
      <c r="W59" s="194"/>
      <c r="X59" s="191"/>
    </row>
    <row r="60" spans="2:32">
      <c r="B60" s="5"/>
      <c r="C60" s="5"/>
      <c r="D60" s="5"/>
      <c r="E60" s="367" t="s">
        <v>433</v>
      </c>
      <c r="F60" s="41"/>
      <c r="G60" s="41"/>
      <c r="H60" s="41"/>
      <c r="I60" s="41"/>
      <c r="J60" s="41"/>
      <c r="K60" s="41"/>
      <c r="L60" s="5"/>
      <c r="M60" s="5"/>
      <c r="N60" s="5"/>
      <c r="O60" s="5"/>
      <c r="P60" s="5"/>
      <c r="Q60" s="5"/>
      <c r="R60" s="5"/>
      <c r="S60" s="190"/>
      <c r="T60" s="511"/>
      <c r="U60" s="511"/>
      <c r="V60" s="5"/>
      <c r="W60" s="194"/>
      <c r="X60" s="191"/>
    </row>
    <row r="61" spans="2:32">
      <c r="B61" s="5"/>
      <c r="C61" s="5"/>
      <c r="D61" s="5"/>
      <c r="E61" s="5"/>
      <c r="F61" s="41"/>
      <c r="G61" s="41"/>
      <c r="H61" s="41"/>
      <c r="I61" s="41"/>
      <c r="J61" s="41"/>
      <c r="K61" s="41"/>
      <c r="L61" s="5"/>
      <c r="M61" s="5"/>
      <c r="N61" s="5"/>
      <c r="O61" s="5"/>
      <c r="P61" s="5"/>
      <c r="Q61" s="5"/>
      <c r="R61" s="5"/>
      <c r="S61" s="190"/>
      <c r="T61" s="5"/>
      <c r="U61" s="190"/>
      <c r="V61" s="5"/>
      <c r="W61" s="194"/>
      <c r="X61" s="194"/>
    </row>
    <row r="62" spans="2:32">
      <c r="B62" s="5"/>
      <c r="C62" s="5"/>
      <c r="D62" s="5"/>
      <c r="E62" s="5" t="s">
        <v>564</v>
      </c>
      <c r="F62" s="41"/>
      <c r="G62" s="41"/>
      <c r="H62" s="41"/>
      <c r="I62" s="41"/>
      <c r="J62" s="41"/>
      <c r="K62" s="41"/>
      <c r="L62" s="5"/>
      <c r="M62" s="5"/>
      <c r="N62" s="5"/>
      <c r="O62" s="5"/>
      <c r="P62" s="5"/>
      <c r="Q62" s="5"/>
      <c r="R62" s="5"/>
      <c r="S62" s="190"/>
      <c r="T62" s="5"/>
      <c r="U62" s="5"/>
      <c r="V62" s="5"/>
      <c r="W62" s="5"/>
      <c r="X62" s="5"/>
    </row>
    <row r="63" spans="2:32">
      <c r="B63" s="5"/>
      <c r="C63" s="5"/>
      <c r="D63" s="5"/>
      <c r="E63" s="5" t="s">
        <v>565</v>
      </c>
      <c r="F63" s="41"/>
      <c r="G63" s="41"/>
      <c r="H63" s="41"/>
      <c r="I63" s="41"/>
      <c r="J63" s="41"/>
      <c r="K63" s="41"/>
      <c r="L63" s="5"/>
      <c r="M63" s="5"/>
      <c r="N63" s="5"/>
      <c r="O63" s="5"/>
      <c r="P63" s="5"/>
      <c r="Q63" s="5"/>
      <c r="R63" s="5"/>
      <c r="S63" s="190"/>
      <c r="T63" s="5"/>
      <c r="U63" s="5"/>
      <c r="V63" s="189"/>
      <c r="W63" s="5"/>
      <c r="X63" s="5"/>
    </row>
    <row r="64" spans="2:32">
      <c r="B64" s="5"/>
      <c r="C64" s="5"/>
      <c r="D64" s="5"/>
      <c r="E64" s="5" t="s">
        <v>566</v>
      </c>
      <c r="F64" s="41"/>
      <c r="G64" s="41"/>
      <c r="H64" s="41"/>
      <c r="I64" s="41"/>
      <c r="J64" s="41"/>
      <c r="K64" s="41"/>
      <c r="L64" s="5"/>
      <c r="M64" s="5"/>
      <c r="N64" s="5"/>
      <c r="O64" s="5"/>
      <c r="P64" s="5"/>
      <c r="Q64" s="5"/>
      <c r="R64" s="5"/>
      <c r="S64" s="190"/>
      <c r="T64" s="511"/>
      <c r="U64" s="511"/>
      <c r="V64" s="191"/>
      <c r="W64" s="191"/>
      <c r="X64" s="191"/>
    </row>
    <row r="65" spans="2:24">
      <c r="B65" s="5"/>
      <c r="C65" s="5"/>
      <c r="D65" s="5"/>
      <c r="E65" s="5" t="s">
        <v>567</v>
      </c>
      <c r="F65" s="41"/>
      <c r="G65" s="98"/>
      <c r="H65" s="41"/>
      <c r="I65" s="41"/>
      <c r="J65" s="41"/>
      <c r="K65" s="41"/>
      <c r="L65" s="5"/>
      <c r="M65" s="5"/>
      <c r="N65" s="5"/>
      <c r="O65" s="5"/>
      <c r="P65" s="5"/>
      <c r="Q65" s="5"/>
      <c r="R65" s="5"/>
      <c r="S65" s="5"/>
      <c r="T65" s="5"/>
      <c r="U65" s="5"/>
      <c r="V65" s="5"/>
      <c r="W65" s="189"/>
      <c r="X65" s="189"/>
    </row>
    <row r="66" spans="2:24">
      <c r="B66" s="5"/>
      <c r="C66" s="5"/>
      <c r="D66" s="5"/>
      <c r="W66" s="5"/>
      <c r="X66" s="5"/>
    </row>
    <row r="67" spans="2:24">
      <c r="B67" s="5"/>
      <c r="C67" s="5"/>
      <c r="D67" s="5"/>
      <c r="W67" s="5"/>
      <c r="X67" s="5"/>
    </row>
    <row r="68" spans="2:24">
      <c r="B68" s="5"/>
      <c r="C68" s="5"/>
      <c r="D68" s="5"/>
      <c r="W68" s="5"/>
      <c r="X68" s="5"/>
    </row>
    <row r="69" spans="2:24">
      <c r="B69" s="5"/>
      <c r="C69" s="5"/>
      <c r="D69" s="5"/>
      <c r="W69" s="189"/>
      <c r="X69" s="189"/>
    </row>
    <row r="70" spans="2:24">
      <c r="B70" s="5"/>
      <c r="C70" s="5"/>
      <c r="D70" s="5"/>
      <c r="W70" s="5"/>
      <c r="X70" s="5"/>
    </row>
    <row r="71" spans="2:24">
      <c r="B71" s="5"/>
      <c r="C71" s="5"/>
      <c r="D71" s="5"/>
      <c r="W71" s="5"/>
      <c r="X71" s="5"/>
    </row>
    <row r="72" spans="2:24">
      <c r="B72" s="5"/>
      <c r="C72" s="5"/>
      <c r="D72" s="5"/>
      <c r="W72" s="189"/>
      <c r="X72" s="189"/>
    </row>
    <row r="73" spans="2:24">
      <c r="B73" s="5"/>
      <c r="C73" s="5"/>
      <c r="D73" s="5"/>
      <c r="W73" s="191"/>
      <c r="X73" s="191"/>
    </row>
    <row r="74" spans="2:24">
      <c r="B74" s="5"/>
      <c r="C74" s="5"/>
      <c r="D74" s="5"/>
      <c r="W74" s="5"/>
      <c r="X74" s="5"/>
    </row>
  </sheetData>
  <mergeCells count="15">
    <mergeCell ref="W16:X16"/>
    <mergeCell ref="C2:D2"/>
    <mergeCell ref="T50:U50"/>
    <mergeCell ref="T60:U60"/>
    <mergeCell ref="U17:V17"/>
    <mergeCell ref="U16:V16"/>
    <mergeCell ref="G4:T4"/>
    <mergeCell ref="G8:T8"/>
    <mergeCell ref="G17:T17"/>
    <mergeCell ref="W17:X17"/>
    <mergeCell ref="AI25:AN25"/>
    <mergeCell ref="AA25:AF25"/>
    <mergeCell ref="T64:U64"/>
    <mergeCell ref="F26:K26"/>
    <mergeCell ref="P26:U26"/>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ignoredErrors>
    <ignoredError sqref="H3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2CCD3-06FE-487F-A366-08EE8C65937B}">
  <sheetPr codeName="Sheet4">
    <pageSetUpPr autoPageBreaks="0"/>
  </sheetPr>
  <dimension ref="A1:AM127"/>
  <sheetViews>
    <sheetView tabSelected="1" zoomScale="80" zoomScaleNormal="80" workbookViewId="0">
      <selection activeCell="E20" sqref="E20"/>
    </sheetView>
  </sheetViews>
  <sheetFormatPr defaultColWidth="8.81640625" defaultRowHeight="14.5"/>
  <cols>
    <col min="1" max="1" width="7.453125" style="18" customWidth="1"/>
    <col min="2" max="2" width="14.453125" style="18" customWidth="1"/>
    <col min="3" max="4" width="13" style="18" customWidth="1"/>
    <col min="5" max="5" width="15.7265625" style="18" bestFit="1" customWidth="1"/>
    <col min="6" max="6" width="13.54296875" style="18" customWidth="1"/>
    <col min="7" max="7" width="19" style="18" bestFit="1" customWidth="1"/>
    <col min="8" max="8" width="14.1796875" style="18" customWidth="1"/>
    <col min="9" max="9" width="19" style="18" bestFit="1" customWidth="1"/>
    <col min="10" max="10" width="14" style="18" customWidth="1"/>
    <col min="11" max="11" width="19" style="18" bestFit="1" customWidth="1"/>
    <col min="12" max="12" width="13" style="18" customWidth="1"/>
    <col min="13" max="14" width="14.1796875" style="18" customWidth="1"/>
    <col min="15" max="15" width="14.54296875" style="18" customWidth="1"/>
    <col min="16" max="16" width="19.7265625" style="18" customWidth="1"/>
    <col min="17" max="17" width="15.7265625" style="18" bestFit="1" customWidth="1"/>
    <col min="18" max="18" width="19.54296875" style="18" customWidth="1"/>
    <col min="19" max="19" width="15.7265625" style="18" bestFit="1" customWidth="1"/>
    <col min="20" max="20" width="19" style="18" bestFit="1" customWidth="1"/>
    <col min="21" max="21" width="16.54296875" style="18" customWidth="1"/>
    <col min="22" max="22" width="19" style="18" bestFit="1" customWidth="1"/>
    <col min="23" max="23" width="14" style="18" customWidth="1"/>
    <col min="24" max="24" width="23.1796875" style="18" customWidth="1"/>
    <col min="25" max="28" width="19.1796875" style="18" bestFit="1" customWidth="1"/>
    <col min="29" max="29" width="12.26953125" style="18" customWidth="1"/>
    <col min="30" max="30" width="18.26953125" style="18" customWidth="1"/>
    <col min="31" max="32" width="18.81640625" style="18" bestFit="1" customWidth="1"/>
    <col min="33" max="33" width="28.54296875" style="18" customWidth="1"/>
    <col min="34" max="35" width="8.81640625" style="18"/>
    <col min="36" max="36" width="9.81640625" style="18" bestFit="1" customWidth="1"/>
    <col min="37" max="37" width="8.81640625" style="18"/>
    <col min="38" max="38" width="255.7265625" style="18" bestFit="1" customWidth="1"/>
    <col min="39" max="16384" width="8.81640625" style="18"/>
  </cols>
  <sheetData>
    <row r="1" spans="1:38">
      <c r="A1" s="368"/>
      <c r="B1" s="368"/>
      <c r="C1" s="368"/>
      <c r="D1" s="368"/>
      <c r="E1" s="368"/>
      <c r="F1" s="368"/>
      <c r="G1" s="368"/>
      <c r="H1" s="369"/>
      <c r="I1" s="368"/>
    </row>
    <row r="2" spans="1:38">
      <c r="A2" s="370"/>
      <c r="B2" s="532"/>
      <c r="C2" s="532"/>
      <c r="D2" s="532"/>
      <c r="F2" s="370"/>
    </row>
    <row r="3" spans="1:38">
      <c r="E3" s="533" t="s">
        <v>568</v>
      </c>
      <c r="F3" s="533"/>
      <c r="G3" s="533"/>
      <c r="H3" s="533"/>
      <c r="I3" s="533"/>
      <c r="J3" s="533"/>
      <c r="K3" s="533"/>
      <c r="M3" s="43"/>
      <c r="N3" s="43"/>
      <c r="O3" s="43"/>
      <c r="P3" s="533" t="s">
        <v>569</v>
      </c>
      <c r="Q3" s="533"/>
      <c r="R3" s="533"/>
      <c r="S3" s="533"/>
      <c r="T3" s="533"/>
      <c r="U3" s="533"/>
      <c r="V3" s="533"/>
    </row>
    <row r="4" spans="1:38" ht="15.75" customHeight="1">
      <c r="D4" s="5"/>
      <c r="E4" s="371">
        <f>Summary!D3</f>
        <v>2026</v>
      </c>
      <c r="F4" s="372">
        <f>Summary!L3</f>
        <v>46082</v>
      </c>
      <c r="G4" s="373">
        <f>Summary!L3</f>
        <v>46082</v>
      </c>
      <c r="H4" s="374" t="s">
        <v>570</v>
      </c>
      <c r="I4" s="374" t="s">
        <v>570</v>
      </c>
      <c r="J4" s="374" t="s">
        <v>570</v>
      </c>
      <c r="K4" s="374" t="s">
        <v>570</v>
      </c>
      <c r="L4" s="41"/>
      <c r="O4" s="5"/>
      <c r="P4" s="371">
        <f>E4</f>
        <v>2026</v>
      </c>
      <c r="Q4" s="372">
        <f>Summary!L3</f>
        <v>46082</v>
      </c>
      <c r="R4" s="373">
        <f>Summary!L3</f>
        <v>46082</v>
      </c>
      <c r="S4" s="374" t="s">
        <v>570</v>
      </c>
      <c r="T4" s="374" t="s">
        <v>570</v>
      </c>
      <c r="U4" s="374" t="s">
        <v>570</v>
      </c>
      <c r="V4" s="374" t="s">
        <v>570</v>
      </c>
    </row>
    <row r="5" spans="1:38" ht="30.65" customHeight="1">
      <c r="D5" s="5"/>
      <c r="E5" s="374" t="s">
        <v>120</v>
      </c>
      <c r="F5" s="374" t="s">
        <v>571</v>
      </c>
      <c r="G5" s="374" t="s">
        <v>33</v>
      </c>
      <c r="H5" s="374" t="s">
        <v>572</v>
      </c>
      <c r="I5" s="374" t="s">
        <v>573</v>
      </c>
      <c r="J5" s="374" t="s">
        <v>574</v>
      </c>
      <c r="K5" s="374" t="s">
        <v>575</v>
      </c>
      <c r="L5" s="322"/>
      <c r="M5" s="225"/>
      <c r="N5" s="225"/>
      <c r="O5" s="322"/>
      <c r="P5" s="374" t="s">
        <v>120</v>
      </c>
      <c r="Q5" s="374" t="s">
        <v>571</v>
      </c>
      <c r="R5" s="374" t="s">
        <v>33</v>
      </c>
      <c r="S5" s="374" t="s">
        <v>572</v>
      </c>
      <c r="T5" s="374" t="s">
        <v>573</v>
      </c>
      <c r="U5" s="374" t="s">
        <v>574</v>
      </c>
      <c r="V5" s="374" t="s">
        <v>575</v>
      </c>
    </row>
    <row r="6" spans="1:38" ht="15.5">
      <c r="B6" s="375"/>
      <c r="D6" s="375"/>
      <c r="E6" s="5"/>
      <c r="F6" s="5"/>
      <c r="G6" s="5"/>
      <c r="J6" s="41"/>
      <c r="K6" s="41"/>
      <c r="L6" s="41"/>
      <c r="O6" s="375"/>
      <c r="P6" s="5"/>
      <c r="Q6" s="5"/>
      <c r="R6" s="5"/>
      <c r="U6" s="41"/>
      <c r="V6" s="41"/>
    </row>
    <row r="7" spans="1:38" ht="15.5">
      <c r="D7" s="376" t="s">
        <v>576</v>
      </c>
      <c r="E7" s="66">
        <f>HLOOKUP($E$4,$Y$38:$AB$42,2,FALSE)</f>
        <v>1452800430.3594003</v>
      </c>
      <c r="F7" s="377">
        <v>0.32561295831876069</v>
      </c>
      <c r="G7" s="116">
        <f t="shared" ref="G7:G12" si="0">F7*E7</f>
        <v>473050645.97609299</v>
      </c>
      <c r="H7" s="378">
        <f>((Y9-SUM(G15:G16,R15))/SUM(SUM(E7:E8),F9/F7*SUM(E9:E10),F11/F7*SUM(E11:E12),SUM(P7:P8)*(1+(Q7/F7-1)),SUM(P9:P10)*(1+(Q9/F9-1))*F9/F7,SUM(P11:P12)*(1+(Q11/F11-1))*F11/F7))</f>
        <v>0.32978118986018573</v>
      </c>
      <c r="I7" s="116">
        <f t="shared" ref="I7:I11" si="1">E7*H7</f>
        <v>479106254.5533129</v>
      </c>
      <c r="J7" s="378">
        <f>((Y10-SUM(K15:K16,V15))/SUM(SUM(E7:E8),F9/F7*SUM(E9:E10),F11/F7*SUM(E11:E12),SUM(P7:P8)*(1+(Q7/F7-1)),SUM(P9:P10)*(1+(Q9/F9-1))*F9/F7,SUM(P11:P12)*(1+(Q11/F11-1))*F11/F7))</f>
        <v>0.33482256957511891</v>
      </c>
      <c r="K7" s="116">
        <f t="shared" ref="K7:K12" si="2">E7*J7</f>
        <v>486430373.172773</v>
      </c>
      <c r="L7" s="378"/>
      <c r="O7" s="376" t="s">
        <v>576</v>
      </c>
      <c r="P7" s="66">
        <f>HLOOKUP($E$4,$Y$50:$AB$54,2,FALSE)</f>
        <v>910964982.79669785</v>
      </c>
      <c r="Q7" s="377">
        <v>0.20127263378676605</v>
      </c>
      <c r="R7" s="116">
        <f t="shared" ref="R7:R12" si="3">Q7*P7</f>
        <v>183352321.37500739</v>
      </c>
      <c r="S7" s="378">
        <f>H7*(1+(Q7/F7-1))</f>
        <v>0.20384916189826213</v>
      </c>
      <c r="T7" s="116">
        <f t="shared" ref="T7:T12" si="4">P7*S7</f>
        <v>185699448.26177165</v>
      </c>
      <c r="U7" s="378">
        <f t="shared" ref="U7:U12" si="5">J7*(1+(Q7/F7-1))</f>
        <v>0.20696541310147881</v>
      </c>
      <c r="V7" s="116">
        <f t="shared" ref="V7:V12" si="6">P7*U7</f>
        <v>188538243.9855001</v>
      </c>
      <c r="W7" s="379"/>
      <c r="X7" s="18" t="s">
        <v>577</v>
      </c>
    </row>
    <row r="8" spans="1:38" ht="15.5">
      <c r="D8" s="380" t="s">
        <v>578</v>
      </c>
      <c r="E8" s="66">
        <f>HLOOKUP($E$4,$Y$38:$AB$42,3,FALSE)</f>
        <v>2191990574.7972364</v>
      </c>
      <c r="F8" s="377">
        <v>0.32561295831876069</v>
      </c>
      <c r="G8" s="116">
        <f t="shared" si="0"/>
        <v>713740535.66656888</v>
      </c>
      <c r="H8" s="378">
        <f>H7</f>
        <v>0.32978118986018573</v>
      </c>
      <c r="I8" s="116">
        <f t="shared" si="1"/>
        <v>722877259.91894507</v>
      </c>
      <c r="J8" s="378">
        <f>J7</f>
        <v>0.33482256957511891</v>
      </c>
      <c r="K8" s="116">
        <f t="shared" si="2"/>
        <v>733927916.73805261</v>
      </c>
      <c r="L8" s="378"/>
      <c r="O8" s="380" t="s">
        <v>578</v>
      </c>
      <c r="P8" s="66">
        <f>HLOOKUP($E$4,$Y$50:$AB$54,3,FALSE)</f>
        <v>1698591264.0983658</v>
      </c>
      <c r="Q8" s="377">
        <v>0.20127263378676605</v>
      </c>
      <c r="R8" s="116">
        <f t="shared" si="3"/>
        <v>341879937.45227039</v>
      </c>
      <c r="S8" s="378">
        <f t="shared" ref="S8:S12" si="7">H8*(1+(Q8/F8-1))</f>
        <v>0.20384916189826213</v>
      </c>
      <c r="T8" s="116">
        <f t="shared" si="4"/>
        <v>346256405.59416151</v>
      </c>
      <c r="U8" s="378">
        <f t="shared" si="5"/>
        <v>0.20696541310147881</v>
      </c>
      <c r="V8" s="116">
        <f t="shared" si="6"/>
        <v>351549642.66468138</v>
      </c>
      <c r="W8" s="379"/>
      <c r="X8" s="18" t="s">
        <v>579</v>
      </c>
      <c r="Y8" s="381">
        <f>SUM(G7:G12)+SUM(R7:R12)</f>
        <v>3138661707.3271513</v>
      </c>
    </row>
    <row r="9" spans="1:38" ht="15.5">
      <c r="D9" s="376" t="s">
        <v>580</v>
      </c>
      <c r="E9" s="66">
        <f>HLOOKUP($E$4,$Y$38:$AB$42,4,FALSE)</f>
        <v>1236691652.402801</v>
      </c>
      <c r="F9" s="377">
        <v>0.40701593321730439</v>
      </c>
      <c r="G9" s="116">
        <f>F9*E9</f>
        <v>503353207.0047763</v>
      </c>
      <c r="H9" s="378">
        <f>F9/F$7*H$7</f>
        <v>0.41222621925585351</v>
      </c>
      <c r="I9" s="116">
        <f t="shared" si="1"/>
        <v>509796724.25528085</v>
      </c>
      <c r="J9" s="378">
        <f>F9/F$7*J$7</f>
        <v>0.41852793980153147</v>
      </c>
      <c r="K9" s="116">
        <f t="shared" si="2"/>
        <v>517590009.44989598</v>
      </c>
      <c r="L9" s="378"/>
      <c r="O9" s="376" t="s">
        <v>580</v>
      </c>
      <c r="P9" s="66">
        <f>HLOOKUP($E$4,$Y$50:$AB$54,4,FALSE)</f>
        <v>708171358.60665298</v>
      </c>
      <c r="Q9" s="377">
        <v>0.25418456747082041</v>
      </c>
      <c r="R9" s="116">
        <f t="shared" si="3"/>
        <v>180006230.48265535</v>
      </c>
      <c r="S9" s="378">
        <f t="shared" si="7"/>
        <v>0.25743843100544717</v>
      </c>
      <c r="T9" s="116">
        <f t="shared" si="4"/>
        <v>182310523.44269261</v>
      </c>
      <c r="U9" s="378">
        <f t="shared" si="5"/>
        <v>0.261373903748648</v>
      </c>
      <c r="V9" s="116">
        <f t="shared" si="6"/>
        <v>185097512.5220046</v>
      </c>
      <c r="W9" s="379"/>
      <c r="X9" s="18" t="s">
        <v>581</v>
      </c>
      <c r="Y9" s="381">
        <f>('SAR and RAR'!V19-('SAR and RAR'!P10*'SAR and RAR'!P19))*1000</f>
        <v>3496956756.4169292</v>
      </c>
      <c r="Z9" s="18">
        <f>Y9/Y8-1</f>
        <v>0.11415535744210481</v>
      </c>
    </row>
    <row r="10" spans="1:38" ht="15.5">
      <c r="D10" s="380" t="s">
        <v>578</v>
      </c>
      <c r="E10" s="66">
        <f>HLOOKUP($E$4,$Y$38:$AB$42,5,FALSE)</f>
        <v>1347324889.4706311</v>
      </c>
      <c r="F10" s="377">
        <v>0.40701593321730439</v>
      </c>
      <c r="G10" s="116">
        <f t="shared" si="0"/>
        <v>548382697.23479044</v>
      </c>
      <c r="H10" s="378">
        <f>H9</f>
        <v>0.41222621925585351</v>
      </c>
      <c r="I10" s="116">
        <f t="shared" si="1"/>
        <v>555402645.295789</v>
      </c>
      <c r="J10" s="378">
        <f>J9</f>
        <v>0.41852793980153147</v>
      </c>
      <c r="K10" s="116">
        <f t="shared" si="2"/>
        <v>563893110.23346937</v>
      </c>
      <c r="L10" s="378"/>
      <c r="O10" s="380" t="s">
        <v>578</v>
      </c>
      <c r="P10" s="66">
        <f>HLOOKUP($E$4,$Y$50:$AB$54,5,FALSE)</f>
        <v>766750452.53234386</v>
      </c>
      <c r="Q10" s="377">
        <v>0.25418456747082041</v>
      </c>
      <c r="R10" s="116">
        <f t="shared" si="3"/>
        <v>194896132.13498965</v>
      </c>
      <c r="S10" s="378">
        <f t="shared" si="7"/>
        <v>0.25743843100544717</v>
      </c>
      <c r="T10" s="116">
        <f t="shared" si="4"/>
        <v>197391033.4726432</v>
      </c>
      <c r="U10" s="378">
        <f t="shared" si="5"/>
        <v>0.261373903748648</v>
      </c>
      <c r="V10" s="116">
        <f t="shared" si="6"/>
        <v>200408558.97942114</v>
      </c>
      <c r="W10" s="379"/>
      <c r="X10" s="18" t="s">
        <v>582</v>
      </c>
      <c r="Y10" s="381">
        <f>('SAR and RAR'!X19-('SAR and RAR'!P13*'SAR and RAR'!P19))*1000</f>
        <v>3545551829.3681302</v>
      </c>
      <c r="Z10" s="142">
        <f>Y10/Y8-1</f>
        <v>0.12963809418871142</v>
      </c>
      <c r="AL10" s="18">
        <v>75546565</v>
      </c>
    </row>
    <row r="11" spans="1:38" ht="15.5">
      <c r="D11" s="376" t="s">
        <v>583</v>
      </c>
      <c r="E11" s="66">
        <f>HLOOKUP($E$4,$Y$38:$AB$45,6,FALSE)</f>
        <v>0</v>
      </c>
      <c r="F11" s="377">
        <v>0.40701593321730439</v>
      </c>
      <c r="G11" s="116">
        <f t="shared" si="0"/>
        <v>0</v>
      </c>
      <c r="H11" s="378">
        <f>F11/F$7*H$7</f>
        <v>0.41222621925585351</v>
      </c>
      <c r="I11" s="116">
        <f t="shared" si="1"/>
        <v>0</v>
      </c>
      <c r="J11" s="378">
        <f>F11/F$7*J$7</f>
        <v>0.41852793980153147</v>
      </c>
      <c r="K11" s="116">
        <f t="shared" si="2"/>
        <v>0</v>
      </c>
      <c r="L11" s="378"/>
      <c r="O11" s="376" t="s">
        <v>583</v>
      </c>
      <c r="P11" s="66">
        <f>HLOOKUP($E$4,$Y$50:$AB$57,6,FALSE)</f>
        <v>0</v>
      </c>
      <c r="Q11" s="377">
        <v>0.25418456747081958</v>
      </c>
      <c r="R11" s="116">
        <f t="shared" si="3"/>
        <v>0</v>
      </c>
      <c r="S11" s="378">
        <f t="shared" si="7"/>
        <v>0.25743843100544633</v>
      </c>
      <c r="T11" s="116">
        <f t="shared" si="4"/>
        <v>0</v>
      </c>
      <c r="U11" s="378">
        <f t="shared" si="5"/>
        <v>0.26137390374864711</v>
      </c>
      <c r="V11" s="116">
        <f t="shared" si="6"/>
        <v>0</v>
      </c>
      <c r="W11" s="379"/>
      <c r="Y11" s="381"/>
      <c r="AG11" s="382"/>
    </row>
    <row r="12" spans="1:38" ht="15.5">
      <c r="D12" s="380" t="s">
        <v>578</v>
      </c>
      <c r="E12" s="66">
        <f>HLOOKUP($E$4,$Y$38:$AB$45,7,FALSE)</f>
        <v>0</v>
      </c>
      <c r="F12" s="377">
        <v>0.40701593321730439</v>
      </c>
      <c r="G12" s="116">
        <f t="shared" si="0"/>
        <v>0</v>
      </c>
      <c r="H12" s="378">
        <f>H11</f>
        <v>0.41222621925585351</v>
      </c>
      <c r="I12" s="116">
        <f>E12*H12</f>
        <v>0</v>
      </c>
      <c r="J12" s="378">
        <f>J11</f>
        <v>0.41852793980153147</v>
      </c>
      <c r="K12" s="116">
        <f t="shared" si="2"/>
        <v>0</v>
      </c>
      <c r="L12" s="378"/>
      <c r="O12" s="380" t="s">
        <v>578</v>
      </c>
      <c r="P12" s="66">
        <f>HLOOKUP($E$4,$Y$50:$AB$57,7,FALSE)</f>
        <v>0</v>
      </c>
      <c r="Q12" s="377">
        <v>0.25418456747081958</v>
      </c>
      <c r="R12" s="116">
        <f t="shared" si="3"/>
        <v>0</v>
      </c>
      <c r="S12" s="378">
        <f t="shared" si="7"/>
        <v>0.25743843100544633</v>
      </c>
      <c r="T12" s="116">
        <f t="shared" si="4"/>
        <v>0</v>
      </c>
      <c r="U12" s="378">
        <f t="shared" si="5"/>
        <v>0.26137390374864711</v>
      </c>
      <c r="V12" s="116">
        <f t="shared" si="6"/>
        <v>0</v>
      </c>
      <c r="W12" s="379"/>
      <c r="Y12" s="381"/>
    </row>
    <row r="13" spans="1:38" ht="15.5">
      <c r="D13" s="380"/>
      <c r="E13" s="66"/>
      <c r="F13" s="66"/>
      <c r="G13" s="66"/>
      <c r="H13" s="66"/>
      <c r="I13" s="66"/>
      <c r="J13" s="5"/>
      <c r="K13" s="383"/>
      <c r="L13" s="379"/>
      <c r="O13" s="380"/>
      <c r="P13" s="384"/>
      <c r="Q13" s="377"/>
      <c r="R13" s="66"/>
      <c r="S13" s="66"/>
      <c r="T13" s="66"/>
      <c r="U13" s="5"/>
      <c r="V13" s="383"/>
      <c r="X13" s="381"/>
      <c r="Y13" s="381"/>
      <c r="AL13" s="382"/>
    </row>
    <row r="14" spans="1:38" ht="15.5">
      <c r="D14" s="385" t="s">
        <v>584</v>
      </c>
      <c r="E14" s="386"/>
      <c r="F14" s="377"/>
      <c r="G14" s="144"/>
      <c r="H14" s="384"/>
      <c r="I14" s="144"/>
      <c r="J14" s="143"/>
      <c r="K14" s="144"/>
      <c r="L14" s="143"/>
      <c r="O14" s="385" t="s">
        <v>584</v>
      </c>
      <c r="Q14" s="377"/>
      <c r="R14" s="384"/>
      <c r="S14" s="143"/>
      <c r="T14" s="384"/>
      <c r="U14" s="143"/>
      <c r="V14" s="384"/>
      <c r="Y14" s="381"/>
    </row>
    <row r="15" spans="1:38" ht="15.5">
      <c r="D15" s="18" t="s">
        <v>585</v>
      </c>
      <c r="E15" s="66">
        <f>HLOOKUP($E$4,$Y$38:$AB$46,8,FALSE)*(365.25/12)</f>
        <v>13081501.821975876</v>
      </c>
      <c r="F15" s="387">
        <v>0.39687885010266943</v>
      </c>
      <c r="G15" s="116">
        <f>F15*E15</f>
        <v>5191771.4007217605</v>
      </c>
      <c r="H15" s="378">
        <f>F15</f>
        <v>0.39687885010266943</v>
      </c>
      <c r="I15" s="116">
        <f>E15*H15</f>
        <v>5191771.4007217605</v>
      </c>
      <c r="J15" s="378">
        <f>H15</f>
        <v>0.39687885010266943</v>
      </c>
      <c r="K15" s="116">
        <f>E15*J15</f>
        <v>5191771.4007217605</v>
      </c>
      <c r="L15" s="143"/>
      <c r="O15" s="18" t="s">
        <v>586</v>
      </c>
      <c r="P15" s="66">
        <f>HLOOKUP($E$4,$Y$50:$AB$58,8,FALSE)</f>
        <v>7779985.4698770009</v>
      </c>
      <c r="Q15" s="388">
        <v>0.1971252566735113</v>
      </c>
      <c r="R15" s="116">
        <f>Q15*P15</f>
        <v>1533631.6326656921</v>
      </c>
      <c r="S15" s="378">
        <f>Q15</f>
        <v>0.1971252566735113</v>
      </c>
      <c r="T15" s="116">
        <f>P15*S15</f>
        <v>1533631.6326656921</v>
      </c>
      <c r="U15" s="378">
        <f>S15</f>
        <v>0.1971252566735113</v>
      </c>
      <c r="V15" s="116">
        <f>P15*U15</f>
        <v>1533631.6326656921</v>
      </c>
      <c r="AL15" s="382"/>
    </row>
    <row r="16" spans="1:38" ht="15.5">
      <c r="D16" s="18" t="s">
        <v>587</v>
      </c>
      <c r="E16" s="66">
        <f>HLOOKUP($E$4,$Y$38:$AB$46,9,FALSE)*(365.25/12)</f>
        <v>392462333.15946174</v>
      </c>
      <c r="F16" s="387">
        <v>0.79342915811088288</v>
      </c>
      <c r="G16" s="116">
        <f>F16*E16</f>
        <v>311391058.58894455</v>
      </c>
      <c r="H16" s="378">
        <f>F16</f>
        <v>0.79342915811088288</v>
      </c>
      <c r="I16" s="116">
        <f>E16*H16</f>
        <v>311391058.58894455</v>
      </c>
      <c r="J16" s="378">
        <f>H16</f>
        <v>0.79342915811088288</v>
      </c>
      <c r="K16" s="116">
        <f>E16*J16</f>
        <v>311391058.58894455</v>
      </c>
      <c r="P16" s="384"/>
      <c r="Q16" s="377"/>
      <c r="S16" s="143"/>
      <c r="U16" s="143"/>
    </row>
    <row r="17" spans="2:33" ht="15.5">
      <c r="H17" s="114"/>
      <c r="J17" s="114"/>
      <c r="O17" s="389"/>
      <c r="S17" s="390"/>
    </row>
    <row r="18" spans="2:33" ht="15.5">
      <c r="S18" s="390"/>
    </row>
    <row r="19" spans="2:33">
      <c r="B19" s="391"/>
      <c r="E19" s="388"/>
      <c r="P19" s="18" t="s">
        <v>588</v>
      </c>
      <c r="X19" s="18" t="s">
        <v>589</v>
      </c>
    </row>
    <row r="20" spans="2:33">
      <c r="B20" s="392" t="s">
        <v>590</v>
      </c>
      <c r="C20" s="392"/>
      <c r="E20" s="393" t="s">
        <v>570</v>
      </c>
      <c r="F20" s="393" t="s">
        <v>570</v>
      </c>
      <c r="H20" s="392" t="s">
        <v>591</v>
      </c>
      <c r="I20" s="392"/>
      <c r="J20" s="392"/>
      <c r="K20" s="392"/>
      <c r="L20" s="392" t="s">
        <v>592</v>
      </c>
      <c r="M20" s="392"/>
      <c r="N20" s="392"/>
      <c r="P20" s="394" t="s">
        <v>593</v>
      </c>
      <c r="Q20" s="395" t="s">
        <v>594</v>
      </c>
      <c r="R20" s="395" t="s">
        <v>595</v>
      </c>
      <c r="S20" s="395" t="s">
        <v>594</v>
      </c>
      <c r="T20" s="395" t="s">
        <v>595</v>
      </c>
      <c r="U20" s="522" t="s">
        <v>596</v>
      </c>
      <c r="V20" s="523"/>
      <c r="X20" s="394" t="s">
        <v>593</v>
      </c>
      <c r="Y20" s="395" t="s">
        <v>594</v>
      </c>
      <c r="Z20" s="395" t="s">
        <v>595</v>
      </c>
      <c r="AA20" s="395" t="s">
        <v>594</v>
      </c>
      <c r="AB20" s="395" t="s">
        <v>595</v>
      </c>
      <c r="AC20" s="522" t="s">
        <v>596</v>
      </c>
      <c r="AD20" s="523"/>
    </row>
    <row r="21" spans="2:33">
      <c r="B21" s="398" t="s">
        <v>571</v>
      </c>
      <c r="C21" s="399">
        <v>46023</v>
      </c>
      <c r="D21" s="399">
        <f>Summary!L3</f>
        <v>46082</v>
      </c>
      <c r="E21" s="400" t="s">
        <v>446</v>
      </c>
      <c r="F21" s="400" t="s">
        <v>519</v>
      </c>
      <c r="H21" s="401" t="s">
        <v>593</v>
      </c>
      <c r="I21" s="401" t="s">
        <v>597</v>
      </c>
      <c r="J21" s="401" t="s">
        <v>598</v>
      </c>
      <c r="L21" s="401" t="s">
        <v>593</v>
      </c>
      <c r="M21" s="401" t="s">
        <v>597</v>
      </c>
      <c r="N21" s="401" t="s">
        <v>598</v>
      </c>
      <c r="P21" s="239"/>
      <c r="Q21" s="522" t="s">
        <v>59</v>
      </c>
      <c r="R21" s="523"/>
      <c r="S21" s="522" t="s">
        <v>60</v>
      </c>
      <c r="T21" s="523"/>
      <c r="U21" s="38" t="s">
        <v>59</v>
      </c>
      <c r="V21" s="402" t="s">
        <v>60</v>
      </c>
      <c r="X21" s="239"/>
      <c r="Y21" s="522" t="s">
        <v>59</v>
      </c>
      <c r="Z21" s="523"/>
      <c r="AA21" s="522" t="s">
        <v>60</v>
      </c>
      <c r="AB21" s="523"/>
      <c r="AC21" s="403" t="s">
        <v>59</v>
      </c>
      <c r="AD21" s="404" t="s">
        <v>60</v>
      </c>
    </row>
    <row r="22" spans="2:33">
      <c r="B22" s="405" t="s">
        <v>599</v>
      </c>
      <c r="C22" s="52">
        <v>0.37839</v>
      </c>
      <c r="D22" s="52">
        <f>F7</f>
        <v>0.32561295831876069</v>
      </c>
      <c r="E22" s="52">
        <f>H7</f>
        <v>0.32978118986018573</v>
      </c>
      <c r="F22" s="52">
        <f>J7</f>
        <v>0.33482256957511891</v>
      </c>
      <c r="H22" s="18" t="s">
        <v>600</v>
      </c>
      <c r="I22" s="381">
        <f>13.5*$R$33</f>
        <v>410.90625</v>
      </c>
      <c r="J22" s="381">
        <f>11*$R$33</f>
        <v>334.8125</v>
      </c>
      <c r="L22" s="18" t="s">
        <v>600</v>
      </c>
      <c r="M22" s="381">
        <f>15.2*$R$33</f>
        <v>462.65</v>
      </c>
      <c r="N22" s="381">
        <f>26*$R$33</f>
        <v>791.375</v>
      </c>
      <c r="P22" s="240" t="s">
        <v>600</v>
      </c>
      <c r="Q22" s="406">
        <v>499.75</v>
      </c>
      <c r="R22" s="406">
        <v>389.5</v>
      </c>
      <c r="S22" s="406">
        <v>603.75</v>
      </c>
      <c r="T22" s="407">
        <v>509.875</v>
      </c>
      <c r="U22" s="97">
        <v>4.9722793062389657E-2</v>
      </c>
      <c r="V22" s="152">
        <v>2.5777934863202203E-2</v>
      </c>
      <c r="X22" s="240" t="s">
        <v>600</v>
      </c>
      <c r="Y22" s="406">
        <v>564.75</v>
      </c>
      <c r="Z22" s="406">
        <v>521.875</v>
      </c>
      <c r="AA22" s="406">
        <v>677.75</v>
      </c>
      <c r="AB22" s="406">
        <v>685.25</v>
      </c>
      <c r="AC22" s="408">
        <v>0.20088531148607908</v>
      </c>
      <c r="AD22" s="152">
        <v>0.17939553219448096</v>
      </c>
    </row>
    <row r="23" spans="2:33">
      <c r="B23" s="405" t="s">
        <v>601</v>
      </c>
      <c r="C23" s="52">
        <v>0.47405000000000003</v>
      </c>
      <c r="D23" s="52">
        <f>F9</f>
        <v>0.40701593321730439</v>
      </c>
      <c r="E23" s="52">
        <f>H9</f>
        <v>0.41222621925585351</v>
      </c>
      <c r="F23" s="52">
        <f>J9</f>
        <v>0.41852793980153147</v>
      </c>
      <c r="H23" s="18" t="s">
        <v>602</v>
      </c>
      <c r="I23" s="381">
        <f>9.8*$R$33</f>
        <v>298.28750000000002</v>
      </c>
      <c r="J23" s="381">
        <f>11*$R$33</f>
        <v>334.8125</v>
      </c>
      <c r="L23" s="18" t="s">
        <v>602</v>
      </c>
      <c r="M23" s="381">
        <f>8.5*$R$33</f>
        <v>258.71875</v>
      </c>
      <c r="N23" s="381">
        <f>26*$R$33</f>
        <v>791.375</v>
      </c>
      <c r="P23" s="409" t="s">
        <v>602</v>
      </c>
      <c r="Q23" s="410">
        <v>354.25</v>
      </c>
      <c r="R23" s="410">
        <v>413.5</v>
      </c>
      <c r="S23" s="410">
        <v>323.75</v>
      </c>
      <c r="T23" s="411">
        <v>440.875</v>
      </c>
      <c r="U23" s="97">
        <v>3.6428896970648226E-4</v>
      </c>
      <c r="V23" s="152">
        <v>1.1761705482757428E-4</v>
      </c>
      <c r="X23" s="409" t="s">
        <v>602</v>
      </c>
      <c r="Y23" s="410">
        <v>467.5</v>
      </c>
      <c r="Z23" s="410">
        <v>622</v>
      </c>
      <c r="AA23" s="410">
        <v>510</v>
      </c>
      <c r="AB23" s="410">
        <v>635.875</v>
      </c>
      <c r="AC23" s="408">
        <v>1.3542873003263688E-3</v>
      </c>
      <c r="AD23" s="152">
        <v>5.3613666228646514E-4</v>
      </c>
    </row>
    <row r="24" spans="2:33">
      <c r="B24" s="405" t="s">
        <v>587</v>
      </c>
      <c r="D24" s="52">
        <f>F16</f>
        <v>0.79342915811088288</v>
      </c>
      <c r="E24" s="388">
        <f>H16</f>
        <v>0.79342915811088288</v>
      </c>
      <c r="F24" s="388">
        <f>J16</f>
        <v>0.79342915811088288</v>
      </c>
      <c r="H24" s="18" t="s">
        <v>603</v>
      </c>
      <c r="I24" s="381">
        <f>17.7*$R$33</f>
        <v>538.74374999999998</v>
      </c>
      <c r="J24" s="381">
        <f>10.4*$R$33</f>
        <v>316.55</v>
      </c>
      <c r="L24" s="18" t="s">
        <v>603</v>
      </c>
      <c r="M24" s="381">
        <f>19.9*$R$33</f>
        <v>605.70624999999995</v>
      </c>
      <c r="N24" s="381">
        <f>26.7*$R$33</f>
        <v>812.68124999999998</v>
      </c>
      <c r="P24" s="409" t="s">
        <v>603</v>
      </c>
      <c r="Q24" s="410">
        <v>735.5</v>
      </c>
      <c r="R24" s="410">
        <v>391.25</v>
      </c>
      <c r="S24" s="410">
        <v>862.5</v>
      </c>
      <c r="T24" s="411">
        <v>443.375</v>
      </c>
      <c r="U24" s="97">
        <v>0.29532859050658705</v>
      </c>
      <c r="V24" s="152">
        <v>0.40234489398654733</v>
      </c>
      <c r="X24" s="409" t="s">
        <v>603</v>
      </c>
      <c r="Y24" s="410">
        <v>729.25</v>
      </c>
      <c r="Z24" s="410">
        <v>499.875</v>
      </c>
      <c r="AA24" s="410">
        <v>876.25</v>
      </c>
      <c r="AB24" s="410">
        <v>595.25</v>
      </c>
      <c r="AC24" s="408">
        <v>0.26385153565651831</v>
      </c>
      <c r="AD24" s="152">
        <v>0.34918715975220577</v>
      </c>
    </row>
    <row r="25" spans="2:33">
      <c r="E25" s="18">
        <f>($E$24*365.25/12)</f>
        <v>24.149999999999995</v>
      </c>
      <c r="H25" s="18" t="s">
        <v>604</v>
      </c>
      <c r="I25" s="381">
        <f>15*$R$33</f>
        <v>456.5625</v>
      </c>
      <c r="J25" s="381">
        <f>10.2*$R$33</f>
        <v>310.46249999999998</v>
      </c>
      <c r="L25" s="18" t="s">
        <v>604</v>
      </c>
      <c r="M25" s="381">
        <f>17.8*$R$33</f>
        <v>541.78750000000002</v>
      </c>
      <c r="N25" s="381">
        <f>23.7*$R$33</f>
        <v>721.36874999999998</v>
      </c>
      <c r="P25" s="409" t="s">
        <v>604</v>
      </c>
      <c r="Q25" s="410">
        <v>611</v>
      </c>
      <c r="R25" s="410">
        <v>390.875</v>
      </c>
      <c r="S25" s="410">
        <v>709.25</v>
      </c>
      <c r="T25" s="411">
        <v>436.625</v>
      </c>
      <c r="U25" s="97">
        <v>0.34351389322303205</v>
      </c>
      <c r="V25" s="152">
        <v>0.27223147036390066</v>
      </c>
      <c r="X25" s="409" t="s">
        <v>604</v>
      </c>
      <c r="Y25" s="410">
        <v>623.25</v>
      </c>
      <c r="Z25" s="410">
        <v>487</v>
      </c>
      <c r="AA25" s="410">
        <v>733.75</v>
      </c>
      <c r="AB25" s="410">
        <v>553.375</v>
      </c>
      <c r="AC25" s="408">
        <v>0.25556693433381505</v>
      </c>
      <c r="AD25" s="152">
        <v>0.2392701332832739</v>
      </c>
    </row>
    <row r="26" spans="2:33">
      <c r="B26" s="392" t="s">
        <v>605</v>
      </c>
      <c r="C26" s="392"/>
      <c r="D26" s="392"/>
      <c r="E26" s="393" t="s">
        <v>570</v>
      </c>
      <c r="F26" s="393" t="s">
        <v>570</v>
      </c>
      <c r="H26" s="18" t="s">
        <v>606</v>
      </c>
      <c r="I26" s="381">
        <f>6.5*$R$33</f>
        <v>197.84375</v>
      </c>
      <c r="J26" s="381">
        <f>7.5*$R$33</f>
        <v>228.28125</v>
      </c>
      <c r="L26" s="18" t="s">
        <v>606</v>
      </c>
      <c r="M26" s="381">
        <f>7.1*$R$33</f>
        <v>216.10624999999999</v>
      </c>
      <c r="N26" s="381">
        <f>12.9*$R$33</f>
        <v>392.64375000000001</v>
      </c>
      <c r="P26" s="409" t="s">
        <v>606</v>
      </c>
      <c r="Q26" s="410">
        <v>267</v>
      </c>
      <c r="R26" s="410">
        <v>305.125</v>
      </c>
      <c r="S26" s="410">
        <v>268.5</v>
      </c>
      <c r="T26" s="411">
        <v>307.5</v>
      </c>
      <c r="U26" s="97">
        <v>4.1946522697403392E-2</v>
      </c>
      <c r="V26" s="152">
        <v>2.1486685483425305E-2</v>
      </c>
      <c r="X26" s="409" t="s">
        <v>606</v>
      </c>
      <c r="Y26" s="410">
        <v>270.5</v>
      </c>
      <c r="Z26" s="410">
        <v>345.5</v>
      </c>
      <c r="AA26" s="410">
        <v>262.75</v>
      </c>
      <c r="AB26" s="410">
        <v>334.125</v>
      </c>
      <c r="AC26" s="408">
        <v>2.8472574485801518E-2</v>
      </c>
      <c r="AD26" s="152">
        <v>2.4819973718791064E-2</v>
      </c>
    </row>
    <row r="27" spans="2:33">
      <c r="B27" s="398" t="s">
        <v>571</v>
      </c>
      <c r="C27" s="399">
        <f>C21</f>
        <v>46023</v>
      </c>
      <c r="D27" s="399">
        <f>D21</f>
        <v>46082</v>
      </c>
      <c r="E27" s="400" t="s">
        <v>446</v>
      </c>
      <c r="F27" s="400" t="s">
        <v>519</v>
      </c>
      <c r="H27" s="18" t="s">
        <v>607</v>
      </c>
      <c r="I27" s="381">
        <f>7.1*$R$33</f>
        <v>216.10624999999999</v>
      </c>
      <c r="J27" s="381">
        <f>8.1*$R$33</f>
        <v>246.54374999999999</v>
      </c>
      <c r="L27" s="18" t="s">
        <v>607</v>
      </c>
      <c r="M27" s="381">
        <f>10.4*$R$33</f>
        <v>316.55</v>
      </c>
      <c r="N27" s="381">
        <f>19.1*$R$33</f>
        <v>581.35625000000005</v>
      </c>
      <c r="P27" s="409" t="s">
        <v>607</v>
      </c>
      <c r="Q27" s="410">
        <v>313.75</v>
      </c>
      <c r="R27" s="410">
        <v>355.875</v>
      </c>
      <c r="S27" s="410">
        <v>284.25</v>
      </c>
      <c r="T27" s="411">
        <v>347.625</v>
      </c>
      <c r="U27" s="97">
        <v>1.9773414381884604E-3</v>
      </c>
      <c r="V27" s="152">
        <v>1.4465715662838597E-3</v>
      </c>
      <c r="X27" s="409" t="s">
        <v>607</v>
      </c>
      <c r="Y27" s="410">
        <v>398.25</v>
      </c>
      <c r="Z27" s="410">
        <v>500.375</v>
      </c>
      <c r="AA27" s="410">
        <v>409.25</v>
      </c>
      <c r="AB27" s="410">
        <v>564.875</v>
      </c>
      <c r="AC27" s="408">
        <v>1.9677842328417062E-3</v>
      </c>
      <c r="AD27" s="152">
        <v>1.7345597897503286E-3</v>
      </c>
    </row>
    <row r="28" spans="2:33">
      <c r="B28" s="405" t="s">
        <v>599</v>
      </c>
      <c r="C28" s="52">
        <v>0.23024</v>
      </c>
      <c r="D28" s="52">
        <f>Q7</f>
        <v>0.20127263378676605</v>
      </c>
      <c r="E28" s="52">
        <f>S7</f>
        <v>0.20384916189826213</v>
      </c>
      <c r="F28" s="52">
        <f>U7</f>
        <v>0.20696541310147881</v>
      </c>
      <c r="H28" s="18" t="s">
        <v>608</v>
      </c>
      <c r="I28" s="381">
        <f>19.2*$R$33</f>
        <v>584.4</v>
      </c>
      <c r="J28" s="381">
        <f>9.8*$R$33</f>
        <v>298.28750000000002</v>
      </c>
      <c r="L28" s="18" t="s">
        <v>608</v>
      </c>
      <c r="M28" s="381">
        <f>22.4*$R$33</f>
        <v>681.8</v>
      </c>
      <c r="N28" s="381">
        <f>19*$R$33</f>
        <v>578.3125</v>
      </c>
      <c r="P28" s="409" t="s">
        <v>608</v>
      </c>
      <c r="Q28" s="410">
        <v>807</v>
      </c>
      <c r="R28" s="410">
        <v>354.125</v>
      </c>
      <c r="S28" s="410">
        <v>933.75</v>
      </c>
      <c r="T28" s="411">
        <v>413.875</v>
      </c>
      <c r="U28" s="97">
        <v>0.14001555254072998</v>
      </c>
      <c r="V28" s="152">
        <v>0.23920294645498355</v>
      </c>
      <c r="X28" s="409" t="s">
        <v>608</v>
      </c>
      <c r="Y28" s="410">
        <v>796.25</v>
      </c>
      <c r="Z28" s="410">
        <v>411.5</v>
      </c>
      <c r="AA28" s="410">
        <v>962.25</v>
      </c>
      <c r="AB28" s="410">
        <v>475.125</v>
      </c>
      <c r="AC28" s="408">
        <v>8.0058956959505378E-2</v>
      </c>
      <c r="AD28" s="152">
        <v>0.13965083536699832</v>
      </c>
    </row>
    <row r="29" spans="2:33">
      <c r="B29" s="405" t="s">
        <v>601</v>
      </c>
      <c r="C29" s="52">
        <v>0.29241</v>
      </c>
      <c r="D29" s="52">
        <f>Q9</f>
        <v>0.25418456747082041</v>
      </c>
      <c r="E29" s="52">
        <f>S9</f>
        <v>0.25743843100544717</v>
      </c>
      <c r="F29" s="52">
        <f>U9</f>
        <v>0.261373903748648</v>
      </c>
      <c r="H29" s="18" t="s">
        <v>118</v>
      </c>
      <c r="I29" s="381">
        <f>9.8*$R$33</f>
        <v>298.28750000000002</v>
      </c>
      <c r="J29" s="381">
        <f>9.7*$R$33</f>
        <v>295.24374999999998</v>
      </c>
      <c r="L29" s="18" t="s">
        <v>118</v>
      </c>
      <c r="M29" s="381">
        <f>8.5*$R$33</f>
        <v>258.71875</v>
      </c>
      <c r="N29" s="381">
        <f>14.6*$R$33</f>
        <v>444.38749999999999</v>
      </c>
      <c r="P29" s="409" t="s">
        <v>118</v>
      </c>
      <c r="Q29" s="410">
        <v>413.75</v>
      </c>
      <c r="R29" s="410">
        <v>400.625</v>
      </c>
      <c r="S29" s="410">
        <v>390.75</v>
      </c>
      <c r="T29" s="411">
        <v>383</v>
      </c>
      <c r="U29" s="97">
        <v>0.1034058367365011</v>
      </c>
      <c r="V29" s="152">
        <v>3.2649666963467494E-2</v>
      </c>
      <c r="X29" s="409" t="s">
        <v>118</v>
      </c>
      <c r="Y29" s="410">
        <v>401.25</v>
      </c>
      <c r="Z29" s="410">
        <v>458</v>
      </c>
      <c r="AA29" s="410">
        <v>376.5</v>
      </c>
      <c r="AB29" s="410">
        <v>438.5</v>
      </c>
      <c r="AC29" s="408">
        <v>4.8529425839610271E-2</v>
      </c>
      <c r="AD29" s="152">
        <v>3.5006570302233905E-2</v>
      </c>
    </row>
    <row r="30" spans="2:33">
      <c r="B30" s="405" t="s">
        <v>586</v>
      </c>
      <c r="D30" s="52">
        <f>Q15</f>
        <v>0.1971252566735113</v>
      </c>
      <c r="E30" s="388">
        <f>S15</f>
        <v>0.1971252566735113</v>
      </c>
      <c r="F30" s="388">
        <f>U15</f>
        <v>0.1971252566735113</v>
      </c>
      <c r="H30" s="18" t="s">
        <v>609</v>
      </c>
      <c r="I30" s="381">
        <f>10.5*$R$33</f>
        <v>319.59375</v>
      </c>
      <c r="J30" s="381">
        <f>11.1*$R$33</f>
        <v>337.85624999999999</v>
      </c>
      <c r="L30" s="18" t="s">
        <v>609</v>
      </c>
      <c r="M30" s="381">
        <f>12*$R$33</f>
        <v>365.25</v>
      </c>
      <c r="N30" s="381">
        <f>24*$R$33</f>
        <v>730.5</v>
      </c>
      <c r="P30" s="409" t="s">
        <v>609</v>
      </c>
      <c r="Q30" s="410">
        <v>348</v>
      </c>
      <c r="R30" s="410">
        <v>314.625</v>
      </c>
      <c r="S30" s="410">
        <v>497.75</v>
      </c>
      <c r="T30" s="411">
        <v>489.625</v>
      </c>
      <c r="U30" s="97">
        <v>2.1761626160508266E-2</v>
      </c>
      <c r="V30" s="152">
        <v>4.6766077704682493E-3</v>
      </c>
      <c r="X30" s="409" t="s">
        <v>609</v>
      </c>
      <c r="Y30" s="410">
        <v>349.25</v>
      </c>
      <c r="Z30" s="410">
        <v>342.375</v>
      </c>
      <c r="AA30" s="410">
        <v>576.75</v>
      </c>
      <c r="AB30" s="410">
        <v>647.625</v>
      </c>
      <c r="AC30" s="408">
        <v>0.10653503440751128</v>
      </c>
      <c r="AD30" s="152">
        <v>2.9905012201989864E-2</v>
      </c>
    </row>
    <row r="31" spans="2:33">
      <c r="B31" s="391"/>
      <c r="C31" s="54"/>
      <c r="D31" s="54"/>
      <c r="E31" s="69"/>
      <c r="F31" s="69"/>
      <c r="H31" s="18" t="s">
        <v>610</v>
      </c>
      <c r="I31" s="381">
        <f>5.9*$R$33</f>
        <v>179.58125000000001</v>
      </c>
      <c r="J31" s="381">
        <f>7.8*$R$33</f>
        <v>237.41249999999999</v>
      </c>
      <c r="L31" s="18" t="s">
        <v>610</v>
      </c>
      <c r="M31" s="381">
        <f>6.7*$R$33</f>
        <v>203.93125000000001</v>
      </c>
      <c r="N31" s="381">
        <f>15.7*$R$33</f>
        <v>477.86874999999998</v>
      </c>
      <c r="P31" s="53" t="s">
        <v>610</v>
      </c>
      <c r="Q31" s="412">
        <v>197.75</v>
      </c>
      <c r="R31" s="412">
        <v>171.125</v>
      </c>
      <c r="S31" s="412">
        <v>215</v>
      </c>
      <c r="T31" s="413">
        <v>303.875</v>
      </c>
      <c r="U31" s="414">
        <v>1.9635546649535715E-3</v>
      </c>
      <c r="V31" s="153">
        <v>6.5605492893772597E-5</v>
      </c>
      <c r="X31" s="53" t="s">
        <v>610</v>
      </c>
      <c r="Y31" s="412">
        <v>204</v>
      </c>
      <c r="Z31" s="412">
        <v>168.5</v>
      </c>
      <c r="AA31" s="412">
        <v>345</v>
      </c>
      <c r="AB31" s="412">
        <v>449</v>
      </c>
      <c r="AC31" s="415">
        <v>1.277815529799106E-2</v>
      </c>
      <c r="AD31" s="153">
        <v>4.9408672798948751E-4</v>
      </c>
      <c r="AG31" s="382"/>
    </row>
    <row r="32" spans="2:33">
      <c r="B32" s="391"/>
      <c r="C32" s="54"/>
      <c r="D32" s="54"/>
      <c r="E32" s="69"/>
      <c r="F32" s="69"/>
    </row>
    <row r="33" spans="2:39">
      <c r="B33" s="391"/>
      <c r="C33" s="54"/>
      <c r="D33" s="54"/>
      <c r="E33" s="69"/>
      <c r="F33" s="69"/>
      <c r="Q33" s="19" t="s">
        <v>611</v>
      </c>
      <c r="R33" s="18">
        <f>365.25/12</f>
        <v>30.4375</v>
      </c>
    </row>
    <row r="34" spans="2:39">
      <c r="B34" s="391"/>
      <c r="C34" s="54"/>
      <c r="D34" s="54"/>
      <c r="E34" s="69"/>
      <c r="F34" s="69"/>
      <c r="N34" s="19"/>
    </row>
    <row r="35" spans="2:39">
      <c r="B35" s="391"/>
      <c r="C35" s="524" t="s">
        <v>612</v>
      </c>
      <c r="D35" s="524"/>
      <c r="E35" s="524"/>
      <c r="F35" s="524"/>
      <c r="G35" s="524"/>
      <c r="H35" s="524"/>
      <c r="I35" s="524"/>
      <c r="J35" s="524"/>
      <c r="L35" s="391"/>
      <c r="M35" s="524" t="s">
        <v>613</v>
      </c>
      <c r="N35" s="524"/>
      <c r="O35" s="524"/>
      <c r="P35" s="524"/>
      <c r="Q35" s="524"/>
      <c r="R35" s="524"/>
      <c r="S35" s="524"/>
      <c r="T35" s="524"/>
    </row>
    <row r="36" spans="2:39" ht="15" thickBot="1">
      <c r="B36" s="391"/>
      <c r="C36" s="525">
        <f>$C$27</f>
        <v>46023</v>
      </c>
      <c r="D36" s="526"/>
      <c r="E36" s="525">
        <f>$D$27</f>
        <v>46082</v>
      </c>
      <c r="F36" s="526"/>
      <c r="G36" s="527" t="str">
        <f>$E$21</f>
        <v>Authorized</v>
      </c>
      <c r="H36" s="527"/>
      <c r="I36" s="528" t="str">
        <f>$F$21</f>
        <v>w/Pending</v>
      </c>
      <c r="J36" s="527"/>
      <c r="L36" s="391"/>
      <c r="M36" s="525">
        <f>$C$27</f>
        <v>46023</v>
      </c>
      <c r="N36" s="526"/>
      <c r="O36" s="525">
        <f>$D$27</f>
        <v>46082</v>
      </c>
      <c r="P36" s="526"/>
      <c r="Q36" s="527" t="str">
        <f>$E$21</f>
        <v>Authorized</v>
      </c>
      <c r="R36" s="527"/>
      <c r="S36" s="528" t="str">
        <f>$F$21</f>
        <v>w/Pending</v>
      </c>
      <c r="T36" s="527"/>
    </row>
    <row r="37" spans="2:39" ht="15" thickBot="1">
      <c r="B37" s="391"/>
      <c r="C37" s="54" t="s">
        <v>594</v>
      </c>
      <c r="D37" s="54" t="s">
        <v>595</v>
      </c>
      <c r="E37" s="54" t="s">
        <v>594</v>
      </c>
      <c r="F37" s="54" t="s">
        <v>595</v>
      </c>
      <c r="G37" s="54" t="s">
        <v>594</v>
      </c>
      <c r="H37" s="54" t="s">
        <v>595</v>
      </c>
      <c r="I37" s="54" t="s">
        <v>594</v>
      </c>
      <c r="J37" s="54" t="s">
        <v>595</v>
      </c>
      <c r="L37" s="391"/>
      <c r="M37" s="54" t="s">
        <v>594</v>
      </c>
      <c r="N37" s="54" t="s">
        <v>595</v>
      </c>
      <c r="O37" s="54" t="s">
        <v>594</v>
      </c>
      <c r="P37" s="54" t="s">
        <v>595</v>
      </c>
      <c r="Q37" s="54" t="s">
        <v>594</v>
      </c>
      <c r="R37" s="54" t="s">
        <v>595</v>
      </c>
      <c r="S37" s="54" t="s">
        <v>594</v>
      </c>
      <c r="T37" s="54" t="s">
        <v>595</v>
      </c>
      <c r="AD37" s="529" t="s">
        <v>614</v>
      </c>
      <c r="AE37" s="530"/>
      <c r="AF37" s="530"/>
      <c r="AG37" s="531"/>
    </row>
    <row r="38" spans="2:39" ht="15" thickBot="1">
      <c r="B38" s="18" t="s">
        <v>600</v>
      </c>
      <c r="C38" s="54">
        <f>IF(I22&lt;Q22,$C$22*I22+$C$23*(Q22-I22),$C$22*Q22)+($C$24*365.25/12)</f>
        <v>197.59919562499999</v>
      </c>
      <c r="D38" s="54">
        <f>IF(J22&lt;R22,$C$22*J22+$C$23*(R22-J22),$C$22*R22)+($C$24*365.25/12)</f>
        <v>152.61431125000001</v>
      </c>
      <c r="E38" s="54">
        <f>IF(I22&lt;Q22,$D$22*I22+$D$23*(Q22-I22),$D$22*Q22)+($D$24*365.25/12)</f>
        <v>194.10722147094313</v>
      </c>
      <c r="F38" s="54">
        <f>IF(J22&lt;R22,$D$22*J22+$D$23*(R22-J22),$D$22*R22)+($D$24*365.25/12)</f>
        <v>155.42797245492142</v>
      </c>
      <c r="G38" s="54">
        <f>IF(I22&lt;Q22,$E$22*I22+$E$23*(Q22-I22),$E$22*Q22)+($E$24*365.25/12)</f>
        <v>196.28287521299919</v>
      </c>
      <c r="H38" s="54">
        <f>IF(J22&lt;R22,$E$22*J22+$E$23*(R22-J22),$E$22*R22)+($E$24*365.25/12)</f>
        <v>157.10848599561794</v>
      </c>
      <c r="I38" s="54">
        <f>IF(I22&lt;Q22, $F$22*I22+$F$23*(Q22-I22), $F$22*Q22)+($F$24*365.25/12)</f>
        <v>198.91427813121854</v>
      </c>
      <c r="J38" s="54">
        <f>IF(J22&lt;R22, $F$22*J22+$F$23*(R22-J22), $F$22*R22)+($F$24*365.25/12)</f>
        <v>159.14102828376576</v>
      </c>
      <c r="K38" s="416"/>
      <c r="L38" s="18" t="s">
        <v>600</v>
      </c>
      <c r="M38" s="54">
        <f>IF(M22&lt;Y22,$C$22*M22+$C$23*(Y22-M22),$C$22*Y22)</f>
        <v>223.4626385</v>
      </c>
      <c r="N38" s="54">
        <f t="shared" ref="N38:N47" si="8">IF(N22&lt;Z22,$C$22*N22+$C$23*(Z22-N22),$C$22*Z22)</f>
        <v>197.47228125000001</v>
      </c>
      <c r="O38" s="54">
        <f>IF(M22&lt;Y22,$D$22*M22+$D$23*(Y22-M22),$D$22*Y22)+($D$24*365.25/12)</f>
        <v>216.35116194766144</v>
      </c>
      <c r="P38" s="54">
        <f>IF(N22&lt;Z22,$D$22*N22+$D$23*(Z22-N22),$D$22*Z22)+($D$24*365.25/12)</f>
        <v>194.07926262260324</v>
      </c>
      <c r="Q38" s="54">
        <f>IF(M22&lt;Y22,$E$22*M22+$E$23*(Y22-M22),$E$22*Y22)+($E$24*365.25/12)</f>
        <v>218.81156447483758</v>
      </c>
      <c r="R38" s="54">
        <f>IF(N22&lt;Z22,$E$22*N22+$E$23*(Z22-N22),$E$22*Z22)+($E$24*365.25/12)</f>
        <v>196.25455845828444</v>
      </c>
      <c r="S38" s="54">
        <f>IF(M22&lt;Y22,$F$22*M22+$F$23*(Y22-M22),$F$22*Y22)+($F$24*365.25/12)</f>
        <v>221.78736446766513</v>
      </c>
      <c r="T38" s="54">
        <f>IF(N22&lt;Z22,$F$22*N22+$F$23*(Z22-N22),$F$22*Z22)+($F$24*365.25/12)</f>
        <v>198.8855284970152</v>
      </c>
      <c r="W38" s="18" t="s">
        <v>615</v>
      </c>
      <c r="Y38" s="417">
        <v>2026</v>
      </c>
      <c r="Z38" s="417">
        <f>Y38+1</f>
        <v>2027</v>
      </c>
      <c r="AA38" s="417">
        <f>Z38+1</f>
        <v>2028</v>
      </c>
      <c r="AB38" s="417">
        <f>AA38+1</f>
        <v>2029</v>
      </c>
      <c r="AD38" s="418">
        <v>2026</v>
      </c>
      <c r="AE38" s="419">
        <f>AD38+1</f>
        <v>2027</v>
      </c>
      <c r="AF38" s="419">
        <f>AE38+1</f>
        <v>2028</v>
      </c>
      <c r="AG38" s="420">
        <f>AF38+1</f>
        <v>2029</v>
      </c>
    </row>
    <row r="39" spans="2:39" ht="15.5">
      <c r="B39" s="18" t="s">
        <v>602</v>
      </c>
      <c r="C39" s="54">
        <f t="shared" ref="C39:D39" si="9">IF(I23&lt;Q23,$C$22*I23+$C$23*(Q23-I23),$C$22*Q23)+($C$24*365.25/12)</f>
        <v>139.39803025000001</v>
      </c>
      <c r="D39" s="54">
        <f t="shared" si="9"/>
        <v>163.99151125</v>
      </c>
      <c r="E39" s="54">
        <f t="shared" ref="E39:F39" si="10">IF(I23&lt;Q23,$D$22*I23+$D$23*(Q23-I23),$D$22*Q23)+($D$24*365.25/12)</f>
        <v>144.05390446718073</v>
      </c>
      <c r="F39" s="54">
        <f t="shared" si="10"/>
        <v>165.19635485213669</v>
      </c>
      <c r="G39" s="54">
        <f t="shared" ref="G39:H39" si="11">IF(I23&lt;Q23,$E$22*I23+$E$23*(Q23-I23),$E$22*Q23)+($E$24*365.25/12)</f>
        <v>145.58881646552584</v>
      </c>
      <c r="H39" s="54">
        <f t="shared" si="11"/>
        <v>167.00191525775841</v>
      </c>
      <c r="I39" s="54">
        <f t="shared" ref="I39:J39" si="12">IF(I23&lt;Q23, $F$22*I23+$F$23*(Q23-I23), $F$22*Q23)+($F$24*365.25/12)</f>
        <v>147.44525705328149</v>
      </c>
      <c r="J39" s="54">
        <f t="shared" si="12"/>
        <v>169.18569883900253</v>
      </c>
      <c r="K39" s="416"/>
      <c r="L39" s="18" t="s">
        <v>602</v>
      </c>
      <c r="M39" s="54">
        <f t="shared" ref="M39:M47" si="13">IF(M23&lt;Y23,$C$22*M23+$C$23*(Y23-M23),$C$22*Y23)</f>
        <v>196.86933937500001</v>
      </c>
      <c r="N39" s="54">
        <f t="shared" si="8"/>
        <v>235.35857999999999</v>
      </c>
      <c r="O39" s="54">
        <f t="shared" ref="O39:P39" si="14">IF(M23&lt;Y23,$D$22*M23+$D$23*(Y23-M23),$D$22*Y23)+($D$24*365.25/12)</f>
        <v>193.3694728670572</v>
      </c>
      <c r="P39" s="54">
        <f t="shared" si="14"/>
        <v>226.68126007426915</v>
      </c>
      <c r="Q39" s="54">
        <f t="shared" ref="Q39:R39" si="15">IF(M23&lt;Y23,$E$22*M23+$E$23*(Y23-M23),$E$22*Y23)+($E$24*365.25/12)</f>
        <v>195.5356825531511</v>
      </c>
      <c r="R39" s="54">
        <f t="shared" si="15"/>
        <v>229.27390009303554</v>
      </c>
      <c r="S39" s="54">
        <f t="shared" ref="S39:T39" si="16">IF(M23&lt;Y23,$F$22*M23+$F$23*(Y23-M23),$F$22*Y23)+($F$24*365.25/12)</f>
        <v>198.1556631039513</v>
      </c>
      <c r="T39" s="54">
        <f t="shared" si="16"/>
        <v>232.40963827572398</v>
      </c>
      <c r="W39" s="18" t="s">
        <v>599</v>
      </c>
      <c r="X39" s="18" t="s">
        <v>594</v>
      </c>
      <c r="Y39" s="66">
        <f>SUM(AD39,AD44)</f>
        <v>1452800430.3594003</v>
      </c>
      <c r="Z39" s="66">
        <f>SUM(AE39,AE44)</f>
        <v>1452800430.3594003</v>
      </c>
      <c r="AA39" s="66">
        <f t="shared" ref="AA39:AB42" si="17">$Z39</f>
        <v>1452800430.3594003</v>
      </c>
      <c r="AB39" s="66">
        <f t="shared" si="17"/>
        <v>1452800430.3594003</v>
      </c>
      <c r="AD39" s="421">
        <v>794834958.93426108</v>
      </c>
      <c r="AE39" s="101">
        <f>AD39</f>
        <v>794834958.93426108</v>
      </c>
      <c r="AF39" s="101">
        <f t="shared" ref="AF39:AG42" si="18">AE39</f>
        <v>794834958.93426108</v>
      </c>
      <c r="AG39" s="222">
        <f t="shared" si="18"/>
        <v>794834958.93426108</v>
      </c>
    </row>
    <row r="40" spans="2:39" ht="15.5">
      <c r="B40" s="18" t="s">
        <v>603</v>
      </c>
      <c r="C40" s="54">
        <f t="shared" ref="C40:D40" si="19">IF(I24&lt;Q24,$C$22*I24+$C$23*(Q24-I24),$C$22*Q24)+($C$24*365.25/12)</f>
        <v>297.127547875</v>
      </c>
      <c r="D40" s="54">
        <f t="shared" si="19"/>
        <v>155.1908895</v>
      </c>
      <c r="E40" s="54">
        <f t="shared" ref="E40:F40" si="20">IF(I24&lt;Q24,$D$22*I24+$D$23*(Q24-I24),$D$22*Q24)+($D$24*365.25/12)</f>
        <v>279.65487492333006</v>
      </c>
      <c r="F40" s="54">
        <f t="shared" si="20"/>
        <v>157.62687216713636</v>
      </c>
      <c r="G40" s="54">
        <f t="shared" ref="G40:H40" si="21">IF(I24&lt;Q24,$E$22*I24+$E$23*(Q24-I24),$E$22*Q24)+($E$24*365.25/12)</f>
        <v>282.92563995719797</v>
      </c>
      <c r="H40" s="54">
        <f t="shared" si="21"/>
        <v>159.33553422865407</v>
      </c>
      <c r="I40" s="54">
        <f t="shared" ref="I40:J40" si="22">IF(I24&lt;Q24, $F$22*I24+$F$23*(Q24-I24), $F$22*Q24)+($F$24*365.25/12)</f>
        <v>286.88155467311054</v>
      </c>
      <c r="J40" s="54">
        <f t="shared" si="22"/>
        <v>161.40212150217829</v>
      </c>
      <c r="K40" s="416"/>
      <c r="L40" s="18" t="s">
        <v>603</v>
      </c>
      <c r="M40" s="54">
        <f t="shared" si="13"/>
        <v>287.75910262500003</v>
      </c>
      <c r="N40" s="54">
        <f t="shared" si="8"/>
        <v>189.14770125000001</v>
      </c>
      <c r="O40" s="54">
        <f t="shared" ref="O40:P40" si="23">IF(M24&lt;Y24,$D$22*M24+$D$23*(Y24-M24),$D$22*Y24)+($D$24*365.25/12)</f>
        <v>271.66007863407816</v>
      </c>
      <c r="P40" s="54">
        <f t="shared" si="23"/>
        <v>186.91577753959049</v>
      </c>
      <c r="Q40" s="54">
        <f t="shared" ref="Q40:R40" si="24">IF(M24&lt;Y24,$E$22*M24+$E$23*(Y24-M24),$E$22*Y24)+($E$24*365.25/12)</f>
        <v>274.82850080594147</v>
      </c>
      <c r="R40" s="54">
        <f t="shared" si="24"/>
        <v>188.99937228136034</v>
      </c>
      <c r="S40" s="54">
        <f t="shared" ref="S40:T40" si="25">IF(M24&lt;Y24,$F$22*M24+$F$23*(Y24-M24),$F$22*Y24)+($F$24*365.25/12)</f>
        <v>278.6606341955648</v>
      </c>
      <c r="T40" s="54">
        <f t="shared" si="25"/>
        <v>191.51943196636256</v>
      </c>
      <c r="W40" s="18" t="s">
        <v>599</v>
      </c>
      <c r="X40" s="18" t="s">
        <v>595</v>
      </c>
      <c r="Y40" s="66">
        <f t="shared" ref="Y40:Z40" si="26">SUM(AD40,AD45)</f>
        <v>2191990574.7972364</v>
      </c>
      <c r="Z40" s="66">
        <f t="shared" si="26"/>
        <v>2191990574.7972364</v>
      </c>
      <c r="AA40" s="66">
        <f t="shared" si="17"/>
        <v>2191990574.7972364</v>
      </c>
      <c r="AB40" s="66">
        <f t="shared" si="17"/>
        <v>2191990574.7972364</v>
      </c>
      <c r="AD40" s="421">
        <v>1096491637.6342962</v>
      </c>
      <c r="AE40" s="101">
        <f t="shared" ref="AE40:AE42" si="27">AD40</f>
        <v>1096491637.6342962</v>
      </c>
      <c r="AF40" s="101">
        <f t="shared" si="18"/>
        <v>1096491637.6342962</v>
      </c>
      <c r="AG40" s="222">
        <f t="shared" si="18"/>
        <v>1096491637.6342962</v>
      </c>
    </row>
    <row r="41" spans="2:39" ht="15.5">
      <c r="B41" s="18" t="s">
        <v>604</v>
      </c>
      <c r="C41" s="54">
        <f t="shared" ref="C41:D41" si="28">IF(I25&lt;Q25,$C$22*I25+$C$23*(Q25-I25),$C$22*Q25)+($C$24*365.25/12)</f>
        <v>245.96978125000001</v>
      </c>
      <c r="D41" s="54">
        <f t="shared" si="28"/>
        <v>155.59545100000003</v>
      </c>
      <c r="E41" s="54">
        <f t="shared" ref="E41:F41" si="29">IF(I25&lt;Q25,$D$22*I25+$D$23*(Q25-I25),$D$22*Q25)+($D$24*365.25/12)</f>
        <v>235.67118946865665</v>
      </c>
      <c r="F41" s="54">
        <f t="shared" si="29"/>
        <v>157.96978180187475</v>
      </c>
      <c r="G41" s="54">
        <f t="shared" ref="G41:H41" si="30">IF(I25&lt;Q25,$E$22*I25+$E$23*(Q25-I25),$E$22*Q25)+($E$24*365.25/12)</f>
        <v>238.37891123186694</v>
      </c>
      <c r="H41" s="54">
        <f t="shared" si="30"/>
        <v>159.68283351287923</v>
      </c>
      <c r="I41" s="54">
        <f t="shared" ref="I41:J41" si="31">IF(I25&lt;Q25, $F$22*I25+$F$23*(Q25-I25), $F$22*Q25)+($F$24*365.25/12)</f>
        <v>241.65383812473925</v>
      </c>
      <c r="J41" s="54">
        <f t="shared" si="31"/>
        <v>161.75472996600601</v>
      </c>
      <c r="K41" s="416"/>
      <c r="L41" s="18" t="s">
        <v>604</v>
      </c>
      <c r="M41" s="54">
        <f t="shared" si="13"/>
        <v>243.62427025</v>
      </c>
      <c r="N41" s="54">
        <f t="shared" si="8"/>
        <v>184.27592999999999</v>
      </c>
      <c r="O41" s="54">
        <f t="shared" ref="O41:P41" si="32">IF(M25&lt;Y25,$D$22*M25+$D$23*(Y25-M25),$D$22*Y25)+($D$24*365.25/12)</f>
        <v>233.71956611484021</v>
      </c>
      <c r="P41" s="54">
        <f t="shared" si="32"/>
        <v>182.72351070123645</v>
      </c>
      <c r="Q41" s="54">
        <f t="shared" ref="Q41:R41" si="33">IF(M25&lt;Y25,$E$22*M25+$E$23*(Y25-M25),$E$22*Y25)+($E$24*365.25/12)</f>
        <v>236.40230478750536</v>
      </c>
      <c r="R41" s="54">
        <f t="shared" si="33"/>
        <v>184.75343946191046</v>
      </c>
      <c r="S41" s="54">
        <f t="shared" ref="S41:T41" si="34">IF(M25&lt;Y25,$F$22*M25+$F$23*(Y25-M25),$F$22*Y25)+($F$24*365.25/12)</f>
        <v>239.647015209762</v>
      </c>
      <c r="T41" s="54">
        <f t="shared" si="34"/>
        <v>187.2085913830829</v>
      </c>
      <c r="W41" s="18" t="s">
        <v>601</v>
      </c>
      <c r="X41" s="18" t="s">
        <v>594</v>
      </c>
      <c r="Y41" s="66">
        <f>SUM(AD41,AD46)</f>
        <v>1236691652.402801</v>
      </c>
      <c r="Z41" s="66">
        <f>SUM(AE41,AE46)</f>
        <v>1236691652.402801</v>
      </c>
      <c r="AA41" s="66">
        <f t="shared" si="17"/>
        <v>1236691652.402801</v>
      </c>
      <c r="AB41" s="66">
        <f t="shared" si="17"/>
        <v>1236691652.402801</v>
      </c>
      <c r="AD41" s="421">
        <v>610276988.03953397</v>
      </c>
      <c r="AE41" s="101">
        <f t="shared" si="27"/>
        <v>610276988.03953397</v>
      </c>
      <c r="AF41" s="101">
        <f t="shared" si="18"/>
        <v>610276988.03953397</v>
      </c>
      <c r="AG41" s="222">
        <f t="shared" si="18"/>
        <v>610276988.03953397</v>
      </c>
    </row>
    <row r="42" spans="2:39" ht="16" thickBot="1">
      <c r="B42" s="18" t="s">
        <v>606</v>
      </c>
      <c r="C42" s="54">
        <f t="shared" ref="C42:D42" si="35">IF(I26&lt;Q26,$C$22*I26+$C$23*(Q26-I26),$C$22*Q26)+($C$24*365.25/12)</f>
        <v>107.645616875</v>
      </c>
      <c r="D42" s="54">
        <f t="shared" si="35"/>
        <v>122.80712187500001</v>
      </c>
      <c r="E42" s="54">
        <f t="shared" ref="E42:F42" si="36">IF(I26&lt;Q26,$D$22*I26+$D$23*(Q26-I26),$D$22*Q26)+($D$24*365.25/12)</f>
        <v>116.71818435393651</v>
      </c>
      <c r="F42" s="54">
        <f t="shared" si="36"/>
        <v>129.75796375937182</v>
      </c>
      <c r="G42" s="54">
        <f t="shared" ref="G42:H42" si="37">IF(I26&lt;Q26,$E$22*I26+$E$23*(Q26-I26),$E$22*Q26)+($E$24*365.25/12)</f>
        <v>117.90316675681373</v>
      </c>
      <c r="H42" s="54">
        <f t="shared" si="37"/>
        <v>131.10987078371252</v>
      </c>
      <c r="I42" s="54">
        <f t="shared" ref="I42:J42" si="38">IF(I26&lt;Q26, $F$22*I26+$F$23*(Q26-I26), $F$22*Q26)+($F$24*365.25/12)</f>
        <v>119.33637558627709</v>
      </c>
      <c r="J42" s="54">
        <f t="shared" si="38"/>
        <v>132.74497108494404</v>
      </c>
      <c r="K42" s="416"/>
      <c r="L42" s="18" t="s">
        <v>606</v>
      </c>
      <c r="M42" s="54">
        <f t="shared" si="13"/>
        <v>107.55780112500001</v>
      </c>
      <c r="N42" s="54">
        <f t="shared" si="8"/>
        <v>130.733745</v>
      </c>
      <c r="O42" s="54">
        <f t="shared" ref="O42:P42" si="39">IF(M26&lt;Y26,$D$22*M26+$D$23*(Y26-M26),$D$22*Y26)+($D$24*365.25/12)</f>
        <v>116.65611829111242</v>
      </c>
      <c r="P42" s="54">
        <f t="shared" si="39"/>
        <v>136.64927709913181</v>
      </c>
      <c r="Q42" s="54">
        <f t="shared" ref="Q42:R42" si="40">IF(M26&lt;Y26,$E$22*M26+$E$23*(Y26-M26),$E$22*Y26)+($E$24*365.25/12)</f>
        <v>117.84030617487085</v>
      </c>
      <c r="R42" s="54">
        <f t="shared" si="40"/>
        <v>138.08940109669416</v>
      </c>
      <c r="S42" s="54">
        <f t="shared" ref="S42:T42" si="41">IF(M26&lt;Y26,$F$22*M26+$F$23*(Y26-M26),$F$22*Y26)+($F$24*365.25/12)</f>
        <v>119.2725540518226</v>
      </c>
      <c r="T42" s="54">
        <f t="shared" si="41"/>
        <v>139.83119778820358</v>
      </c>
      <c r="W42" s="18" t="s">
        <v>601</v>
      </c>
      <c r="X42" s="18" t="s">
        <v>595</v>
      </c>
      <c r="Y42" s="66">
        <f>SUM(AD42,AD47)</f>
        <v>1347324889.4706311</v>
      </c>
      <c r="Z42" s="66">
        <f>SUM(AE42,AE47)</f>
        <v>1347324889.4706311</v>
      </c>
      <c r="AA42" s="66">
        <f t="shared" si="17"/>
        <v>1347324889.4706311</v>
      </c>
      <c r="AB42" s="66">
        <f t="shared" si="17"/>
        <v>1347324889.4706311</v>
      </c>
      <c r="AD42" s="421">
        <v>484665397.85843801</v>
      </c>
      <c r="AE42" s="101">
        <f t="shared" si="27"/>
        <v>484665397.85843801</v>
      </c>
      <c r="AF42" s="101">
        <f t="shared" si="18"/>
        <v>484665397.85843801</v>
      </c>
      <c r="AG42" s="222">
        <f t="shared" si="18"/>
        <v>484665397.85843801</v>
      </c>
    </row>
    <row r="43" spans="2:39" ht="15" customHeight="1" thickBot="1">
      <c r="B43" s="18" t="s">
        <v>607</v>
      </c>
      <c r="C43" s="54">
        <f t="shared" ref="C43:D43" si="42">IF(I27&lt;Q27,$C$22*I27+$C$23*(Q27-I27),$C$22*Q27)+($C$24*365.25/12)</f>
        <v>128.06046362500001</v>
      </c>
      <c r="D43" s="54">
        <f t="shared" si="42"/>
        <v>145.11816862500001</v>
      </c>
      <c r="E43" s="54">
        <f t="shared" ref="E43:F43" si="43">IF(I27&lt;Q27,$D$22*I27+$D$23*(Q27-I27),$D$22*Q27)+($D$24*365.25/12)</f>
        <v>134.25955740276083</v>
      </c>
      <c r="F43" s="54">
        <f t="shared" si="43"/>
        <v>148.92740054106537</v>
      </c>
      <c r="G43" s="54">
        <f t="shared" ref="G43:H43" si="44">IF(I27&lt;Q27,$E$22*I27+$E$23*(Q27-I27),$E$22*Q27)+($E$24*365.25/12)</f>
        <v>135.66909015768653</v>
      </c>
      <c r="H43" s="54">
        <f t="shared" si="44"/>
        <v>150.52469906160869</v>
      </c>
      <c r="I43" s="54">
        <f t="shared" ref="I43:J43" si="45">IF(I27&lt;Q27, $F$22*I27+$F$23*(Q27-I27), $F$22*Q27)+($F$24*365.25/12)</f>
        <v>137.37388744823883</v>
      </c>
      <c r="J43" s="54">
        <f t="shared" si="45"/>
        <v>152.45659470611193</v>
      </c>
      <c r="K43" s="416"/>
      <c r="L43" s="18" t="s">
        <v>607</v>
      </c>
      <c r="M43" s="54">
        <f t="shared" si="13"/>
        <v>158.50923950000001</v>
      </c>
      <c r="N43" s="54">
        <f t="shared" si="8"/>
        <v>189.33689625</v>
      </c>
      <c r="O43" s="54">
        <f t="shared" ref="O43:P43" si="46">IF(M27&lt;Y27,$D$22*M27+$D$23*(Y27-M27),$D$22*Y27)+($D$24*365.25/12)</f>
        <v>160.47598369965746</v>
      </c>
      <c r="P43" s="54">
        <f t="shared" si="46"/>
        <v>187.07858401874989</v>
      </c>
      <c r="Q43" s="54">
        <f t="shared" ref="Q43:R43" si="47">IF(M27&lt;Y27,$E$22*M27+$E$23*(Y27-M27),$E$22*Y27)+($E$24*365.25/12)</f>
        <v>162.22111776344505</v>
      </c>
      <c r="R43" s="54">
        <f t="shared" si="47"/>
        <v>189.16426287629045</v>
      </c>
      <c r="S43" s="54">
        <f>IF(M27&lt;Y27,$F$22*M27+$F$23*(Y27-M27),$F$22*Y27)+($F$24*365.25/12)</f>
        <v>164.33181708078902</v>
      </c>
      <c r="T43" s="54">
        <f t="shared" ref="T43" si="48">IF(N27&lt;Z27,$F$22*N27+$F$23*(Z27-N27),$F$22*Z27)+($F$24*365.25/12)</f>
        <v>191.68684325115012</v>
      </c>
      <c r="AD43" s="529" t="s">
        <v>616</v>
      </c>
      <c r="AE43" s="530"/>
      <c r="AF43" s="530"/>
      <c r="AG43" s="531"/>
    </row>
    <row r="44" spans="2:39" ht="15" customHeight="1">
      <c r="B44" s="18" t="s">
        <v>608</v>
      </c>
      <c r="C44" s="54">
        <f t="shared" ref="C44:D44" si="49">IF(I28&lt;Q28,$C$22*I28+$C$23*(Q28-I28),$C$22*Q28)+($C$24*365.25/12)</f>
        <v>326.65464600000001</v>
      </c>
      <c r="D44" s="54">
        <f t="shared" si="49"/>
        <v>139.338774</v>
      </c>
      <c r="E44" s="54">
        <f t="shared" ref="E44:F44" si="50">IF(I28&lt;Q28,$D$22*I28+$D$23*(Q28-I28),$D$22*Q28)+($D$24*365.25/12)</f>
        <v>305.0399595756557</v>
      </c>
      <c r="F44" s="54">
        <f t="shared" si="50"/>
        <v>144.00302747552857</v>
      </c>
      <c r="G44" s="54">
        <f t="shared" ref="G44:H44" si="51">IF(I28&lt;Q28,$E$22*I28+$E$23*(Q28-I28),$E$22*Q28)+($E$24*365.25/12)</f>
        <v>308.63568376064552</v>
      </c>
      <c r="H44" s="54">
        <f t="shared" si="51"/>
        <v>145.53728818811888</v>
      </c>
      <c r="I44" s="54">
        <f t="shared" ref="I44:J44" si="52">IF(I28&lt;Q28, $F$22*I28+$F$23*(Q28-I28), $F$22*Q28)+($F$24*365.25/12)</f>
        <v>312.98462905952039</v>
      </c>
      <c r="J44" s="54">
        <f t="shared" si="52"/>
        <v>147.39294106080629</v>
      </c>
      <c r="K44" s="416"/>
      <c r="L44" s="18" t="s">
        <v>608</v>
      </c>
      <c r="M44" s="54">
        <f t="shared" si="13"/>
        <v>312.24132450000002</v>
      </c>
      <c r="N44" s="54">
        <f t="shared" si="8"/>
        <v>155.70748499999999</v>
      </c>
      <c r="O44" s="54">
        <f t="shared" ref="O44:P44" si="53">IF(M28&lt;Y28,$D$22*M28+$D$23*(Y28-M28),$D$22*Y28)+($D$24*365.25/12)</f>
        <v>292.73588853845149</v>
      </c>
      <c r="P44" s="54">
        <f t="shared" si="53"/>
        <v>158.13973234817004</v>
      </c>
      <c r="Q44" s="54">
        <f t="shared" ref="Q44:R44" si="54">IF(M28&lt;Y28,$E$22*M28+$E$23*(Y28-M28),$E$22*Y28)+($E$24*365.25/12)</f>
        <v>296.17410604050701</v>
      </c>
      <c r="R44" s="54">
        <f t="shared" si="54"/>
        <v>159.85495962746643</v>
      </c>
      <c r="S44" s="54">
        <f t="shared" ref="S44:T44" si="55">IF(M28&lt;Y28,$F$22*M28+$F$23*(Y28-M28),$F$22*Y28)+($F$24*365.25/12)</f>
        <v>300.33255064660136</v>
      </c>
      <c r="T44" s="54">
        <f t="shared" si="55"/>
        <v>161.92948738016145</v>
      </c>
      <c r="AD44" s="421">
        <v>657965471.42513907</v>
      </c>
      <c r="AE44" s="101">
        <f>AD44</f>
        <v>657965471.42513907</v>
      </c>
      <c r="AF44" s="101">
        <f t="shared" ref="AF44:AG47" si="56">AE44</f>
        <v>657965471.42513907</v>
      </c>
      <c r="AG44" s="222">
        <f t="shared" si="56"/>
        <v>657965471.42513907</v>
      </c>
    </row>
    <row r="45" spans="2:39" ht="15" customHeight="1">
      <c r="B45" s="18" t="s">
        <v>118</v>
      </c>
      <c r="C45" s="54">
        <f t="shared" ref="C45:D45" si="57">IF(I29&lt;Q29,$C$22*I29+$C$23*(Q29-I29),$C$22*Q29)+($C$24*365.25/12)</f>
        <v>167.60400525</v>
      </c>
      <c r="D45" s="54">
        <f t="shared" si="57"/>
        <v>161.673264125</v>
      </c>
      <c r="E45" s="54">
        <f t="shared" ref="E45:F45" si="58">IF(I29&lt;Q29,$D$22*I29+$D$23*(Q29-I29),$D$22*Q29)+($D$24*365.25/12)</f>
        <v>168.27135249361035</v>
      </c>
      <c r="F45" s="54">
        <f t="shared" si="58"/>
        <v>163.17703867498068</v>
      </c>
      <c r="G45" s="54">
        <f t="shared" ref="G45:H45" si="59">IF(I29&lt;Q29,$E$22*I29+$E$23*(Q29-I29),$E$22*Q29)+($E$24*365.25/12)</f>
        <v>170.11627651124914</v>
      </c>
      <c r="H45" s="54">
        <f t="shared" si="59"/>
        <v>164.95674944173913</v>
      </c>
      <c r="I45" s="54">
        <f t="shared" ref="I45:J45" si="60">IF(I29&lt;Q29, $F$22*I29+$F$23*(Q29-I29), $F$22*Q29)+($F$24*365.25/12)</f>
        <v>172.34766947147261</v>
      </c>
      <c r="J45" s="54">
        <f t="shared" si="60"/>
        <v>167.10926848220416</v>
      </c>
      <c r="K45" s="416"/>
      <c r="L45" s="18" t="s">
        <v>118</v>
      </c>
      <c r="M45" s="54">
        <f t="shared" si="13"/>
        <v>165.46352687500001</v>
      </c>
      <c r="N45" s="54">
        <f t="shared" si="8"/>
        <v>174.60479175</v>
      </c>
      <c r="O45" s="54">
        <f t="shared" ref="O45:P45" si="61">IF(M29&lt;Y29,$D$22*M29+$D$23*(Y29-M29),$D$22*Y29)+($D$24*365.25/12)</f>
        <v>166.40466729141079</v>
      </c>
      <c r="P45" s="54">
        <f t="shared" si="61"/>
        <v>174.38883290579881</v>
      </c>
      <c r="Q45" s="54">
        <f t="shared" ref="Q45:R45" si="62">IF(M29&lt;Y29,$E$22*M29+$E$23*(Y29-M29),$E$22*Y29)+($E$24*365.25/12)</f>
        <v>168.22569552745082</v>
      </c>
      <c r="R45" s="54">
        <f t="shared" si="62"/>
        <v>176.31206791861359</v>
      </c>
      <c r="S45" s="54">
        <f t="shared" ref="S45:T45" si="63">IF(M29&lt;Y29,$F$22*M29+$F$23*(Y29-M29),$F$22*Y29)+($F$24*365.25/12)</f>
        <v>170.42818709209985</v>
      </c>
      <c r="T45" s="54">
        <f t="shared" si="63"/>
        <v>178.63817621761152</v>
      </c>
      <c r="W45" s="18" t="s">
        <v>585</v>
      </c>
      <c r="Y45" s="382">
        <f>SUM(AD70,AD75)</f>
        <v>429782.40072200005</v>
      </c>
      <c r="Z45" s="382">
        <f t="shared" ref="Y45:AB46" si="64">SUM(AE70,AE75)</f>
        <v>429782.40072200005</v>
      </c>
      <c r="AA45" s="382">
        <f t="shared" si="64"/>
        <v>429782.40072200005</v>
      </c>
      <c r="AB45" s="382">
        <f t="shared" si="64"/>
        <v>429782.40072200005</v>
      </c>
      <c r="AD45" s="421">
        <v>1095498937.16294</v>
      </c>
      <c r="AE45" s="101">
        <f t="shared" ref="AE45:AE47" si="65">AD45</f>
        <v>1095498937.16294</v>
      </c>
      <c r="AF45" s="101">
        <f t="shared" si="56"/>
        <v>1095498937.16294</v>
      </c>
      <c r="AG45" s="222">
        <f t="shared" si="56"/>
        <v>1095498937.16294</v>
      </c>
    </row>
    <row r="46" spans="2:39" ht="15.5">
      <c r="B46" s="18" t="s">
        <v>609</v>
      </c>
      <c r="C46" s="54">
        <f t="shared" ref="C46:D46" si="66">IF(I30&lt;Q30,$C$22*I30+$C$23*(Q30-I30),$C$22*Q30)+($C$24*365.25/12)</f>
        <v>134.39706187499999</v>
      </c>
      <c r="D46" s="54">
        <f t="shared" si="66"/>
        <v>119.05095375000001</v>
      </c>
      <c r="E46" s="54">
        <f t="shared" ref="E46:F46" si="67">IF(I30&lt;Q30,$D$22*I30+$D$23*(Q30-I30),$D$22*Q30)+($D$24*365.25/12)</f>
        <v>139.77566275064046</v>
      </c>
      <c r="F46" s="54">
        <f t="shared" si="67"/>
        <v>126.59597701104008</v>
      </c>
      <c r="G46" s="54">
        <f t="shared" ref="G46:H46" si="68">IF(I30&lt;Q30,$E$22*I30+$E$23*(Q30-I30),$E$22*Q30)+($E$24*365.25/12)</f>
        <v>141.25580818761532</v>
      </c>
      <c r="H46" s="54">
        <f t="shared" si="68"/>
        <v>127.90740685976093</v>
      </c>
      <c r="I46" s="54">
        <f t="shared" ref="I46:J46" si="69">IF(I30&lt;Q30, $F$22*I30+$F$23*(Q30-I30), $F$22*Q30)+($F$24*365.25/12)</f>
        <v>143.04600988513542</v>
      </c>
      <c r="J46" s="54">
        <f t="shared" si="69"/>
        <v>129.49355095257178</v>
      </c>
      <c r="K46" s="416"/>
      <c r="L46" s="18" t="s">
        <v>609</v>
      </c>
      <c r="M46" s="54">
        <f t="shared" si="13"/>
        <v>132.15270749999999</v>
      </c>
      <c r="N46" s="54">
        <f t="shared" si="8"/>
        <v>129.55127625</v>
      </c>
      <c r="O46" s="54">
        <f t="shared" ref="O46:P46" si="70">IF(M30&lt;Y30,$D$22*M30+$D$23*(Y30-M30),$D$22*Y30)+($D$24*365.25/12)</f>
        <v>137.87032569282718</v>
      </c>
      <c r="P46" s="54">
        <f t="shared" si="70"/>
        <v>135.63173660438568</v>
      </c>
      <c r="Q46" s="54">
        <f t="shared" ref="Q46:R46" si="71">IF(M30&lt;Y30,$E$22*M30+$E$23*(Y30-M30),$E$22*Y30)+($E$24*365.25/12)</f>
        <v>139.32608055866987</v>
      </c>
      <c r="R46" s="54">
        <f t="shared" si="71"/>
        <v>137.05883487838108</v>
      </c>
      <c r="S46" s="54">
        <f t="shared" ref="S46" si="72">IF(M30&lt;Y30,$F$22*M30+$F$23*(Y30-M30),$F$22*Y30)+($F$24*365.25/12)</f>
        <v>141.08678242411028</v>
      </c>
      <c r="T46" s="54">
        <f>IF(N30&lt;Z30,$F$22*N30+$F$23*(Z30-N30),$F$22*Z30)+($F$24*365.25/12)</f>
        <v>138.78487725828134</v>
      </c>
      <c r="W46" s="18" t="s">
        <v>587</v>
      </c>
      <c r="Y46" s="382">
        <f t="shared" si="64"/>
        <v>12894039.693124</v>
      </c>
      <c r="Z46" s="382">
        <f t="shared" si="64"/>
        <v>12894039.693124</v>
      </c>
      <c r="AA46" s="382">
        <f t="shared" si="64"/>
        <v>12894039.693124</v>
      </c>
      <c r="AB46" s="382">
        <f t="shared" si="64"/>
        <v>12894039.693124</v>
      </c>
      <c r="AD46" s="421">
        <v>626414664.36326694</v>
      </c>
      <c r="AE46" s="101">
        <f t="shared" si="65"/>
        <v>626414664.36326694</v>
      </c>
      <c r="AF46" s="101">
        <f t="shared" si="56"/>
        <v>626414664.36326694</v>
      </c>
      <c r="AG46" s="222">
        <f t="shared" si="56"/>
        <v>626414664.36326694</v>
      </c>
      <c r="AJ46" s="381"/>
    </row>
    <row r="47" spans="2:39" ht="16" thickBot="1">
      <c r="B47" s="18" t="s">
        <v>610</v>
      </c>
      <c r="C47" s="54">
        <f t="shared" ref="C47:D47" si="73">IF(I31&lt;Q31,$C$22*I31+$C$23*(Q31-I31),$C$22*Q31)+($C$24*365.25/12)</f>
        <v>76.564645124999998</v>
      </c>
      <c r="D47" s="54">
        <f t="shared" si="73"/>
        <v>64.751988749999995</v>
      </c>
      <c r="E47" s="54">
        <f t="shared" ref="E47:F47" si="74">IF(I31&lt;Q31,$D$22*I31+$D$23*(Q31-I31),$D$22*Q31)+($D$24*365.25/12)</f>
        <v>90.01895280772284</v>
      </c>
      <c r="F47" s="54">
        <f t="shared" si="74"/>
        <v>79.870517492297921</v>
      </c>
      <c r="G47" s="54">
        <f t="shared" ref="G47:H47" si="75">IF(I31&lt;Q31,$E$22*I31+$E$23*(Q31-I31),$E$22*Q31)+($E$24*365.25/12)</f>
        <v>90.862153422684258</v>
      </c>
      <c r="H47" s="54">
        <f t="shared" si="75"/>
        <v>80.583806114824284</v>
      </c>
      <c r="I47" s="54">
        <f t="shared" ref="I47:J47" si="76">IF(I31&lt;Q31, $F$22*I31+$F$23*(Q31-I31), $F$22*Q31)+($F$24*365.25/12)</f>
        <v>91.881985078780886</v>
      </c>
      <c r="J47" s="54">
        <f t="shared" si="76"/>
        <v>81.446512218542225</v>
      </c>
      <c r="K47" s="416"/>
      <c r="L47" s="18" t="s">
        <v>610</v>
      </c>
      <c r="M47" s="54">
        <f t="shared" si="13"/>
        <v>77.198136625000004</v>
      </c>
      <c r="N47" s="54">
        <f t="shared" si="8"/>
        <v>63.758715000000002</v>
      </c>
      <c r="O47" s="54">
        <f>IF(M31&lt;Y31,$D$22*M31+$D$23*(Y31-M31),$D$22*Y31)+($D$24*365.25/12)</f>
        <v>90.580639951551447</v>
      </c>
      <c r="P47" s="54">
        <f t="shared" ref="P47" si="77">IF(N31&lt;Z31,$D$22*N31+$D$23*(Z31-N31),$D$22*Z31)+($D$24*365.25/12)</f>
        <v>79.015783476711178</v>
      </c>
      <c r="Q47" s="54">
        <f t="shared" ref="Q47:R47" si="78">IF(M31&lt;Y31,$E$22*M31+$E$23*(Y31-M31),$E$22*Y31)+($E$24*365.25/12)</f>
        <v>91.431030827248833</v>
      </c>
      <c r="R47" s="54">
        <f t="shared" si="78"/>
        <v>79.718130491441286</v>
      </c>
      <c r="S47" s="54">
        <f t="shared" ref="S47:T47" si="79">IF(M31&lt;Y31,$F$22*M31+$F$23*(Y31-M31),$F$22*Y31)+($F$24*365.25/12)</f>
        <v>92.459558937527319</v>
      </c>
      <c r="T47" s="54">
        <f t="shared" si="79"/>
        <v>80.567602973407531</v>
      </c>
      <c r="AD47" s="422">
        <v>862659491.61219311</v>
      </c>
      <c r="AE47" s="223">
        <f t="shared" si="65"/>
        <v>862659491.61219311</v>
      </c>
      <c r="AF47" s="223">
        <f t="shared" si="56"/>
        <v>862659491.61219311</v>
      </c>
      <c r="AG47" s="224">
        <f t="shared" si="56"/>
        <v>862659491.61219311</v>
      </c>
      <c r="AM47" s="423"/>
    </row>
    <row r="48" spans="2:39" s="423" customFormat="1" ht="15" thickBot="1">
      <c r="B48" s="18" t="s">
        <v>617</v>
      </c>
      <c r="C48" s="68">
        <f t="shared" ref="C48:J48" si="80">SUMPRODUCT(C38:C47,$U$22:$U$31)</f>
        <v>253.0318413746771</v>
      </c>
      <c r="D48" s="68">
        <f t="shared" si="80"/>
        <v>151.31337681086688</v>
      </c>
      <c r="E48" s="68">
        <f t="shared" si="80"/>
        <v>241.74091860757559</v>
      </c>
      <c r="F48" s="68">
        <f t="shared" si="80"/>
        <v>154.29029068644891</v>
      </c>
      <c r="G48" s="68">
        <f t="shared" si="80"/>
        <v>244.52634009310464</v>
      </c>
      <c r="H48" s="68">
        <f t="shared" si="80"/>
        <v>155.9562405529725</v>
      </c>
      <c r="I48" s="68">
        <f t="shared" si="80"/>
        <v>247.89524300435801</v>
      </c>
      <c r="J48" s="68">
        <f t="shared" si="80"/>
        <v>157.97116841379764</v>
      </c>
      <c r="L48" s="18" t="s">
        <v>617</v>
      </c>
      <c r="M48" s="68">
        <f t="shared" ref="M48:T48" si="81">SUMPRODUCT(M38:M47,$AC$22:$AC$31)</f>
        <v>234.81223561170768</v>
      </c>
      <c r="N48" s="68">
        <f t="shared" si="81"/>
        <v>176.6403878255326</v>
      </c>
      <c r="O48" s="68">
        <f t="shared" si="81"/>
        <v>226.12697867475751</v>
      </c>
      <c r="P48" s="68">
        <f t="shared" si="81"/>
        <v>176.15235372568586</v>
      </c>
      <c r="Q48" s="68">
        <f t="shared" si="81"/>
        <v>228.71252323508699</v>
      </c>
      <c r="R48" s="68">
        <f t="shared" si="81"/>
        <v>178.09816389381194</v>
      </c>
      <c r="S48" s="68">
        <f t="shared" si="81"/>
        <v>231.8396796247832</v>
      </c>
      <c r="T48" s="68">
        <f t="shared" si="81"/>
        <v>180.45157632141132</v>
      </c>
      <c r="W48" s="18"/>
      <c r="X48" s="18"/>
      <c r="Y48" s="18"/>
      <c r="Z48" s="18"/>
      <c r="AA48" s="18"/>
      <c r="AB48" s="18"/>
      <c r="AD48" s="529" t="s">
        <v>618</v>
      </c>
      <c r="AE48" s="530"/>
      <c r="AF48" s="530"/>
      <c r="AG48" s="531"/>
    </row>
    <row r="49" spans="2:33" ht="15" thickBot="1">
      <c r="B49" s="391"/>
      <c r="C49" s="54"/>
      <c r="D49" s="54"/>
      <c r="E49" s="69"/>
      <c r="F49" s="424"/>
      <c r="G49" s="425"/>
      <c r="H49" s="426"/>
      <c r="I49" s="426"/>
      <c r="J49" s="426"/>
      <c r="L49" s="391"/>
      <c r="M49" s="54"/>
      <c r="N49" s="54"/>
      <c r="O49" s="69"/>
      <c r="P49" s="424"/>
      <c r="Q49" s="425"/>
      <c r="R49" s="426"/>
      <c r="S49" s="426"/>
      <c r="T49" s="426"/>
      <c r="W49" s="423"/>
      <c r="X49" s="423"/>
      <c r="Y49" s="423"/>
      <c r="Z49" s="423"/>
      <c r="AA49" s="423"/>
      <c r="AB49" s="423"/>
      <c r="AD49" s="418">
        <f>AD38</f>
        <v>2026</v>
      </c>
      <c r="AE49" s="419">
        <f>AD49+1</f>
        <v>2027</v>
      </c>
      <c r="AF49" s="419">
        <f>AE49+1</f>
        <v>2028</v>
      </c>
      <c r="AG49" s="420">
        <f>AF49+1</f>
        <v>2029</v>
      </c>
    </row>
    <row r="50" spans="2:33" ht="15.5">
      <c r="B50" s="391"/>
      <c r="C50" s="54"/>
      <c r="D50" s="54"/>
      <c r="E50" s="69"/>
      <c r="F50" s="54"/>
      <c r="G50" s="86"/>
      <c r="H50" s="426"/>
      <c r="I50" s="426"/>
      <c r="J50" s="426"/>
      <c r="L50" s="391"/>
      <c r="M50" s="54"/>
      <c r="N50" s="54"/>
      <c r="O50" s="69"/>
      <c r="P50" s="54"/>
      <c r="Q50" s="86"/>
      <c r="R50" s="426"/>
      <c r="S50" s="426"/>
      <c r="T50" s="426"/>
      <c r="W50" s="18" t="s">
        <v>619</v>
      </c>
      <c r="Y50" s="18">
        <f>Y38</f>
        <v>2026</v>
      </c>
      <c r="Z50" s="18">
        <f>Z38</f>
        <v>2027</v>
      </c>
      <c r="AA50" s="18">
        <f>AA38</f>
        <v>2028</v>
      </c>
      <c r="AB50" s="18">
        <f>AB38</f>
        <v>2029</v>
      </c>
      <c r="AD50" s="421">
        <v>659447431.55494094</v>
      </c>
      <c r="AE50" s="101">
        <f>AD50</f>
        <v>659447431.55494094</v>
      </c>
      <c r="AF50" s="101">
        <f t="shared" ref="AF50:AG53" si="82">AE50</f>
        <v>659447431.55494094</v>
      </c>
      <c r="AG50" s="222">
        <f t="shared" si="82"/>
        <v>659447431.55494094</v>
      </c>
    </row>
    <row r="51" spans="2:33" ht="15.5">
      <c r="B51" s="391"/>
      <c r="C51" s="524" t="s">
        <v>620</v>
      </c>
      <c r="D51" s="524"/>
      <c r="E51" s="524"/>
      <c r="F51" s="524"/>
      <c r="G51" s="524"/>
      <c r="H51" s="524"/>
      <c r="I51" s="524"/>
      <c r="J51" s="524"/>
      <c r="L51" s="391"/>
      <c r="M51" s="524" t="s">
        <v>621</v>
      </c>
      <c r="N51" s="524"/>
      <c r="O51" s="524"/>
      <c r="P51" s="524"/>
      <c r="Q51" s="524"/>
      <c r="R51" s="524"/>
      <c r="S51" s="524"/>
      <c r="T51" s="524"/>
      <c r="W51" s="18" t="s">
        <v>599</v>
      </c>
      <c r="X51" s="18" t="s">
        <v>594</v>
      </c>
      <c r="Y51" s="66">
        <f t="shared" ref="Y51:Z54" si="83">SUM(AD50,AD55)</f>
        <v>910964982.79669785</v>
      </c>
      <c r="Z51" s="66">
        <f t="shared" si="83"/>
        <v>910964982.79669785</v>
      </c>
      <c r="AA51" s="66">
        <f t="shared" ref="AA51:AB54" si="84">$Z51</f>
        <v>910964982.79669785</v>
      </c>
      <c r="AB51" s="66">
        <f t="shared" si="84"/>
        <v>910964982.79669785</v>
      </c>
      <c r="AD51" s="421">
        <v>1237511192.5295119</v>
      </c>
      <c r="AE51" s="101">
        <f t="shared" ref="AE51:AE53" si="85">AD51</f>
        <v>1237511192.5295119</v>
      </c>
      <c r="AF51" s="101">
        <f t="shared" si="82"/>
        <v>1237511192.5295119</v>
      </c>
      <c r="AG51" s="222">
        <f t="shared" si="82"/>
        <v>1237511192.5295119</v>
      </c>
    </row>
    <row r="52" spans="2:33" ht="15.5">
      <c r="B52" s="391"/>
      <c r="C52" s="525">
        <f>$C$27</f>
        <v>46023</v>
      </c>
      <c r="D52" s="526"/>
      <c r="E52" s="525">
        <f>$D$27</f>
        <v>46082</v>
      </c>
      <c r="F52" s="526"/>
      <c r="G52" s="527" t="str">
        <f>$E$21</f>
        <v>Authorized</v>
      </c>
      <c r="H52" s="527"/>
      <c r="I52" s="528" t="str">
        <f>$F$21</f>
        <v>w/Pending</v>
      </c>
      <c r="J52" s="527"/>
      <c r="L52" s="391"/>
      <c r="M52" s="525">
        <f>$C$27</f>
        <v>46023</v>
      </c>
      <c r="N52" s="526"/>
      <c r="O52" s="525">
        <f>$D$27</f>
        <v>46082</v>
      </c>
      <c r="P52" s="526"/>
      <c r="Q52" s="527" t="str">
        <f>$E$21</f>
        <v>Authorized</v>
      </c>
      <c r="R52" s="527"/>
      <c r="S52" s="528" t="str">
        <f>$F$21</f>
        <v>w/Pending</v>
      </c>
      <c r="T52" s="527"/>
      <c r="W52" s="18" t="s">
        <v>599</v>
      </c>
      <c r="X52" s="18" t="s">
        <v>595</v>
      </c>
      <c r="Y52" s="66">
        <f t="shared" si="83"/>
        <v>1698591264.0983658</v>
      </c>
      <c r="Z52" s="66">
        <f t="shared" si="83"/>
        <v>1698591264.0983658</v>
      </c>
      <c r="AA52" s="66">
        <f t="shared" si="84"/>
        <v>1698591264.0983658</v>
      </c>
      <c r="AB52" s="66">
        <f t="shared" si="84"/>
        <v>1698591264.0983658</v>
      </c>
      <c r="AD52" s="421">
        <v>481804702.37536198</v>
      </c>
      <c r="AE52" s="101">
        <f t="shared" si="85"/>
        <v>481804702.37536198</v>
      </c>
      <c r="AF52" s="101">
        <f t="shared" si="82"/>
        <v>481804702.37536198</v>
      </c>
      <c r="AG52" s="222">
        <f t="shared" si="82"/>
        <v>481804702.37536198</v>
      </c>
    </row>
    <row r="53" spans="2:33" ht="16" thickBot="1">
      <c r="B53" s="391"/>
      <c r="C53" s="54" t="s">
        <v>594</v>
      </c>
      <c r="D53" s="54" t="s">
        <v>595</v>
      </c>
      <c r="E53" s="54" t="s">
        <v>594</v>
      </c>
      <c r="F53" s="54" t="s">
        <v>595</v>
      </c>
      <c r="G53" s="54" t="s">
        <v>594</v>
      </c>
      <c r="H53" s="54" t="s">
        <v>595</v>
      </c>
      <c r="I53" s="54" t="s">
        <v>594</v>
      </c>
      <c r="J53" s="54" t="s">
        <v>595</v>
      </c>
      <c r="L53" s="391"/>
      <c r="M53" s="54" t="s">
        <v>594</v>
      </c>
      <c r="N53" s="54" t="s">
        <v>595</v>
      </c>
      <c r="O53" s="54" t="s">
        <v>594</v>
      </c>
      <c r="P53" s="54" t="s">
        <v>595</v>
      </c>
      <c r="Q53" s="54" t="s">
        <v>594</v>
      </c>
      <c r="R53" s="54" t="s">
        <v>595</v>
      </c>
      <c r="S53" s="54" t="s">
        <v>594</v>
      </c>
      <c r="T53" s="54" t="s">
        <v>595</v>
      </c>
      <c r="W53" s="18" t="s">
        <v>601</v>
      </c>
      <c r="X53" s="18" t="s">
        <v>594</v>
      </c>
      <c r="Y53" s="66">
        <f t="shared" si="83"/>
        <v>708171358.60665298</v>
      </c>
      <c r="Z53" s="66">
        <f t="shared" si="83"/>
        <v>708171358.60665298</v>
      </c>
      <c r="AA53" s="66">
        <f t="shared" si="84"/>
        <v>708171358.60665298</v>
      </c>
      <c r="AB53" s="66">
        <f t="shared" si="84"/>
        <v>708171358.60665298</v>
      </c>
      <c r="AD53" s="421">
        <v>461109260.99737298</v>
      </c>
      <c r="AE53" s="101">
        <f t="shared" si="85"/>
        <v>461109260.99737298</v>
      </c>
      <c r="AF53" s="101">
        <f t="shared" si="82"/>
        <v>461109260.99737298</v>
      </c>
      <c r="AG53" s="222">
        <f t="shared" si="82"/>
        <v>461109260.99737298</v>
      </c>
    </row>
    <row r="54" spans="2:33" ht="16" thickBot="1">
      <c r="B54" s="18" t="s">
        <v>600</v>
      </c>
      <c r="C54" s="54">
        <f>IF(I22&lt;S22,$C$28*I22+$C$29*(S22-I22),$C$28*S22)</f>
        <v>150.99649593750001</v>
      </c>
      <c r="D54" s="54">
        <f t="shared" ref="D54:D63" si="86">IF(J22&lt;T22,$C$28*J22+$C$29*(T22-J22),$C$28*T22)</f>
        <v>128.27725562500001</v>
      </c>
      <c r="E54" s="54">
        <f>IF(I22&lt;S22,$D$28*I22+$D$29*(S22-I22),$D$28*S22)+($D$30*365.25/12)</f>
        <v>137.72208836014437</v>
      </c>
      <c r="F54" s="54">
        <f>IF(J22&lt;T22,$D$28*J22+$D$29*(T22-J22),$D$28*T22)+($D$30*365.25/12)</f>
        <v>117.88677954259211</v>
      </c>
      <c r="G54" s="54">
        <f>IF(I22&lt;S22,$E$28*I22+$E$29*(S22-I22),$E$28*S22)+($E$30*365.25/12)</f>
        <v>139.40828711046447</v>
      </c>
      <c r="H54" s="54">
        <f>IF(J22&lt;T22,$E$28*J22+$E$29*(T22-J22),$E$28*T22)+($E$30*365.25/12)</f>
        <v>119.31906284595298</v>
      </c>
      <c r="I54" s="54">
        <f>IF(I22&lt;S22,$F$28*I22+$F$29*(S22-I22),$F$28*S22)+($F$30*365.25/12)</f>
        <v>141.44770552825787</v>
      </c>
      <c r="J54" s="54">
        <f>IF(J22&lt;T22,$F$28*J22+$F$29*(T22-J22),$F$28*T22)+($F$30*365.25/12)</f>
        <v>121.05137639903657</v>
      </c>
      <c r="L54" s="18" t="s">
        <v>600</v>
      </c>
      <c r="M54" s="54">
        <f t="shared" ref="M54:M63" si="87">IF(M22&lt;AA22,$C$28*M22+$C$29*(AA22-M22),$C$28*AA22)</f>
        <v>169.41792699999999</v>
      </c>
      <c r="N54" s="54">
        <f t="shared" ref="N54:N63" si="88">IF(N22&lt;AB22,$C$28*N22+$C$29*(AB22-N22),$C$28*AB22)</f>
        <v>157.77196000000001</v>
      </c>
      <c r="O54" s="54">
        <f>IF(M22&lt;AA22,$D$28*M22+$D$29*(AA22-M22),$D$28*AA22)+($D$30*365.25/12)</f>
        <v>153.7938844844208</v>
      </c>
      <c r="P54" s="54">
        <f>IF(N22&lt;AB22,$D$28*N22+$D$29*(AB22-N22),$D$28*AB22)+($D$30*365.25/12)</f>
        <v>143.92207230238142</v>
      </c>
      <c r="Q54" s="54">
        <f>IF(M22&lt;AA22,$E$28*M22+$E$29*(AA22-M22),$E$28*AA22)+($E$30*365.25/12)</f>
        <v>155.68582126150267</v>
      </c>
      <c r="R54" s="54">
        <f>IF(N22&lt;AB22,$E$28*N22+$E$29*(AB22-N22),$E$28*AB22)+($E$30*365.25/12)</f>
        <v>145.68763819078413</v>
      </c>
      <c r="S54" s="54">
        <f>IF(M22&lt;AA22,$F$28*M22+$F$29*(AA22-M22),$F$28*AA22)+($F$30*365.25/12)</f>
        <v>157.97407506773337</v>
      </c>
      <c r="T54" s="54">
        <f>IF(N22&lt;AB22,$F$28*N22+$F$29*(AB22-N22),$F$28*AB22)+($F$30*365.25/12)</f>
        <v>147.82304932778837</v>
      </c>
      <c r="W54" s="18" t="s">
        <v>601</v>
      </c>
      <c r="X54" s="18" t="s">
        <v>595</v>
      </c>
      <c r="Y54" s="66">
        <f t="shared" si="83"/>
        <v>766750452.53234386</v>
      </c>
      <c r="Z54" s="66">
        <f t="shared" si="83"/>
        <v>766750452.53234386</v>
      </c>
      <c r="AA54" s="66">
        <f t="shared" si="84"/>
        <v>766750452.53234386</v>
      </c>
      <c r="AB54" s="66">
        <f t="shared" si="84"/>
        <v>766750452.53234386</v>
      </c>
      <c r="AD54" s="529" t="s">
        <v>622</v>
      </c>
      <c r="AE54" s="530"/>
      <c r="AF54" s="530"/>
      <c r="AG54" s="531"/>
    </row>
    <row r="55" spans="2:33" ht="15.5">
      <c r="B55" s="18" t="s">
        <v>602</v>
      </c>
      <c r="C55" s="54">
        <f t="shared" ref="C55:C63" si="89">IF(I23&lt;S23,$C$28*I23+$C$29*(S23-I23),$C$28*S23)</f>
        <v>76.123203625000002</v>
      </c>
      <c r="D55" s="54">
        <f t="shared" si="86"/>
        <v>108.100965625</v>
      </c>
      <c r="E55" s="54">
        <f t="shared" ref="E55:F55" si="90">IF(I23&lt;S23,$D$28*I23+$D$29*(S23-I23),$D$28*S23)+($D$30*365.25/12)</f>
        <v>72.509285299895737</v>
      </c>
      <c r="F55" s="54">
        <f t="shared" si="90"/>
        <v>100.34804438710549</v>
      </c>
      <c r="G55" s="54">
        <f t="shared" ref="G55:H55" si="91">IF(I23&lt;S23,$E$28*I23+$E$29*(S23-I23),$E$28*S23)+($E$30*365.25/12)</f>
        <v>73.36068292920406</v>
      </c>
      <c r="H55" s="54">
        <f t="shared" si="91"/>
        <v>101.55581110657712</v>
      </c>
      <c r="I55" s="54">
        <f t="shared" ref="I55:J55" si="92">IF(I23&lt;S23,$F$28*I23+$F$29*(S23-I23),$F$28*S23)+($F$30*365.25/12)</f>
        <v>74.390428684707302</v>
      </c>
      <c r="J55" s="54">
        <f t="shared" si="92"/>
        <v>103.01657704037986</v>
      </c>
      <c r="L55" s="18" t="s">
        <v>602</v>
      </c>
      <c r="M55" s="54">
        <f t="shared" si="87"/>
        <v>133.04455531249999</v>
      </c>
      <c r="N55" s="54">
        <f t="shared" si="88"/>
        <v>146.40386000000001</v>
      </c>
      <c r="O55" s="54">
        <f t="shared" ref="O55:P55" si="93">IF(M23&lt;AA23,$D$28*M23+$D$29*(AA23-M23),$D$28*AA23)+($D$30*365.25/12)</f>
        <v>121.94482006729697</v>
      </c>
      <c r="P55" s="54">
        <f t="shared" si="93"/>
        <v>133.98423600915987</v>
      </c>
      <c r="Q55" s="54">
        <f t="shared" ref="Q55:R55" si="94">IF(M23&lt;AA23,$E$28*M23+$E$29*(AA23-M23),$E$28*AA23)+($E$30*365.25/12)</f>
        <v>123.42905109595353</v>
      </c>
      <c r="R55" s="54">
        <f t="shared" si="94"/>
        <v>135.62258582205743</v>
      </c>
      <c r="S55" s="54">
        <f t="shared" ref="S55:T55" si="95">IF(M23&lt;AA23,$F$28*M23+$F$29*(AA23-M23),$F$28*AA23)+($F$30*365.25/12)</f>
        <v>125.22419422218817</v>
      </c>
      <c r="T55" s="54">
        <f t="shared" si="95"/>
        <v>137.60413205590285</v>
      </c>
      <c r="AD55" s="421">
        <v>251517551.24175698</v>
      </c>
      <c r="AE55" s="101">
        <f>AD55</f>
        <v>251517551.24175698</v>
      </c>
      <c r="AF55" s="101">
        <f t="shared" ref="AF55:AG58" si="96">AE55</f>
        <v>251517551.24175698</v>
      </c>
      <c r="AG55" s="222">
        <f t="shared" si="96"/>
        <v>251517551.24175698</v>
      </c>
    </row>
    <row r="56" spans="2:33" ht="15.5">
      <c r="B56" s="18" t="s">
        <v>603</v>
      </c>
      <c r="C56" s="54">
        <f t="shared" si="89"/>
        <v>218.70992606250002</v>
      </c>
      <c r="D56" s="54">
        <f t="shared" si="86"/>
        <v>109.96737025</v>
      </c>
      <c r="E56" s="54">
        <f t="shared" ref="E56:F56" si="97">IF(I24&lt;S24,$D$28*I24+$D$29*(S24-I24),$D$28*S24)+($D$30*365.25/12)</f>
        <v>196.72821587088384</v>
      </c>
      <c r="F56" s="54">
        <f t="shared" si="97"/>
        <v>101.94980999468758</v>
      </c>
      <c r="G56" s="54">
        <f t="shared" ref="G56:H56" si="98">IF(I24&lt;S24,$E$28*I24+$E$29*(S24-I24),$E$28*S24)+($E$30*365.25/12)</f>
        <v>199.16976294363417</v>
      </c>
      <c r="H56" s="54">
        <f t="shared" si="98"/>
        <v>103.17808121116072</v>
      </c>
      <c r="I56" s="54">
        <f t="shared" ref="I56:J56" si="99">IF(I24&lt;S24,$F$28*I24+$F$29*(S24-I24),$F$28*S24)+($F$30*365.25/12)</f>
        <v>202.12275770011303</v>
      </c>
      <c r="J56" s="54">
        <f t="shared" si="99"/>
        <v>104.6636468601954</v>
      </c>
      <c r="L56" s="18" t="s">
        <v>603</v>
      </c>
      <c r="M56" s="54">
        <f t="shared" si="87"/>
        <v>218.56750493750002</v>
      </c>
      <c r="N56" s="54">
        <f t="shared" si="88"/>
        <v>137.05036000000001</v>
      </c>
      <c r="O56" s="54">
        <f t="shared" ref="O56:P56" si="100">IF(M24&lt;AA24,$D$28*M24+$D$29*(AA24-M24),$D$28*AA24)+($D$30*365.25/12)</f>
        <v>196.68013831428914</v>
      </c>
      <c r="P56" s="54">
        <f t="shared" si="100"/>
        <v>125.8075352615725</v>
      </c>
      <c r="Q56" s="54">
        <f t="shared" ref="Q56:R56" si="101">IF(M24&lt;AA24,$E$28*M24+$E$29*(AA24-M24),$E$28*AA24)+($E$30*365.25/12)</f>
        <v>199.12106993736919</v>
      </c>
      <c r="R56" s="54">
        <f t="shared" si="101"/>
        <v>127.34121361994053</v>
      </c>
      <c r="S56" s="54">
        <f t="shared" ref="S56" si="102">IF(M24&lt;AA24,$F$28*M24+$F$29*(AA24-M24),$F$28*AA24)+($F$30*365.25/12)</f>
        <v>202.07332032169589</v>
      </c>
      <c r="T56" s="54">
        <f>IF(N24&lt;AB24,$F$28*N24+$F$29*(AB24-N24),$F$28*AB24)+($F$30*365.25/12)</f>
        <v>129.19616214865528</v>
      </c>
      <c r="AD56" s="421">
        <v>461080071.56885397</v>
      </c>
      <c r="AE56" s="101">
        <f t="shared" ref="AE56:AE58" si="103">AD56</f>
        <v>461080071.56885397</v>
      </c>
      <c r="AF56" s="101">
        <f t="shared" si="96"/>
        <v>461080071.56885397</v>
      </c>
      <c r="AG56" s="222">
        <f t="shared" si="96"/>
        <v>461080071.56885397</v>
      </c>
    </row>
    <row r="57" spans="2:33" ht="15.5">
      <c r="B57" s="18" t="s">
        <v>604</v>
      </c>
      <c r="C57" s="54">
        <f t="shared" si="89"/>
        <v>179.007301875</v>
      </c>
      <c r="D57" s="54">
        <f t="shared" si="86"/>
        <v>108.37206262500001</v>
      </c>
      <c r="E57" s="54">
        <f>IF(I25&lt;S25,$D$28*I25+$D$29*(S25-I25),$D$28*S25)+($D$30*365.25/12)</f>
        <v>162.1227997560533</v>
      </c>
      <c r="F57" s="54">
        <f t="shared" ref="F57" si="104">IF(J25&lt;T25,$D$28*J25+$D$29*(T25-J25),$D$28*T25)+($D$30*365.25/12)</f>
        <v>100.55616556056123</v>
      </c>
      <c r="G57" s="54">
        <f t="shared" ref="G57:H57" si="105">IF(I25&lt;S25,$E$28*I25+$E$29*(S25-I25),$E$28*S25)+($E$30*365.25/12)</f>
        <v>164.12135651386421</v>
      </c>
      <c r="H57" s="54">
        <f t="shared" si="105"/>
        <v>101.76659647756394</v>
      </c>
      <c r="I57" s="54">
        <f t="shared" ref="I57:J57" si="106">IF(I25&lt;S25,$F$28*I25+$F$29*(S25-I25),$F$28*S25)+($F$30*365.25/12)</f>
        <v>166.53856472263041</v>
      </c>
      <c r="J57" s="54">
        <f t="shared" si="106"/>
        <v>103.23058469670667</v>
      </c>
      <c r="L57" s="18" t="s">
        <v>604</v>
      </c>
      <c r="M57" s="54">
        <f t="shared" si="87"/>
        <v>180.87290862500001</v>
      </c>
      <c r="N57" s="54">
        <f t="shared" si="88"/>
        <v>127.40906</v>
      </c>
      <c r="O57" s="54">
        <f t="shared" ref="O57:P57" si="107">IF(M25&lt;AA25,$D$28*M25+$D$29*(AA25-M25),$D$28*AA25)+($D$30*365.25/12)</f>
        <v>163.84090211086487</v>
      </c>
      <c r="P57" s="54">
        <f t="shared" si="107"/>
        <v>117.37924372175166</v>
      </c>
      <c r="Q57" s="54">
        <f t="shared" ref="Q57:R57" si="108">IF(M25&lt;AA25,$E$28*M25+$E$29*(AA25-M25),$E$28*AA25)+($E$30*365.25/12)</f>
        <v>165.86145261383786</v>
      </c>
      <c r="R57" s="54">
        <f t="shared" si="108"/>
        <v>118.80502996545081</v>
      </c>
      <c r="S57" s="54">
        <f t="shared" ref="S57:T57" si="109">IF(M25&lt;AA25,$F$28*M25+$F$29*(AA25-M25),$F$28*AA25)+($F$30*365.25/12)</f>
        <v>168.30526174906728</v>
      </c>
      <c r="T57" s="54">
        <f t="shared" si="109"/>
        <v>120.52948547503084</v>
      </c>
      <c r="W57" s="18" t="s">
        <v>586</v>
      </c>
      <c r="Y57" s="382">
        <f>SUM(AD61,AD65)</f>
        <v>7779985.4698770009</v>
      </c>
      <c r="Z57" s="382">
        <f>SUM(AE61,AE65)</f>
        <v>7779985.4698770009</v>
      </c>
      <c r="AA57" s="382">
        <f>SUM(AF61,AF65)</f>
        <v>7779985.4698770009</v>
      </c>
      <c r="AB57" s="382">
        <f>SUM(AG61,AG65)</f>
        <v>7779985.4698770009</v>
      </c>
      <c r="AD57" s="421">
        <v>226366656.23129103</v>
      </c>
      <c r="AE57" s="101">
        <f t="shared" si="103"/>
        <v>226366656.23129103</v>
      </c>
      <c r="AF57" s="101">
        <f t="shared" si="96"/>
        <v>226366656.23129103</v>
      </c>
      <c r="AG57" s="222">
        <f t="shared" si="96"/>
        <v>226366656.23129103</v>
      </c>
    </row>
    <row r="58" spans="2:33" ht="16" thickBot="1">
      <c r="B58" s="18" t="s">
        <v>606</v>
      </c>
      <c r="C58" s="54">
        <f t="shared" si="89"/>
        <v>66.2121390625</v>
      </c>
      <c r="D58" s="54">
        <f t="shared" si="86"/>
        <v>75.7238296875</v>
      </c>
      <c r="E58" s="54">
        <f t="shared" ref="E58:F58" si="110">IF(I26&lt;S26,$D$28*I26+$D$29*(S26-I26),$D$28*S26)+($D$30*365.25/12)</f>
        <v>63.780260986110648</v>
      </c>
      <c r="F58" s="54">
        <f t="shared" si="110"/>
        <v>72.082952135964234</v>
      </c>
      <c r="G58" s="54">
        <f t="shared" ref="G58:H58" si="111">IF(I26&lt;S26,$E$28*I26+$E$29*(S26-I26),$E$28*S26)+($E$30*365.25/12)</f>
        <v>64.51991676503792</v>
      </c>
      <c r="H58" s="54">
        <f t="shared" si="111"/>
        <v>72.928892195800415</v>
      </c>
      <c r="I58" s="54">
        <f t="shared" ref="I58:J58" si="112">IF(I26&lt;S26,$F$28*I26+$F$29*(S26-I26),$F$28*S26)+($F$30*365.25/12)</f>
        <v>65.414513335036105</v>
      </c>
      <c r="J58" s="54">
        <f t="shared" si="112"/>
        <v>73.952037147160169</v>
      </c>
      <c r="L58" s="18" t="s">
        <v>606</v>
      </c>
      <c r="M58" s="54">
        <f t="shared" si="87"/>
        <v>63.395401937499997</v>
      </c>
      <c r="N58" s="54">
        <f t="shared" si="88"/>
        <v>76.928939999999997</v>
      </c>
      <c r="O58" s="54">
        <f t="shared" ref="O58:P58" si="113">IF(M26&lt;AA26,$D$28*M26+$D$29*(AA26-M26),$D$28*AA26)+($D$30*365.25/12)</f>
        <v>61.352395534248394</v>
      </c>
      <c r="P58" s="54">
        <f t="shared" si="113"/>
        <v>73.250218764003208</v>
      </c>
      <c r="Q58" s="54">
        <f t="shared" ref="Q58:R58" si="114">IF(M26&lt;AA26,$E$28*M26+$E$29*(AA26-M26),$E$28*AA26)+($E$30*365.25/12)</f>
        <v>62.060971759686637</v>
      </c>
      <c r="R58" s="54">
        <f t="shared" si="114"/>
        <v>74.111101219256838</v>
      </c>
      <c r="S58" s="54">
        <f t="shared" ref="S58:T58" si="115">IF(M26&lt;AA26,$F$28*M26+$F$29*(AA26-M26),$F$28*AA26)+($F$30*365.25/12)</f>
        <v>62.917978328037456</v>
      </c>
      <c r="T58" s="54">
        <f t="shared" si="115"/>
        <v>75.152318652531605</v>
      </c>
      <c r="AD58" s="422">
        <v>305641191.53497094</v>
      </c>
      <c r="AE58" s="223">
        <f t="shared" si="103"/>
        <v>305641191.53497094</v>
      </c>
      <c r="AF58" s="223">
        <f t="shared" si="96"/>
        <v>305641191.53497094</v>
      </c>
      <c r="AG58" s="224">
        <f t="shared" si="96"/>
        <v>305641191.53497094</v>
      </c>
    </row>
    <row r="59" spans="2:33" ht="15" thickBot="1">
      <c r="B59" s="18" t="s">
        <v>607</v>
      </c>
      <c r="C59" s="54">
        <f t="shared" si="89"/>
        <v>69.682216937500002</v>
      </c>
      <c r="D59" s="54">
        <f t="shared" si="86"/>
        <v>86.321401312500001</v>
      </c>
      <c r="E59" s="54">
        <f t="shared" ref="E59:F59" si="116">IF(I27&lt;S27,$D$28*I27+$D$29*(S27-I27),$D$28*S27)+($D$30*365.25/12)</f>
        <v>66.817363734871037</v>
      </c>
      <c r="F59" s="54">
        <f t="shared" si="116"/>
        <v>81.315803716825869</v>
      </c>
      <c r="G59" s="54">
        <f t="shared" ref="G59:H59" si="117">IF(I27&lt;S27,$E$28*I27+$E$29*(S27-I27),$E$28*S27)+($E$30*365.25/12)</f>
        <v>67.595898026303757</v>
      </c>
      <c r="H59" s="54">
        <f t="shared" si="117"/>
        <v>82.279935212824029</v>
      </c>
      <c r="I59" s="54">
        <f t="shared" ref="I59:J59" si="118">IF(I27&lt;S27,$F$28*I27+$F$29*(S27-I27),$F$28*S27)+($F$30*365.25/12)</f>
        <v>68.537517258633386</v>
      </c>
      <c r="J59" s="54">
        <f t="shared" si="118"/>
        <v>83.446029974630733</v>
      </c>
      <c r="L59" s="18" t="s">
        <v>607</v>
      </c>
      <c r="M59" s="54">
        <f t="shared" si="87"/>
        <v>99.988878999999997</v>
      </c>
      <c r="N59" s="54">
        <f t="shared" si="88"/>
        <v>130.05681999999999</v>
      </c>
      <c r="O59" s="54">
        <f t="shared" ref="O59:P59" si="119">IF(M27&lt;AA27,$D$28*M27+$D$29*(AA27-M27),$D$28*AA27)+($D$30*365.25/12)</f>
        <v>93.275761629745844</v>
      </c>
      <c r="P59" s="54">
        <f t="shared" si="119"/>
        <v>119.69387901029947</v>
      </c>
      <c r="Q59" s="54">
        <f t="shared" ref="Q59:R59" si="120">IF(M27&lt;AA27,$E$28*M27+$E$29*(AA27-M27),$E$28*AA27)+($E$30*365.25/12)</f>
        <v>94.392994753099828</v>
      </c>
      <c r="R59" s="54">
        <f t="shared" si="120"/>
        <v>121.14929532728083</v>
      </c>
      <c r="S59" s="54">
        <f t="shared" ref="S59:T59" si="121">IF(M27&lt;AA27,$F$28*M27+$F$29*(AA27-M27),$F$28*AA27)+($F$30*365.25/12)</f>
        <v>95.74426239477279</v>
      </c>
      <c r="T59" s="54">
        <f t="shared" si="121"/>
        <v>122.90958772569785</v>
      </c>
      <c r="AD59" s="529" t="s">
        <v>623</v>
      </c>
      <c r="AE59" s="530"/>
      <c r="AF59" s="530"/>
      <c r="AG59" s="531"/>
    </row>
    <row r="60" spans="2:33">
      <c r="B60" s="18" t="s">
        <v>608</v>
      </c>
      <c r="C60" s="54">
        <f t="shared" si="89"/>
        <v>236.70568950000001</v>
      </c>
      <c r="D60" s="54">
        <f t="shared" si="86"/>
        <v>102.47665487500001</v>
      </c>
      <c r="E60" s="54">
        <f t="shared" ref="E60" si="122">IF(I28&lt;S28,$D$28*I28+$D$29*(S28-I28),$D$28*S28)+($D$30*365.25/12)</f>
        <v>212.42310583091719</v>
      </c>
      <c r="F60" s="54">
        <f>IF(J28&lt;T28,$D$28*J28+$D$29*(T28-J28),$D$28*T28)+($D$30*365.25/12)</f>
        <v>95.417669443203437</v>
      </c>
      <c r="G60" s="54">
        <f t="shared" ref="G60:H60" si="123">IF(I28&lt;S28,$E$28*I28+$E$29*(S28-I28),$E$28*S28)+($E$30*365.25/12)</f>
        <v>215.06556608509737</v>
      </c>
      <c r="H60" s="54">
        <f t="shared" si="123"/>
        <v>96.562321523569992</v>
      </c>
      <c r="I60" s="54">
        <f t="shared" ref="I60:J60" si="124">IF(I28&lt;S28,$F$28*I28+$F$29*(S28-I28),$F$28*S28)+($F$30*365.25/12)</f>
        <v>218.26156069109442</v>
      </c>
      <c r="J60" s="54">
        <f t="shared" si="124"/>
        <v>97.946751760054212</v>
      </c>
      <c r="L60" s="18" t="s">
        <v>608</v>
      </c>
      <c r="M60" s="54">
        <f t="shared" si="87"/>
        <v>238.9840165</v>
      </c>
      <c r="N60" s="54">
        <f t="shared" si="88"/>
        <v>109.39278</v>
      </c>
      <c r="O60" s="54">
        <f t="shared" ref="O60:P60" si="125">IF(M28&lt;AA28,$D$28*M28+$D$29*(AA28-M28),$D$28*AA28)+($D$30*365.25/12)</f>
        <v>214.51374366300868</v>
      </c>
      <c r="P60" s="54">
        <f t="shared" si="125"/>
        <v>101.62966012793721</v>
      </c>
      <c r="Q60" s="54">
        <f t="shared" ref="Q60:R60" si="126">IF(M28&lt;AA28,$E$28*M28+$E$29*(AA28-M28),$E$28*AA28)+($E$30*365.25/12)</f>
        <v>217.18296655771277</v>
      </c>
      <c r="R60" s="54">
        <f t="shared" si="126"/>
        <v>102.8538330469118</v>
      </c>
      <c r="S60" s="54">
        <f t="shared" ref="S60:T60" si="127">IF(M28&lt;AA28,$F$28*M28+$F$29*(AA28-M28),$F$28*AA28)+($F$30*365.25/12)</f>
        <v>220.4113299588966</v>
      </c>
      <c r="T60" s="54">
        <f t="shared" si="127"/>
        <v>104.33444189984012</v>
      </c>
      <c r="AD60" s="427">
        <f>AD49</f>
        <v>2026</v>
      </c>
      <c r="AE60" s="428">
        <f>AD60+1</f>
        <v>2027</v>
      </c>
      <c r="AF60" s="428">
        <f>AE60+1</f>
        <v>2028</v>
      </c>
      <c r="AG60" s="429">
        <f>AF60+1</f>
        <v>2029</v>
      </c>
    </row>
    <row r="61" spans="2:33" ht="16" thickBot="1">
      <c r="B61" s="18" t="s">
        <v>118</v>
      </c>
      <c r="C61" s="54">
        <f t="shared" si="89"/>
        <v>95.714673625000003</v>
      </c>
      <c r="D61" s="54">
        <f t="shared" si="86"/>
        <v>93.637726062499993</v>
      </c>
      <c r="E61" s="54">
        <f t="shared" ref="E61:F61" si="128">IF(I29&lt;S29,$D$28*I29+$D$29*(S29-I29),$D$28*S29)+($D$30*365.25/12)</f>
        <v>89.539651320440711</v>
      </c>
      <c r="F61" s="54">
        <f t="shared" si="128"/>
        <v>87.730771620692693</v>
      </c>
      <c r="G61" s="54">
        <f t="shared" ref="G61:H61" si="129">IF(I29&lt;S29,$E$28*I29+$E$29*(S29-I29),$E$28*S29)+($E$30*365.25/12)</f>
        <v>90.609057806569027</v>
      </c>
      <c r="H61" s="54">
        <f t="shared" si="129"/>
        <v>88.7770223041218</v>
      </c>
      <c r="I61" s="54">
        <f t="shared" ref="I61:J61" si="130">IF(I29&lt;S29,$F$28*I29+$F$29*(S29-I29),$F$28*S29)+($F$30*365.25/12)</f>
        <v>91.902480235866733</v>
      </c>
      <c r="J61" s="54">
        <f t="shared" si="130"/>
        <v>90.042438325222022</v>
      </c>
      <c r="L61" s="18" t="s">
        <v>118</v>
      </c>
      <c r="M61" s="54">
        <f t="shared" si="87"/>
        <v>94.007820312500002</v>
      </c>
      <c r="N61" s="54">
        <f t="shared" si="88"/>
        <v>100.96024</v>
      </c>
      <c r="O61" s="54">
        <f t="shared" ref="O61:P61" si="131">IF(M29&lt;AA29,$D$28*M29+$D$29*(AA29-M29),$D$28*AA29)+($D$30*365.25/12)</f>
        <v>88.011180309942446</v>
      </c>
      <c r="P61" s="54">
        <f t="shared" si="131"/>
        <v>94.258049915496912</v>
      </c>
      <c r="Q61" s="54">
        <f t="shared" ref="Q61:R61" si="132">IF(M29&lt;AA29,$E$28*M29+$E$29*(AA29-M29),$E$28*AA29)+($E$30*365.25/12)</f>
        <v>89.061020556726334</v>
      </c>
      <c r="R61" s="54">
        <f t="shared" si="132"/>
        <v>95.387857492387951</v>
      </c>
      <c r="S61" s="54">
        <f t="shared" ref="S61:T61" si="133">IF(M29&lt;AA29,$F$28*M29+$F$29*(AA29-M29),$F$28*AA29)+($F$30*365.25/12)</f>
        <v>90.330778071743666</v>
      </c>
      <c r="T61" s="54">
        <f t="shared" si="133"/>
        <v>96.754333644998454</v>
      </c>
      <c r="AD61" s="430">
        <v>4969855.3746780008</v>
      </c>
      <c r="AE61" s="431">
        <f>AD61</f>
        <v>4969855.3746780008</v>
      </c>
      <c r="AF61" s="431">
        <f>AE61</f>
        <v>4969855.3746780008</v>
      </c>
      <c r="AG61" s="432">
        <f>AF61</f>
        <v>4969855.3746780008</v>
      </c>
    </row>
    <row r="62" spans="2:33" ht="15" thickBot="1">
      <c r="B62" s="18" t="s">
        <v>609</v>
      </c>
      <c r="C62" s="54">
        <f t="shared" si="89"/>
        <v>125.6779340625</v>
      </c>
      <c r="D62" s="54">
        <f t="shared" si="86"/>
        <v>122.1667231875</v>
      </c>
      <c r="E62" s="54">
        <f t="shared" ref="E62:F62" si="134">IF(I30&lt;S30,$D$28*I30+$D$29*(S30-I30),$D$28*S30)+($D$30*365.25/12)</f>
        <v>115.61004515276261</v>
      </c>
      <c r="F62" s="54">
        <f t="shared" si="134"/>
        <v>112.57849135315715</v>
      </c>
      <c r="G62" s="54">
        <f t="shared" ref="G62" si="135">IF(I30&lt;S30,$E$28*I30+$E$29*(S30-I30),$E$28*S30)+($E$30*365.25/12)</f>
        <v>117.01318355923691</v>
      </c>
      <c r="H62" s="54">
        <f>IF(J30&lt;T30,$E$28*J30+$E$29*(T30-J30),$E$28*T30)+($E$30*365.25/12)</f>
        <v>113.9428222802477</v>
      </c>
      <c r="I62" s="54">
        <f t="shared" ref="I62:J62" si="136">IF(I30&lt;S30,$F$28*I30+$F$29*(S30-I30),$F$28*S30)+($F$30*365.25/12)</f>
        <v>118.71024703312082</v>
      </c>
      <c r="J62" s="54">
        <f t="shared" si="136"/>
        <v>115.59294900471912</v>
      </c>
      <c r="L62" s="18" t="s">
        <v>609</v>
      </c>
      <c r="M62" s="54">
        <f t="shared" si="87"/>
        <v>145.939875</v>
      </c>
      <c r="N62" s="54">
        <f t="shared" si="88"/>
        <v>149.10918000000001</v>
      </c>
      <c r="O62" s="54">
        <f t="shared" ref="O62:P62" si="137">IF(M30&lt;AA30,$D$28*M30+$D$29*(AA30-M30),$D$28*AA30)+($D$30*365.25/12)</f>
        <v>133.27486551069481</v>
      </c>
      <c r="P62" s="54">
        <f t="shared" si="137"/>
        <v>136.34918945615436</v>
      </c>
      <c r="Q62" s="54">
        <f t="shared" ref="Q62:R62" si="138">IF(M30&lt;AA30,$E$28*M30+$E$29*(AA30-M30),$E$28*AA30)+($E$30*365.25/12)</f>
        <v>134.90413454099232</v>
      </c>
      <c r="R62" s="54">
        <f t="shared" si="138"/>
        <v>138.01781347436201</v>
      </c>
      <c r="S62" s="54">
        <f t="shared" ref="S62:T62" si="139">IF(M30&lt;AA30,$F$28*M30+$F$29*(AA30-M30),$F$28*AA30)+($F$30*365.25/12)</f>
        <v>136.87469777815417</v>
      </c>
      <c r="T62" s="54">
        <f t="shared" si="139"/>
        <v>140.03597565984521</v>
      </c>
    </row>
    <row r="63" spans="2:33" ht="15" thickBot="1">
      <c r="B63" s="18" t="s">
        <v>610</v>
      </c>
      <c r="C63" s="54">
        <f t="shared" si="89"/>
        <v>51.7035836875</v>
      </c>
      <c r="D63" s="54">
        <f t="shared" si="86"/>
        <v>74.096153624999999</v>
      </c>
      <c r="E63" s="54">
        <f t="shared" ref="E63:F63" si="140">IF(I31&lt;S31,$D$28*I31+$D$29*(S31-I31),$D$28*S31)+($D$30*365.25/12)</f>
        <v>51.147690815326797</v>
      </c>
      <c r="F63" s="54">
        <f t="shared" si="140"/>
        <v>70.678380984429992</v>
      </c>
      <c r="G63" s="54">
        <f t="shared" ref="G63:H63" si="141">IF(I31&lt;S31,$E$28*I31+$E$29*(S31-I31),$E$28*S31)+($E$30*365.25/12)</f>
        <v>51.725634733316468</v>
      </c>
      <c r="H63" s="54">
        <f t="shared" si="141"/>
        <v>71.506340869870684</v>
      </c>
      <c r="I63" s="54">
        <f t="shared" ref="I63:J63" si="142">IF(I31&lt;S31,$F$28*I31+$F$29*(S31-I31),$F$28*S31)+($F$30*365.25/12)</f>
        <v>52.424644544927361</v>
      </c>
      <c r="J63" s="54">
        <f t="shared" si="142"/>
        <v>72.507739215849355</v>
      </c>
      <c r="L63" s="18" t="s">
        <v>610</v>
      </c>
      <c r="M63" s="54">
        <f t="shared" si="87"/>
        <v>88.203044187499998</v>
      </c>
      <c r="N63" s="54">
        <f t="shared" si="88"/>
        <v>103.37775999999999</v>
      </c>
      <c r="O63" s="54">
        <f t="shared" ref="O63:P63" si="143">IF(M31&lt;AA31,$D$28*M31+$D$29*(AA31-M31),$D$28*AA31)+($D$30*365.25/12)</f>
        <v>82.903279001326723</v>
      </c>
      <c r="P63" s="54">
        <f t="shared" si="143"/>
        <v>96.371412570257959</v>
      </c>
      <c r="Q63" s="54">
        <f t="shared" ref="Q63:R63" si="144">IF(M31&lt;AA31,$E$28*M31+$E$29*(AA31-M31),$E$28*AA31)+($E$30*365.25/12)</f>
        <v>83.887732061264643</v>
      </c>
      <c r="R63" s="54">
        <f t="shared" si="144"/>
        <v>97.528273692319701</v>
      </c>
      <c r="S63" s="54">
        <f t="shared" ref="S63:T63" si="145">IF(M31&lt;AA31,$F$28*M31+$F$29*(AA31-M31),$F$28*AA31)+($F$30*365.25/12)</f>
        <v>85.078405284993039</v>
      </c>
      <c r="T63" s="54">
        <f t="shared" si="145"/>
        <v>98.92747048256399</v>
      </c>
      <c r="AD63" s="529" t="s">
        <v>624</v>
      </c>
      <c r="AE63" s="530"/>
      <c r="AF63" s="530"/>
      <c r="AG63" s="531"/>
    </row>
    <row r="64" spans="2:33">
      <c r="B64" s="18" t="s">
        <v>617</v>
      </c>
      <c r="C64" s="68">
        <f>SUMPRODUCT(C54:C63,$V$22:$V$31)</f>
        <v>202.48994298604629</v>
      </c>
      <c r="D64" s="68">
        <f t="shared" ref="D64:J64" si="146">SUMPRODUCT(D54:D63,$V$22:$V$31)</f>
        <v>106.96460265565565</v>
      </c>
      <c r="E64" s="68">
        <f t="shared" si="146"/>
        <v>182.59301418424832</v>
      </c>
      <c r="F64" s="68">
        <f t="shared" si="146"/>
        <v>99.33036200351404</v>
      </c>
      <c r="G64" s="68">
        <f t="shared" si="146"/>
        <v>184.8536139328539</v>
      </c>
      <c r="H64" s="68">
        <f t="shared" si="146"/>
        <v>100.52510118307346</v>
      </c>
      <c r="I64" s="68">
        <f t="shared" si="146"/>
        <v>187.5877570827584</v>
      </c>
      <c r="J64" s="68">
        <f t="shared" si="146"/>
        <v>101.97011060843937</v>
      </c>
      <c r="L64" s="18" t="s">
        <v>617</v>
      </c>
      <c r="M64" s="68">
        <f>SUMPRODUCT(M54:M63,$AD$22:$AD$31)</f>
        <v>192.88263196792494</v>
      </c>
      <c r="N64" s="68">
        <f t="shared" ref="N64:T64" si="147">SUMPRODUCT(N54:N63,$AD$22:$AD$31)</f>
        <v>132.17970580081848</v>
      </c>
      <c r="O64" s="68">
        <f t="shared" si="147"/>
        <v>174.28482639765664</v>
      </c>
      <c r="P64" s="68">
        <f t="shared" si="147"/>
        <v>121.54967651012252</v>
      </c>
      <c r="Q64" s="68">
        <f t="shared" si="147"/>
        <v>176.43907150189247</v>
      </c>
      <c r="R64" s="68">
        <f t="shared" si="147"/>
        <v>123.02884923321625</v>
      </c>
      <c r="S64" s="68">
        <f t="shared" si="147"/>
        <v>179.04458116745585</v>
      </c>
      <c r="T64" s="68">
        <f t="shared" si="147"/>
        <v>124.81787445577802</v>
      </c>
      <c r="AD64" s="427">
        <v>2026</v>
      </c>
      <c r="AE64" s="428">
        <v>2027</v>
      </c>
      <c r="AF64" s="428">
        <v>2028</v>
      </c>
      <c r="AG64" s="429">
        <v>2029</v>
      </c>
    </row>
    <row r="65" spans="2:33" ht="16" thickBot="1">
      <c r="B65" s="391"/>
      <c r="C65" s="54"/>
      <c r="D65" s="54"/>
      <c r="E65" s="69"/>
      <c r="F65" s="54"/>
      <c r="G65" s="425"/>
      <c r="H65" s="426"/>
      <c r="I65" s="426"/>
      <c r="J65" s="426"/>
      <c r="AD65" s="433">
        <v>2810130.0951990001</v>
      </c>
      <c r="AE65" s="434">
        <f>AD65</f>
        <v>2810130.0951990001</v>
      </c>
      <c r="AF65" s="434">
        <f t="shared" ref="AF65:AG65" si="148">AE65</f>
        <v>2810130.0951990001</v>
      </c>
      <c r="AG65" s="435">
        <f t="shared" si="148"/>
        <v>2810130.0951990001</v>
      </c>
    </row>
    <row r="66" spans="2:33">
      <c r="B66" s="391"/>
      <c r="C66" s="54"/>
      <c r="D66" s="54"/>
      <c r="E66" s="69"/>
      <c r="G66" s="86"/>
      <c r="H66" s="426"/>
      <c r="I66" s="426"/>
    </row>
    <row r="67" spans="2:33" ht="15" thickBot="1">
      <c r="B67" s="391"/>
      <c r="C67" s="524" t="s">
        <v>625</v>
      </c>
      <c r="D67" s="524"/>
      <c r="E67" s="524"/>
      <c r="F67" s="524"/>
      <c r="G67" s="524"/>
      <c r="H67" s="524"/>
      <c r="I67" s="524"/>
      <c r="J67" s="524"/>
      <c r="L67" s="391"/>
      <c r="M67" s="524" t="s">
        <v>626</v>
      </c>
      <c r="N67" s="524"/>
      <c r="O67" s="524"/>
      <c r="P67" s="524"/>
      <c r="Q67" s="524"/>
      <c r="R67" s="524"/>
      <c r="S67" s="524"/>
      <c r="T67" s="524"/>
    </row>
    <row r="68" spans="2:33" ht="15" thickBot="1">
      <c r="B68" s="391"/>
      <c r="C68" s="525">
        <f>$C$27</f>
        <v>46023</v>
      </c>
      <c r="D68" s="526"/>
      <c r="E68" s="525">
        <f>$D$27</f>
        <v>46082</v>
      </c>
      <c r="F68" s="526"/>
      <c r="G68" s="527" t="str">
        <f>$E$21</f>
        <v>Authorized</v>
      </c>
      <c r="H68" s="527"/>
      <c r="I68" s="528" t="str">
        <f>$F$21</f>
        <v>w/Pending</v>
      </c>
      <c r="J68" s="527"/>
      <c r="L68" s="391"/>
      <c r="M68" s="525">
        <f>$C$27</f>
        <v>46023</v>
      </c>
      <c r="N68" s="526"/>
      <c r="O68" s="525">
        <f>$D$27</f>
        <v>46082</v>
      </c>
      <c r="P68" s="526"/>
      <c r="Q68" s="527" t="str">
        <f>$E$21</f>
        <v>Authorized</v>
      </c>
      <c r="R68" s="527"/>
      <c r="S68" s="528" t="str">
        <f>$F$21</f>
        <v>w/Pending</v>
      </c>
      <c r="T68" s="527"/>
      <c r="AD68" s="529" t="s">
        <v>627</v>
      </c>
      <c r="AE68" s="530"/>
      <c r="AF68" s="530"/>
      <c r="AG68" s="531"/>
    </row>
    <row r="69" spans="2:33">
      <c r="B69" s="391"/>
      <c r="C69" s="54" t="s">
        <v>594</v>
      </c>
      <c r="D69" s="54" t="s">
        <v>595</v>
      </c>
      <c r="E69" s="54" t="s">
        <v>594</v>
      </c>
      <c r="F69" s="54" t="s">
        <v>595</v>
      </c>
      <c r="G69" s="54" t="s">
        <v>594</v>
      </c>
      <c r="H69" s="54" t="s">
        <v>595</v>
      </c>
      <c r="I69" s="54" t="s">
        <v>594</v>
      </c>
      <c r="J69" s="54" t="s">
        <v>595</v>
      </c>
      <c r="L69" s="391"/>
      <c r="M69" s="54" t="s">
        <v>594</v>
      </c>
      <c r="N69" s="54" t="s">
        <v>595</v>
      </c>
      <c r="O69" s="54" t="s">
        <v>594</v>
      </c>
      <c r="P69" s="54" t="s">
        <v>595</v>
      </c>
      <c r="Q69" s="54" t="s">
        <v>594</v>
      </c>
      <c r="R69" s="54" t="s">
        <v>595</v>
      </c>
      <c r="S69" s="54" t="s">
        <v>594</v>
      </c>
      <c r="T69" s="54" t="s">
        <v>595</v>
      </c>
      <c r="AD69" s="427">
        <v>2026</v>
      </c>
      <c r="AE69" s="428">
        <v>2027</v>
      </c>
      <c r="AF69" s="428">
        <v>2028</v>
      </c>
      <c r="AG69" s="429">
        <v>2029</v>
      </c>
    </row>
    <row r="70" spans="2:33" ht="15" customHeight="1">
      <c r="B70" s="18" t="s">
        <v>600</v>
      </c>
      <c r="C70" s="54">
        <f t="shared" ref="C70:C79" si="149">C$22*I22</f>
        <v>155.48281593749999</v>
      </c>
      <c r="D70" s="54">
        <f t="shared" ref="D70:D79" si="150">C$22*J22</f>
        <v>126.689701875</v>
      </c>
      <c r="E70" s="54">
        <f>D$22*I22+($D$24*365.25/12)</f>
        <v>157.94639965416826</v>
      </c>
      <c r="F70" s="54">
        <f t="shared" ref="F70:F79" si="151">D$22*J22+($D$24*365.25/12)</f>
        <v>133.16928860710007</v>
      </c>
      <c r="G70" s="54">
        <f t="shared" ref="G70:G79" si="152">E$22*I22+($E$24*365.25/12)</f>
        <v>159.65915204598696</v>
      </c>
      <c r="H70" s="54">
        <f t="shared" ref="H70:H79" si="153">E$22*J22+($E$24*365.25/12)</f>
        <v>134.56486463006343</v>
      </c>
      <c r="I70" s="54">
        <f>F$22*I22+($F$24*365.25/12)</f>
        <v>161.73068647947622</v>
      </c>
      <c r="J70" s="54">
        <f t="shared" ref="J70:J79" si="154">F$22*J22+($F$24*365.25/12)</f>
        <v>136.25278157586951</v>
      </c>
      <c r="L70" s="18" t="s">
        <v>600</v>
      </c>
      <c r="M70" s="54">
        <f t="shared" ref="M70:M79" si="155">C$22*M22</f>
        <v>175.06213349999999</v>
      </c>
      <c r="N70" s="54">
        <f t="shared" ref="N70:N79" si="156">C$22*N22</f>
        <v>299.44838625</v>
      </c>
      <c r="O70" s="54">
        <f>D$22*M22+($D$24*365.25/12)</f>
        <v>174.79483516617464</v>
      </c>
      <c r="P70" s="54">
        <f t="shared" ref="P70:P79" si="157">D$22*N22+($D$24*365.25/12)</f>
        <v>281.83195488950923</v>
      </c>
      <c r="Q70" s="54">
        <f>E$22*M22+($E$24*365.25/12)</f>
        <v>176.72326748881494</v>
      </c>
      <c r="R70" s="54">
        <f t="shared" ref="R70:R79" si="158">E$22*N22+($E$24*365.25/12)</f>
        <v>285.13058912560444</v>
      </c>
      <c r="S70" s="54">
        <f t="shared" ref="S70:S79" si="159">F$22*M22+($F$24*365.25/12)</f>
        <v>179.05566181392877</v>
      </c>
      <c r="T70" s="54">
        <f t="shared" ref="T70:T79" si="160">F$22*N22+($F$24*365.25/12)</f>
        <v>289.12021099750973</v>
      </c>
      <c r="V70" s="436"/>
      <c r="W70" s="436"/>
      <c r="X70" s="437"/>
      <c r="Y70" s="437"/>
      <c r="AD70" s="438">
        <v>232076.69742000001</v>
      </c>
      <c r="AE70" s="439">
        <f>AD70</f>
        <v>232076.69742000001</v>
      </c>
      <c r="AF70" s="439">
        <f t="shared" ref="AF70:AG70" si="161">AE70</f>
        <v>232076.69742000001</v>
      </c>
      <c r="AG70" s="440">
        <f t="shared" si="161"/>
        <v>232076.69742000001</v>
      </c>
    </row>
    <row r="71" spans="2:33" ht="15" customHeight="1" thickBot="1">
      <c r="B71" s="18" t="s">
        <v>602</v>
      </c>
      <c r="C71" s="54">
        <f t="shared" si="149"/>
        <v>112.86900712500001</v>
      </c>
      <c r="D71" s="54">
        <f t="shared" si="150"/>
        <v>126.689701875</v>
      </c>
      <c r="E71" s="54">
        <f t="shared" ref="E71:E79" si="162">D$22*I23+($D$24*365.25/12)</f>
        <v>121.27627530450732</v>
      </c>
      <c r="F71" s="54">
        <f t="shared" si="151"/>
        <v>133.16928860710007</v>
      </c>
      <c r="G71" s="54">
        <f t="shared" si="152"/>
        <v>122.51960667042015</v>
      </c>
      <c r="H71" s="54">
        <f t="shared" si="153"/>
        <v>134.56486463006343</v>
      </c>
      <c r="I71" s="54">
        <f t="shared" ref="I71:I79" si="163">F$22*I23+($F$24*365.25/12)</f>
        <v>124.02338722213828</v>
      </c>
      <c r="J71" s="54">
        <f t="shared" si="154"/>
        <v>136.25278157586951</v>
      </c>
      <c r="L71" s="18" t="s">
        <v>602</v>
      </c>
      <c r="M71" s="54">
        <f t="shared" si="155"/>
        <v>97.896587812500002</v>
      </c>
      <c r="N71" s="54">
        <f t="shared" si="156"/>
        <v>299.44838625</v>
      </c>
      <c r="O71" s="54">
        <f t="shared" ref="O71:O79" si="164">D$22*M23+($D$24*365.25/12)</f>
        <v>108.39217756003185</v>
      </c>
      <c r="P71" s="54">
        <f t="shared" si="157"/>
        <v>281.83195488950923</v>
      </c>
      <c r="Q71" s="54">
        <f t="shared" ref="Q71:Q79" si="165">E$22*M23+($E$24*365.25/12)</f>
        <v>109.47057721413992</v>
      </c>
      <c r="R71" s="54">
        <f t="shared" si="158"/>
        <v>285.13058912560444</v>
      </c>
      <c r="S71" s="54">
        <f t="shared" si="159"/>
        <v>110.77487667226279</v>
      </c>
      <c r="T71" s="54">
        <f t="shared" si="160"/>
        <v>289.12021099750973</v>
      </c>
      <c r="V71" s="436"/>
      <c r="W71" s="436"/>
      <c r="X71" s="437"/>
      <c r="Y71" s="437"/>
      <c r="AD71" s="441">
        <v>4927018.8152379999</v>
      </c>
      <c r="AE71" s="434">
        <f>AD71</f>
        <v>4927018.8152379999</v>
      </c>
      <c r="AF71" s="434">
        <f t="shared" ref="AF71:AG71" si="166">AE71</f>
        <v>4927018.8152379999</v>
      </c>
      <c r="AG71" s="435">
        <f t="shared" si="166"/>
        <v>4927018.8152379999</v>
      </c>
    </row>
    <row r="72" spans="2:33" ht="15" thickBot="1">
      <c r="B72" s="18" t="s">
        <v>603</v>
      </c>
      <c r="C72" s="54">
        <f t="shared" si="149"/>
        <v>203.85524756249998</v>
      </c>
      <c r="D72" s="54">
        <f t="shared" si="150"/>
        <v>119.77935450000001</v>
      </c>
      <c r="E72" s="54">
        <f t="shared" si="162"/>
        <v>199.57194621324282</v>
      </c>
      <c r="F72" s="54">
        <f t="shared" si="151"/>
        <v>127.2227819558037</v>
      </c>
      <c r="G72" s="54">
        <f t="shared" si="152"/>
        <v>201.81755490473844</v>
      </c>
      <c r="H72" s="54">
        <f t="shared" si="153"/>
        <v>128.54223565024179</v>
      </c>
      <c r="I72" s="54">
        <f t="shared" si="163"/>
        <v>204.53356671753548</v>
      </c>
      <c r="J72" s="54">
        <f t="shared" si="154"/>
        <v>130.1380843990039</v>
      </c>
      <c r="L72" s="18" t="s">
        <v>603</v>
      </c>
      <c r="M72" s="54">
        <f t="shared" si="155"/>
        <v>229.1931879375</v>
      </c>
      <c r="N72" s="54">
        <f t="shared" si="156"/>
        <v>307.51045818749998</v>
      </c>
      <c r="O72" s="54">
        <f t="shared" si="164"/>
        <v>221.37580393466283</v>
      </c>
      <c r="P72" s="54">
        <f t="shared" si="157"/>
        <v>288.76954598268833</v>
      </c>
      <c r="Q72" s="54">
        <f t="shared" si="165"/>
        <v>223.90052783075112</v>
      </c>
      <c r="R72" s="54">
        <f t="shared" si="158"/>
        <v>292.15698960206305</v>
      </c>
      <c r="S72" s="54">
        <f t="shared" si="159"/>
        <v>226.95412303270936</v>
      </c>
      <c r="T72" s="54">
        <f t="shared" si="160"/>
        <v>296.25402437051957</v>
      </c>
      <c r="V72" s="436"/>
      <c r="W72" s="436"/>
      <c r="X72" s="437"/>
      <c r="Y72" s="437"/>
      <c r="AD72" s="382"/>
      <c r="AE72" s="382"/>
      <c r="AF72" s="382"/>
      <c r="AG72" s="382"/>
    </row>
    <row r="73" spans="2:33" s="423" customFormat="1" ht="14.25" customHeight="1" thickBot="1">
      <c r="B73" s="18" t="s">
        <v>604</v>
      </c>
      <c r="C73" s="54">
        <f t="shared" si="149"/>
        <v>172.758684375</v>
      </c>
      <c r="D73" s="54">
        <f t="shared" si="150"/>
        <v>117.475905375</v>
      </c>
      <c r="E73" s="54">
        <f t="shared" si="162"/>
        <v>172.8126662824092</v>
      </c>
      <c r="F73" s="54">
        <f t="shared" si="151"/>
        <v>125.24061307203823</v>
      </c>
      <c r="G73" s="54">
        <f t="shared" si="152"/>
        <v>174.71572449554105</v>
      </c>
      <c r="H73" s="54">
        <f t="shared" si="153"/>
        <v>126.53469265696789</v>
      </c>
      <c r="I73" s="54">
        <f t="shared" si="163"/>
        <v>177.01742942164023</v>
      </c>
      <c r="J73" s="54">
        <f t="shared" si="154"/>
        <v>128.09985200671534</v>
      </c>
      <c r="L73" s="18" t="s">
        <v>604</v>
      </c>
      <c r="M73" s="54">
        <f t="shared" si="155"/>
        <v>205.006972125</v>
      </c>
      <c r="N73" s="54">
        <f t="shared" si="156"/>
        <v>272.95872131250002</v>
      </c>
      <c r="O73" s="54">
        <f t="shared" si="164"/>
        <v>200.56303065512557</v>
      </c>
      <c r="P73" s="54">
        <f t="shared" si="157"/>
        <v>259.03701272620651</v>
      </c>
      <c r="Q73" s="54">
        <f t="shared" si="165"/>
        <v>202.82132640137539</v>
      </c>
      <c r="R73" s="54">
        <f t="shared" si="158"/>
        <v>262.04384470295486</v>
      </c>
      <c r="S73" s="54">
        <f t="shared" si="159"/>
        <v>205.55268291367975</v>
      </c>
      <c r="T73" s="54">
        <f t="shared" si="160"/>
        <v>265.68053848619155</v>
      </c>
      <c r="V73" s="442"/>
      <c r="W73" s="442"/>
      <c r="X73" s="437"/>
      <c r="Y73" s="437"/>
      <c r="AD73" s="534" t="s">
        <v>628</v>
      </c>
      <c r="AE73" s="535"/>
      <c r="AF73" s="535"/>
      <c r="AG73" s="536"/>
    </row>
    <row r="74" spans="2:33">
      <c r="B74" s="18" t="s">
        <v>606</v>
      </c>
      <c r="C74" s="54">
        <f t="shared" si="149"/>
        <v>74.8620965625</v>
      </c>
      <c r="D74" s="54">
        <f t="shared" si="150"/>
        <v>86.379342187500001</v>
      </c>
      <c r="E74" s="54">
        <f t="shared" si="162"/>
        <v>88.570488722377306</v>
      </c>
      <c r="F74" s="54">
        <f t="shared" si="151"/>
        <v>98.481333141204587</v>
      </c>
      <c r="G74" s="54">
        <f t="shared" si="152"/>
        <v>89.395147281401108</v>
      </c>
      <c r="H74" s="54">
        <f t="shared" si="153"/>
        <v>99.432862247770515</v>
      </c>
      <c r="I74" s="54">
        <f t="shared" si="163"/>
        <v>90.39255274937743</v>
      </c>
      <c r="J74" s="54">
        <f t="shared" si="154"/>
        <v>100.5837147108201</v>
      </c>
      <c r="L74" s="18" t="s">
        <v>606</v>
      </c>
      <c r="M74" s="54">
        <f t="shared" si="155"/>
        <v>81.7724439375</v>
      </c>
      <c r="N74" s="54">
        <f t="shared" si="156"/>
        <v>148.57246856250001</v>
      </c>
      <c r="O74" s="54">
        <f t="shared" si="164"/>
        <v>94.516995373673666</v>
      </c>
      <c r="P74" s="54">
        <f t="shared" si="157"/>
        <v>151.99989300287189</v>
      </c>
      <c r="Q74" s="54">
        <f t="shared" si="165"/>
        <v>95.417776261222755</v>
      </c>
      <c r="R74" s="54">
        <f t="shared" si="158"/>
        <v>153.63652306616532</v>
      </c>
      <c r="S74" s="54">
        <f t="shared" si="159"/>
        <v>96.507249926243034</v>
      </c>
      <c r="T74" s="54">
        <f t="shared" si="160"/>
        <v>155.61598930261061</v>
      </c>
      <c r="V74" s="436"/>
      <c r="W74" s="436"/>
      <c r="X74" s="437"/>
      <c r="Y74" s="437"/>
      <c r="AD74" s="443">
        <v>2026</v>
      </c>
      <c r="AE74" s="444">
        <v>2027</v>
      </c>
      <c r="AF74" s="444">
        <v>2028</v>
      </c>
      <c r="AG74" s="445">
        <v>2029</v>
      </c>
    </row>
    <row r="75" spans="2:33">
      <c r="B75" s="18" t="s">
        <v>607</v>
      </c>
      <c r="C75" s="54">
        <f t="shared" si="149"/>
        <v>81.7724439375</v>
      </c>
      <c r="D75" s="54">
        <f t="shared" si="150"/>
        <v>93.289689562500001</v>
      </c>
      <c r="E75" s="54">
        <f t="shared" si="162"/>
        <v>94.516995373673666</v>
      </c>
      <c r="F75" s="54">
        <f t="shared" si="151"/>
        <v>104.42783979250095</v>
      </c>
      <c r="G75" s="54">
        <f t="shared" si="152"/>
        <v>95.417776261222755</v>
      </c>
      <c r="H75" s="54">
        <f t="shared" si="153"/>
        <v>105.45549122759215</v>
      </c>
      <c r="I75" s="54">
        <f t="shared" si="163"/>
        <v>96.507249926243034</v>
      </c>
      <c r="J75" s="54">
        <f t="shared" si="154"/>
        <v>106.69841188768571</v>
      </c>
      <c r="L75" s="18" t="s">
        <v>607</v>
      </c>
      <c r="M75" s="54">
        <f t="shared" si="155"/>
        <v>119.77935450000001</v>
      </c>
      <c r="N75" s="54">
        <f t="shared" si="156"/>
        <v>219.97939143750003</v>
      </c>
      <c r="O75" s="54">
        <f t="shared" si="164"/>
        <v>127.2227819558037</v>
      </c>
      <c r="P75" s="54">
        <f t="shared" si="157"/>
        <v>213.44712839960104</v>
      </c>
      <c r="Q75" s="54">
        <f t="shared" si="165"/>
        <v>128.54223565024179</v>
      </c>
      <c r="R75" s="54">
        <f t="shared" si="158"/>
        <v>215.87035585765562</v>
      </c>
      <c r="S75" s="54">
        <f t="shared" si="159"/>
        <v>130.1380843990039</v>
      </c>
      <c r="T75" s="54">
        <f t="shared" si="160"/>
        <v>218.80119346355525</v>
      </c>
      <c r="V75" s="436"/>
      <c r="W75" s="436"/>
      <c r="X75" s="437"/>
      <c r="Y75" s="437"/>
      <c r="AB75" s="423"/>
      <c r="AD75" s="438">
        <v>197705.70330200001</v>
      </c>
      <c r="AE75" s="446">
        <f>AD75</f>
        <v>197705.70330200001</v>
      </c>
      <c r="AF75" s="446">
        <f t="shared" ref="AF75:AG75" si="167">AE75</f>
        <v>197705.70330200001</v>
      </c>
      <c r="AG75" s="447">
        <f t="shared" si="167"/>
        <v>197705.70330200001</v>
      </c>
    </row>
    <row r="76" spans="2:33" ht="15" thickBot="1">
      <c r="B76" s="18" t="s">
        <v>608</v>
      </c>
      <c r="C76" s="54">
        <f t="shared" si="149"/>
        <v>221.13111599999999</v>
      </c>
      <c r="D76" s="54">
        <f t="shared" si="150"/>
        <v>112.86900712500001</v>
      </c>
      <c r="E76" s="54">
        <f t="shared" si="162"/>
        <v>214.43821284148376</v>
      </c>
      <c r="F76" s="54">
        <f t="shared" si="151"/>
        <v>121.27627530450732</v>
      </c>
      <c r="G76" s="54">
        <f t="shared" si="152"/>
        <v>216.87412735429254</v>
      </c>
      <c r="H76" s="54">
        <f t="shared" si="153"/>
        <v>122.51960667042015</v>
      </c>
      <c r="I76" s="54">
        <f t="shared" si="163"/>
        <v>219.82030965969949</v>
      </c>
      <c r="J76" s="54">
        <f t="shared" si="154"/>
        <v>124.02338722213828</v>
      </c>
      <c r="L76" s="18" t="s">
        <v>608</v>
      </c>
      <c r="M76" s="54">
        <f t="shared" si="155"/>
        <v>257.98630199999997</v>
      </c>
      <c r="N76" s="54">
        <f t="shared" si="156"/>
        <v>218.82766687500001</v>
      </c>
      <c r="O76" s="54">
        <f t="shared" si="164"/>
        <v>246.15291498173104</v>
      </c>
      <c r="P76" s="54">
        <f t="shared" si="157"/>
        <v>212.45604395771829</v>
      </c>
      <c r="Q76" s="54">
        <f t="shared" si="165"/>
        <v>248.99481524667462</v>
      </c>
      <c r="R76" s="54">
        <f t="shared" si="158"/>
        <v>214.86658436101865</v>
      </c>
      <c r="S76" s="54">
        <f t="shared" si="159"/>
        <v>252.43202793631608</v>
      </c>
      <c r="T76" s="54">
        <f t="shared" si="160"/>
        <v>217.78207726741095</v>
      </c>
      <c r="V76" s="436"/>
      <c r="W76" s="436"/>
      <c r="X76" s="437"/>
      <c r="Y76" s="437"/>
      <c r="AD76" s="441">
        <v>7967020.8778860001</v>
      </c>
      <c r="AE76" s="448">
        <f>AD76</f>
        <v>7967020.8778860001</v>
      </c>
      <c r="AF76" s="448">
        <f t="shared" ref="AF76:AG76" si="168">AE76</f>
        <v>7967020.8778860001</v>
      </c>
      <c r="AG76" s="449">
        <f t="shared" si="168"/>
        <v>7967020.8778860001</v>
      </c>
    </row>
    <row r="77" spans="2:33">
      <c r="B77" s="18" t="s">
        <v>118</v>
      </c>
      <c r="C77" s="54">
        <f t="shared" si="149"/>
        <v>112.86900712500001</v>
      </c>
      <c r="D77" s="54">
        <f t="shared" si="150"/>
        <v>111.71728256249999</v>
      </c>
      <c r="E77" s="54">
        <f t="shared" si="162"/>
        <v>121.27627530450732</v>
      </c>
      <c r="F77" s="54">
        <f t="shared" si="151"/>
        <v>120.28519086262459</v>
      </c>
      <c r="G77" s="54">
        <f t="shared" si="152"/>
        <v>122.51960667042015</v>
      </c>
      <c r="H77" s="54">
        <f t="shared" si="153"/>
        <v>121.51583517378319</v>
      </c>
      <c r="I77" s="54">
        <f t="shared" si="163"/>
        <v>124.02338722213828</v>
      </c>
      <c r="J77" s="54">
        <f t="shared" si="154"/>
        <v>123.004271025994</v>
      </c>
      <c r="L77" s="18" t="s">
        <v>118</v>
      </c>
      <c r="M77" s="54">
        <f t="shared" si="155"/>
        <v>97.896587812500002</v>
      </c>
      <c r="N77" s="54">
        <f t="shared" si="156"/>
        <v>168.151786125</v>
      </c>
      <c r="O77" s="54">
        <f t="shared" si="164"/>
        <v>108.39217756003185</v>
      </c>
      <c r="P77" s="54">
        <f t="shared" si="157"/>
        <v>168.84832851487826</v>
      </c>
      <c r="Q77" s="54">
        <f t="shared" si="165"/>
        <v>109.47057721413992</v>
      </c>
      <c r="R77" s="54">
        <f t="shared" si="158"/>
        <v>170.70063850899328</v>
      </c>
      <c r="S77" s="54">
        <f t="shared" si="159"/>
        <v>110.77487667226279</v>
      </c>
      <c r="T77" s="54">
        <f t="shared" si="160"/>
        <v>172.94096463706316</v>
      </c>
      <c r="V77" s="436"/>
      <c r="W77" s="436"/>
      <c r="X77" s="437"/>
      <c r="Y77" s="437"/>
    </row>
    <row r="78" spans="2:33">
      <c r="B78" s="18" t="s">
        <v>609</v>
      </c>
      <c r="C78" s="54">
        <f t="shared" si="149"/>
        <v>120.9310790625</v>
      </c>
      <c r="D78" s="54">
        <f t="shared" si="150"/>
        <v>127.84142643749999</v>
      </c>
      <c r="E78" s="54">
        <f t="shared" si="162"/>
        <v>128.21386639768642</v>
      </c>
      <c r="F78" s="54">
        <f t="shared" si="151"/>
        <v>134.16037304898279</v>
      </c>
      <c r="G78" s="54">
        <f t="shared" si="152"/>
        <v>129.54600714687874</v>
      </c>
      <c r="H78" s="54">
        <f t="shared" si="153"/>
        <v>135.56863612670037</v>
      </c>
      <c r="I78" s="54">
        <f t="shared" si="163"/>
        <v>131.15720059514817</v>
      </c>
      <c r="J78" s="54">
        <f t="shared" si="154"/>
        <v>137.27189777201377</v>
      </c>
      <c r="L78" s="18" t="s">
        <v>609</v>
      </c>
      <c r="M78" s="54">
        <f t="shared" si="155"/>
        <v>138.20694750000001</v>
      </c>
      <c r="N78" s="54">
        <f t="shared" si="156"/>
        <v>276.41389500000002</v>
      </c>
      <c r="O78" s="54">
        <f t="shared" si="164"/>
        <v>143.08013302592735</v>
      </c>
      <c r="P78" s="54">
        <f t="shared" si="157"/>
        <v>262.01026605185467</v>
      </c>
      <c r="Q78" s="54">
        <f t="shared" si="165"/>
        <v>144.60257959643283</v>
      </c>
      <c r="R78" s="54">
        <f t="shared" si="158"/>
        <v>265.05515919286569</v>
      </c>
      <c r="S78" s="54">
        <f t="shared" si="159"/>
        <v>146.44394353731218</v>
      </c>
      <c r="T78" s="54">
        <f t="shared" si="160"/>
        <v>268.73788707462438</v>
      </c>
      <c r="V78" s="436"/>
      <c r="W78" s="436"/>
      <c r="X78" s="437"/>
      <c r="Y78" s="437"/>
    </row>
    <row r="79" spans="2:33">
      <c r="B79" s="18" t="s">
        <v>610</v>
      </c>
      <c r="C79" s="54">
        <f t="shared" si="149"/>
        <v>67.951749187499999</v>
      </c>
      <c r="D79" s="54">
        <f t="shared" si="150"/>
        <v>89.834515874999994</v>
      </c>
      <c r="E79" s="54">
        <f t="shared" si="162"/>
        <v>82.623982071080945</v>
      </c>
      <c r="F79" s="54">
        <f t="shared" si="151"/>
        <v>101.45458646685276</v>
      </c>
      <c r="G79" s="54">
        <f t="shared" si="152"/>
        <v>83.372518301579476</v>
      </c>
      <c r="H79" s="54">
        <f t="shared" si="153"/>
        <v>102.44417673768133</v>
      </c>
      <c r="I79" s="54">
        <f t="shared" si="163"/>
        <v>84.277855572511825</v>
      </c>
      <c r="J79" s="54">
        <f t="shared" si="154"/>
        <v>103.64106329925291</v>
      </c>
      <c r="L79" s="18" t="s">
        <v>610</v>
      </c>
      <c r="M79" s="54">
        <f t="shared" si="155"/>
        <v>77.1655456875</v>
      </c>
      <c r="N79" s="54">
        <f t="shared" si="156"/>
        <v>180.82075631249998</v>
      </c>
      <c r="O79" s="54">
        <f t="shared" si="164"/>
        <v>90.552657606142759</v>
      </c>
      <c r="P79" s="54">
        <f t="shared" si="157"/>
        <v>179.75025737558826</v>
      </c>
      <c r="Q79" s="54">
        <f t="shared" si="165"/>
        <v>91.402690274674995</v>
      </c>
      <c r="R79" s="54">
        <f t="shared" si="158"/>
        <v>181.74212497199963</v>
      </c>
      <c r="S79" s="54">
        <f t="shared" si="159"/>
        <v>92.430785141665964</v>
      </c>
      <c r="T79" s="54">
        <f t="shared" si="160"/>
        <v>184.1512427946501</v>
      </c>
      <c r="V79" s="54"/>
      <c r="W79" s="436"/>
      <c r="X79" s="437"/>
      <c r="Y79" s="437"/>
      <c r="AB79" s="423"/>
    </row>
    <row r="80" spans="2:33">
      <c r="B80" s="18" t="s">
        <v>617</v>
      </c>
      <c r="C80" s="68">
        <f t="shared" ref="C80:J80" si="169">SUMPRODUCT(C70:C79,$U$22:$U$31)</f>
        <v>176.02153810013954</v>
      </c>
      <c r="D80" s="68">
        <f t="shared" si="169"/>
        <v>116.19623743987103</v>
      </c>
      <c r="E80" s="68">
        <f t="shared" si="169"/>
        <v>175.62042402971773</v>
      </c>
      <c r="F80" s="68">
        <f t="shared" si="169"/>
        <v>124.13943053015551</v>
      </c>
      <c r="G80" s="68">
        <f t="shared" si="169"/>
        <v>177.55942486768689</v>
      </c>
      <c r="H80" s="68">
        <f t="shared" si="169"/>
        <v>125.41941367424435</v>
      </c>
      <c r="I80" s="68">
        <f t="shared" si="169"/>
        <v>179.90460156783587</v>
      </c>
      <c r="J80" s="68">
        <f t="shared" si="169"/>
        <v>126.96752370458587</v>
      </c>
      <c r="L80" s="18" t="s">
        <v>617</v>
      </c>
      <c r="M80" s="68">
        <f t="shared" ref="M80:T80" si="170">SUMPRODUCT(M70:M79,$AC$22:$AC$31)</f>
        <v>191.84483591152912</v>
      </c>
      <c r="N80" s="68">
        <f t="shared" si="170"/>
        <v>273.55750829511413</v>
      </c>
      <c r="O80" s="68">
        <f t="shared" si="170"/>
        <v>189.23672152892576</v>
      </c>
      <c r="P80" s="68">
        <f t="shared" si="170"/>
        <v>259.55228215936216</v>
      </c>
      <c r="Q80" s="68">
        <f t="shared" si="170"/>
        <v>191.35002710282032</v>
      </c>
      <c r="R80" s="68">
        <f t="shared" si="170"/>
        <v>262.56571019517003</v>
      </c>
      <c r="S80" s="68">
        <f t="shared" si="170"/>
        <v>193.90602135261304</v>
      </c>
      <c r="T80" s="68">
        <f t="shared" si="170"/>
        <v>266.2103817593939</v>
      </c>
      <c r="V80" s="54"/>
      <c r="X80" s="437"/>
      <c r="Y80" s="437"/>
    </row>
    <row r="81" spans="2:20">
      <c r="B81" s="391"/>
      <c r="C81" s="54"/>
      <c r="D81" s="54"/>
      <c r="E81" s="69"/>
      <c r="F81" s="424"/>
      <c r="G81" s="426"/>
      <c r="H81" s="426"/>
      <c r="I81" s="426"/>
      <c r="J81" s="426"/>
      <c r="L81" s="391"/>
      <c r="M81" s="54"/>
      <c r="N81" s="54"/>
      <c r="O81" s="69"/>
      <c r="P81" s="424"/>
      <c r="Q81" s="426"/>
      <c r="R81" s="426"/>
      <c r="S81" s="426"/>
      <c r="T81" s="426"/>
    </row>
    <row r="82" spans="2:20">
      <c r="B82" s="391"/>
      <c r="C82" s="54"/>
      <c r="D82" s="54"/>
      <c r="E82" s="69"/>
      <c r="F82" s="54"/>
      <c r="G82" s="426"/>
      <c r="H82" s="426"/>
      <c r="I82" s="426"/>
      <c r="J82" s="426"/>
      <c r="L82" s="391"/>
      <c r="M82" s="54"/>
      <c r="N82" s="54"/>
      <c r="O82" s="69"/>
      <c r="P82" s="54"/>
      <c r="Q82" s="426"/>
      <c r="R82" s="426"/>
      <c r="S82" s="426"/>
      <c r="T82" s="426"/>
    </row>
    <row r="83" spans="2:20">
      <c r="B83" s="391"/>
      <c r="C83" s="524" t="s">
        <v>629</v>
      </c>
      <c r="D83" s="524"/>
      <c r="E83" s="524"/>
      <c r="F83" s="524"/>
      <c r="G83" s="524"/>
      <c r="H83" s="524"/>
      <c r="I83" s="524"/>
      <c r="J83" s="524"/>
      <c r="L83" s="391"/>
      <c r="M83" s="524" t="s">
        <v>630</v>
      </c>
      <c r="N83" s="524"/>
      <c r="O83" s="524"/>
      <c r="P83" s="524"/>
      <c r="Q83" s="524"/>
      <c r="R83" s="524"/>
      <c r="S83" s="524"/>
      <c r="T83" s="524"/>
    </row>
    <row r="84" spans="2:20">
      <c r="B84" s="391"/>
      <c r="C84" s="525">
        <f>$C$27</f>
        <v>46023</v>
      </c>
      <c r="D84" s="526"/>
      <c r="E84" s="525">
        <f>$D$27</f>
        <v>46082</v>
      </c>
      <c r="F84" s="526"/>
      <c r="G84" s="527" t="str">
        <f>$E$21</f>
        <v>Authorized</v>
      </c>
      <c r="H84" s="527"/>
      <c r="I84" s="528" t="str">
        <f>$F$21</f>
        <v>w/Pending</v>
      </c>
      <c r="J84" s="527"/>
      <c r="L84" s="391"/>
      <c r="M84" s="525">
        <f>$C$27</f>
        <v>46023</v>
      </c>
      <c r="N84" s="526"/>
      <c r="O84" s="525">
        <f>$D$27</f>
        <v>46082</v>
      </c>
      <c r="P84" s="526"/>
      <c r="Q84" s="527" t="str">
        <f>$E$21</f>
        <v>Authorized</v>
      </c>
      <c r="R84" s="527"/>
      <c r="S84" s="528" t="str">
        <f>$F$21</f>
        <v>w/Pending</v>
      </c>
      <c r="T84" s="527"/>
    </row>
    <row r="85" spans="2:20">
      <c r="B85" s="391"/>
      <c r="C85" s="54" t="s">
        <v>594</v>
      </c>
      <c r="D85" s="54" t="s">
        <v>595</v>
      </c>
      <c r="E85" s="54" t="s">
        <v>594</v>
      </c>
      <c r="F85" s="54" t="s">
        <v>595</v>
      </c>
      <c r="G85" s="54" t="s">
        <v>594</v>
      </c>
      <c r="H85" s="54" t="s">
        <v>595</v>
      </c>
      <c r="I85" s="54" t="s">
        <v>594</v>
      </c>
      <c r="J85" s="54" t="s">
        <v>595</v>
      </c>
      <c r="L85" s="391"/>
      <c r="M85" s="54" t="s">
        <v>594</v>
      </c>
      <c r="N85" s="54" t="s">
        <v>595</v>
      </c>
      <c r="O85" s="54" t="s">
        <v>594</v>
      </c>
      <c r="P85" s="54" t="s">
        <v>595</v>
      </c>
      <c r="Q85" s="54" t="s">
        <v>594</v>
      </c>
      <c r="R85" s="54" t="s">
        <v>595</v>
      </c>
      <c r="S85" s="54" t="s">
        <v>594</v>
      </c>
      <c r="T85" s="54" t="s">
        <v>595</v>
      </c>
    </row>
    <row r="86" spans="2:20">
      <c r="B86" s="18" t="s">
        <v>600</v>
      </c>
      <c r="C86" s="54">
        <f t="shared" ref="C86:C95" si="171">C$28*I22</f>
        <v>94.607055000000003</v>
      </c>
      <c r="D86" s="54">
        <f t="shared" ref="D86:D95" si="172">C$28*J22</f>
        <v>77.087230000000005</v>
      </c>
      <c r="E86" s="54">
        <f>D$28*I22+($D$30*365.25/12)</f>
        <v>88.704183176943332</v>
      </c>
      <c r="F86" s="54">
        <f>D$28*J22+($D$30*365.25/12)</f>
        <v>73.388593699731601</v>
      </c>
      <c r="G86" s="54">
        <f>E$28*I22+($E$30*365.25/12)</f>
        <v>89.762894681257777</v>
      </c>
      <c r="H86" s="54">
        <f>E$28*J22+($E$30*365.25/12)</f>
        <v>74.251247518061888</v>
      </c>
      <c r="I86" s="54">
        <f>F$28*I22+($F$30*365.25/12)</f>
        <v>91.043381777229527</v>
      </c>
      <c r="J86" s="54">
        <f>F$28*J22+($F$30*365.25/12)</f>
        <v>75.294607374038875</v>
      </c>
      <c r="L86" s="18" t="s">
        <v>600</v>
      </c>
      <c r="M86" s="54">
        <f t="shared" ref="M86:M95" si="173">C$28*M22</f>
        <v>106.52053599999999</v>
      </c>
      <c r="N86" s="54">
        <f t="shared" ref="N86:N95" si="174">C$28*N22</f>
        <v>182.20617999999999</v>
      </c>
      <c r="O86" s="54">
        <f>D$28*M22+($D$30*365.25/12)</f>
        <v>99.118784021447311</v>
      </c>
      <c r="P86" s="54">
        <f>D$28*N22+($D$30*365.25/12)</f>
        <v>165.28213056300197</v>
      </c>
      <c r="Q86" s="54">
        <f>E$28*M22+($E$30*365.25/12)</f>
        <v>100.31081475223097</v>
      </c>
      <c r="R86" s="54">
        <f>E$28*N22+($E$30*365.25/12)</f>
        <v>167.32113049723719</v>
      </c>
      <c r="S86" s="54">
        <f>F$28*M22+($F$30*365.25/12)</f>
        <v>101.75254837139917</v>
      </c>
      <c r="T86" s="54">
        <f>F$28*N22+($F$30*365.25/12)</f>
        <v>169.7872537931828</v>
      </c>
    </row>
    <row r="87" spans="2:20">
      <c r="B87" s="18" t="s">
        <v>602</v>
      </c>
      <c r="C87" s="54">
        <f t="shared" si="171"/>
        <v>68.677714000000009</v>
      </c>
      <c r="D87" s="54">
        <f t="shared" si="172"/>
        <v>77.087230000000005</v>
      </c>
      <c r="E87" s="54">
        <f t="shared" ref="E87:E95" si="175">D$28*I23+($D$30*365.25/12)</f>
        <v>66.037110750669981</v>
      </c>
      <c r="F87" s="54">
        <f t="shared" ref="F87:F95" si="176">D$28*J23+($D$30*365.25/12)</f>
        <v>73.388593699731601</v>
      </c>
      <c r="G87" s="54">
        <f t="shared" ref="G87:G95" si="177">E$28*I23+($E$30*365.25/12)</f>
        <v>66.805656879727877</v>
      </c>
      <c r="H87" s="54">
        <f t="shared" ref="H87:H95" si="178">E$28*J23+($E$30*365.25/12)</f>
        <v>74.251247518061888</v>
      </c>
      <c r="I87" s="54">
        <f t="shared" ref="I87:I95" si="179">F$28*I23+($F$30*365.25/12)</f>
        <v>67.735195660507372</v>
      </c>
      <c r="J87" s="54">
        <f t="shared" ref="J87:J95" si="180">F$28*J23+($F$30*365.25/12)</f>
        <v>75.294607374038875</v>
      </c>
      <c r="L87" s="18" t="s">
        <v>602</v>
      </c>
      <c r="M87" s="54">
        <f t="shared" si="173"/>
        <v>59.567405000000001</v>
      </c>
      <c r="N87" s="54">
        <f t="shared" si="174"/>
        <v>182.20617999999999</v>
      </c>
      <c r="O87" s="54">
        <f t="shared" ref="O87:O95" si="181">D$28*M23+($D$30*365.25/12)</f>
        <v>58.073004222519877</v>
      </c>
      <c r="P87" s="54">
        <f>D$28*N23+($D$30*365.25/12)</f>
        <v>165.28213056300197</v>
      </c>
      <c r="Q87" s="54">
        <f t="shared" ref="Q87:Q95" si="182">E$28*M23+($E$30*365.25/12)</f>
        <v>58.739600354866006</v>
      </c>
      <c r="R87" s="54">
        <f t="shared" ref="R87:R95" si="183">E$28*N23+($E$30*365.25/12)</f>
        <v>167.32113049723719</v>
      </c>
      <c r="S87" s="54">
        <f t="shared" ref="S87:S95" si="184">F$28*M23+($F$30*365.25/12)</f>
        <v>59.545832970848224</v>
      </c>
      <c r="T87" s="54">
        <f t="shared" ref="T87:T95" si="185">F$28*N23+($F$30*365.25/12)</f>
        <v>169.7872537931828</v>
      </c>
    </row>
    <row r="88" spans="2:20">
      <c r="B88" s="18" t="s">
        <v>603</v>
      </c>
      <c r="C88" s="54">
        <f t="shared" si="171"/>
        <v>124.04036099999999</v>
      </c>
      <c r="D88" s="54">
        <f t="shared" si="172"/>
        <v>72.882472000000007</v>
      </c>
      <c r="E88" s="54">
        <f t="shared" si="175"/>
        <v>114.43437349865904</v>
      </c>
      <c r="F88" s="54">
        <f t="shared" si="176"/>
        <v>69.712852225200791</v>
      </c>
      <c r="G88" s="54">
        <f t="shared" si="177"/>
        <v>115.82246191542686</v>
      </c>
      <c r="H88" s="54">
        <f t="shared" si="178"/>
        <v>70.528452198894882</v>
      </c>
      <c r="I88" s="54">
        <f t="shared" si="179"/>
        <v>117.50132277458982</v>
      </c>
      <c r="J88" s="54">
        <f t="shared" si="180"/>
        <v>71.514901517273117</v>
      </c>
      <c r="L88" s="18" t="s">
        <v>603</v>
      </c>
      <c r="M88" s="54">
        <f t="shared" si="173"/>
        <v>139.457807</v>
      </c>
      <c r="N88" s="54">
        <f t="shared" si="174"/>
        <v>187.11173099999999</v>
      </c>
      <c r="O88" s="54">
        <f t="shared" si="181"/>
        <v>127.91209223860535</v>
      </c>
      <c r="P88" s="54">
        <f t="shared" ref="P88:P95" si="186">D$28*N24+($D$30*365.25/12)</f>
        <v>169.57049561662126</v>
      </c>
      <c r="Q88" s="54">
        <f t="shared" si="182"/>
        <v>129.47271141903923</v>
      </c>
      <c r="R88" s="54">
        <f t="shared" si="183"/>
        <v>171.66439170293205</v>
      </c>
      <c r="S88" s="54">
        <f t="shared" si="184"/>
        <v>131.3602442493976</v>
      </c>
      <c r="T88" s="54">
        <f t="shared" si="185"/>
        <v>174.19691062607617</v>
      </c>
    </row>
    <row r="89" spans="2:20">
      <c r="B89" s="18" t="s">
        <v>604</v>
      </c>
      <c r="C89" s="54">
        <f t="shared" si="171"/>
        <v>105.11895</v>
      </c>
      <c r="D89" s="54">
        <f t="shared" si="172"/>
        <v>71.480885999999998</v>
      </c>
      <c r="E89" s="54">
        <f t="shared" si="175"/>
        <v>97.89353686327037</v>
      </c>
      <c r="F89" s="54">
        <f t="shared" si="176"/>
        <v>68.48760506702385</v>
      </c>
      <c r="G89" s="54">
        <f t="shared" si="177"/>
        <v>99.069882979175304</v>
      </c>
      <c r="H89" s="54">
        <f t="shared" si="178"/>
        <v>69.287520425839205</v>
      </c>
      <c r="I89" s="54">
        <f t="shared" si="179"/>
        <v>100.49264641914392</v>
      </c>
      <c r="J89" s="54">
        <f t="shared" si="180"/>
        <v>70.254999565017854</v>
      </c>
      <c r="L89" s="18" t="s">
        <v>604</v>
      </c>
      <c r="M89" s="54">
        <f t="shared" si="173"/>
        <v>124.74115400000001</v>
      </c>
      <c r="N89" s="54">
        <f t="shared" si="174"/>
        <v>166.087941</v>
      </c>
      <c r="O89" s="54">
        <f t="shared" si="181"/>
        <v>115.04699707774752</v>
      </c>
      <c r="P89" s="54">
        <f t="shared" si="186"/>
        <v>151.19178824396718</v>
      </c>
      <c r="Q89" s="54">
        <f t="shared" si="182"/>
        <v>116.4429278019547</v>
      </c>
      <c r="R89" s="54">
        <f t="shared" si="183"/>
        <v>153.05041510709697</v>
      </c>
      <c r="S89" s="54">
        <f t="shared" si="184"/>
        <v>118.13127375071745</v>
      </c>
      <c r="T89" s="54">
        <f t="shared" si="185"/>
        <v>155.29838134224738</v>
      </c>
    </row>
    <row r="90" spans="2:20">
      <c r="B90" s="18" t="s">
        <v>606</v>
      </c>
      <c r="C90" s="54">
        <f t="shared" si="171"/>
        <v>45.551544999999997</v>
      </c>
      <c r="D90" s="54">
        <f t="shared" si="172"/>
        <v>52.559474999999999</v>
      </c>
      <c r="E90" s="54">
        <f t="shared" si="175"/>
        <v>45.820532640750493</v>
      </c>
      <c r="F90" s="54">
        <f t="shared" si="176"/>
        <v>51.946768431635185</v>
      </c>
      <c r="G90" s="54">
        <f t="shared" si="177"/>
        <v>46.330282624309298</v>
      </c>
      <c r="H90" s="54">
        <f t="shared" si="178"/>
        <v>52.534941489587652</v>
      </c>
      <c r="I90" s="54">
        <f t="shared" si="179"/>
        <v>46.9468134482957</v>
      </c>
      <c r="J90" s="54">
        <f t="shared" si="180"/>
        <v>53.246323209571962</v>
      </c>
      <c r="L90" s="18" t="s">
        <v>606</v>
      </c>
      <c r="M90" s="54">
        <f t="shared" si="173"/>
        <v>49.756302999999996</v>
      </c>
      <c r="N90" s="54">
        <f t="shared" si="174"/>
        <v>90.402297000000004</v>
      </c>
      <c r="O90" s="54">
        <f t="shared" si="181"/>
        <v>49.496274115281309</v>
      </c>
      <c r="P90" s="54">
        <f t="shared" si="186"/>
        <v>85.028441702412522</v>
      </c>
      <c r="Q90" s="54">
        <f t="shared" si="182"/>
        <v>50.05307794347631</v>
      </c>
      <c r="R90" s="54">
        <f t="shared" si="183"/>
        <v>86.040099362090771</v>
      </c>
      <c r="S90" s="54">
        <f t="shared" si="184"/>
        <v>50.726519305061451</v>
      </c>
      <c r="T90" s="54">
        <f t="shared" si="185"/>
        <v>87.263675920463768</v>
      </c>
    </row>
    <row r="91" spans="2:20">
      <c r="B91" s="18" t="s">
        <v>607</v>
      </c>
      <c r="C91" s="54">
        <f t="shared" si="171"/>
        <v>49.756302999999996</v>
      </c>
      <c r="D91" s="54">
        <f t="shared" si="172"/>
        <v>56.764232999999997</v>
      </c>
      <c r="E91" s="54">
        <f t="shared" si="175"/>
        <v>49.496274115281309</v>
      </c>
      <c r="F91" s="54">
        <f t="shared" si="176"/>
        <v>55.622509906166002</v>
      </c>
      <c r="G91" s="54">
        <f t="shared" si="177"/>
        <v>50.05307794347631</v>
      </c>
      <c r="H91" s="54">
        <f t="shared" si="178"/>
        <v>56.257736808754665</v>
      </c>
      <c r="I91" s="54">
        <f t="shared" si="179"/>
        <v>50.726519305061451</v>
      </c>
      <c r="J91" s="54">
        <f t="shared" si="180"/>
        <v>57.026029066337713</v>
      </c>
      <c r="L91" s="18" t="s">
        <v>607</v>
      </c>
      <c r="M91" s="54">
        <f t="shared" si="173"/>
        <v>72.882472000000007</v>
      </c>
      <c r="N91" s="54">
        <f t="shared" si="174"/>
        <v>133.85146300000002</v>
      </c>
      <c r="O91" s="54">
        <f t="shared" si="181"/>
        <v>69.712852225200791</v>
      </c>
      <c r="P91" s="54">
        <f t="shared" si="186"/>
        <v>123.01110360589762</v>
      </c>
      <c r="Q91" s="54">
        <f t="shared" si="182"/>
        <v>70.528452198894882</v>
      </c>
      <c r="R91" s="54">
        <f t="shared" si="183"/>
        <v>124.50898432681656</v>
      </c>
      <c r="S91" s="54">
        <f t="shared" si="184"/>
        <v>71.514901517273117</v>
      </c>
      <c r="T91" s="54">
        <f t="shared" si="185"/>
        <v>126.3206364403766</v>
      </c>
    </row>
    <row r="92" spans="2:20">
      <c r="B92" s="18" t="s">
        <v>608</v>
      </c>
      <c r="C92" s="54">
        <f t="shared" si="171"/>
        <v>134.552256</v>
      </c>
      <c r="D92" s="54">
        <f t="shared" si="172"/>
        <v>68.677714000000009</v>
      </c>
      <c r="E92" s="54">
        <f t="shared" si="175"/>
        <v>123.62372718498608</v>
      </c>
      <c r="F92" s="54">
        <f t="shared" si="176"/>
        <v>66.037110750669981</v>
      </c>
      <c r="G92" s="54">
        <f t="shared" si="177"/>
        <v>125.12945021334438</v>
      </c>
      <c r="H92" s="54">
        <f t="shared" si="178"/>
        <v>66.805656879727877</v>
      </c>
      <c r="I92" s="54">
        <f t="shared" si="179"/>
        <v>126.95058741650422</v>
      </c>
      <c r="J92" s="54">
        <f t="shared" si="180"/>
        <v>67.735195660507372</v>
      </c>
      <c r="L92" s="18" t="s">
        <v>608</v>
      </c>
      <c r="M92" s="54">
        <f t="shared" si="173"/>
        <v>156.977632</v>
      </c>
      <c r="N92" s="54">
        <f t="shared" si="174"/>
        <v>133.15066999999999</v>
      </c>
      <c r="O92" s="54">
        <f t="shared" si="181"/>
        <v>143.22768171581708</v>
      </c>
      <c r="P92" s="54">
        <f t="shared" si="186"/>
        <v>122.39848002680914</v>
      </c>
      <c r="Q92" s="54">
        <f t="shared" si="182"/>
        <v>144.9843585822351</v>
      </c>
      <c r="R92" s="54">
        <f t="shared" si="183"/>
        <v>123.88851844028872</v>
      </c>
      <c r="S92" s="54">
        <f t="shared" si="184"/>
        <v>147.10901865258825</v>
      </c>
      <c r="T92" s="54">
        <f t="shared" si="185"/>
        <v>125.69068546424897</v>
      </c>
    </row>
    <row r="93" spans="2:20">
      <c r="B93" s="18" t="s">
        <v>118</v>
      </c>
      <c r="C93" s="54">
        <f t="shared" si="171"/>
        <v>68.677714000000009</v>
      </c>
      <c r="D93" s="54">
        <f t="shared" si="172"/>
        <v>67.97692099999999</v>
      </c>
      <c r="E93" s="54">
        <f t="shared" si="175"/>
        <v>66.037110750669981</v>
      </c>
      <c r="F93" s="54">
        <f t="shared" si="176"/>
        <v>65.424487171581504</v>
      </c>
      <c r="G93" s="54">
        <f t="shared" si="177"/>
        <v>66.805656879727877</v>
      </c>
      <c r="H93" s="54">
        <f t="shared" si="178"/>
        <v>66.185190993200024</v>
      </c>
      <c r="I93" s="54">
        <f t="shared" si="179"/>
        <v>67.735195660507372</v>
      </c>
      <c r="J93" s="54">
        <f t="shared" si="180"/>
        <v>67.105244684379727</v>
      </c>
      <c r="L93" s="18" t="s">
        <v>118</v>
      </c>
      <c r="M93" s="54">
        <f t="shared" si="173"/>
        <v>59.567405000000001</v>
      </c>
      <c r="N93" s="54">
        <f t="shared" si="174"/>
        <v>102.31577799999999</v>
      </c>
      <c r="O93" s="54">
        <f t="shared" si="181"/>
        <v>58.073004222519877</v>
      </c>
      <c r="P93" s="54">
        <f t="shared" si="186"/>
        <v>95.443042546916502</v>
      </c>
      <c r="Q93" s="54">
        <f t="shared" si="182"/>
        <v>58.739600354866006</v>
      </c>
      <c r="R93" s="54">
        <f t="shared" si="183"/>
        <v>96.588019433063963</v>
      </c>
      <c r="S93" s="54">
        <f t="shared" si="184"/>
        <v>59.545832970848224</v>
      </c>
      <c r="T93" s="54">
        <f t="shared" si="185"/>
        <v>97.972842514633413</v>
      </c>
    </row>
    <row r="94" spans="2:20">
      <c r="B94" s="18" t="s">
        <v>609</v>
      </c>
      <c r="C94" s="54">
        <f t="shared" si="171"/>
        <v>73.583264999999997</v>
      </c>
      <c r="D94" s="54">
        <f t="shared" si="172"/>
        <v>77.788022999999995</v>
      </c>
      <c r="E94" s="54">
        <f t="shared" si="175"/>
        <v>70.325475804289255</v>
      </c>
      <c r="F94" s="54">
        <f t="shared" si="176"/>
        <v>74.001217278820079</v>
      </c>
      <c r="G94" s="54">
        <f t="shared" si="177"/>
        <v>71.148918085422707</v>
      </c>
      <c r="H94" s="54">
        <f t="shared" si="178"/>
        <v>74.871713404589727</v>
      </c>
      <c r="I94" s="54">
        <f t="shared" si="179"/>
        <v>72.144852493400748</v>
      </c>
      <c r="J94" s="54">
        <f t="shared" si="180"/>
        <v>75.924558350166492</v>
      </c>
      <c r="L94" s="18" t="s">
        <v>609</v>
      </c>
      <c r="M94" s="54">
        <f t="shared" si="173"/>
        <v>84.095160000000007</v>
      </c>
      <c r="N94" s="54">
        <f t="shared" si="174"/>
        <v>168.19032000000001</v>
      </c>
      <c r="O94" s="54">
        <f t="shared" si="181"/>
        <v>79.514829490616293</v>
      </c>
      <c r="P94" s="54">
        <f t="shared" si="186"/>
        <v>153.02965898123259</v>
      </c>
      <c r="Q94" s="54">
        <f t="shared" si="182"/>
        <v>80.455906383340249</v>
      </c>
      <c r="R94" s="54">
        <f t="shared" si="183"/>
        <v>154.9118127666805</v>
      </c>
      <c r="S94" s="54">
        <f t="shared" si="184"/>
        <v>81.59411713531513</v>
      </c>
      <c r="T94" s="54">
        <f t="shared" si="185"/>
        <v>157.18823427063026</v>
      </c>
    </row>
    <row r="95" spans="2:20">
      <c r="B95" s="18" t="s">
        <v>610</v>
      </c>
      <c r="C95" s="54">
        <f t="shared" si="171"/>
        <v>41.346787000000006</v>
      </c>
      <c r="D95" s="54">
        <f t="shared" si="172"/>
        <v>54.661853999999998</v>
      </c>
      <c r="E95" s="54">
        <f t="shared" si="175"/>
        <v>42.144791166219683</v>
      </c>
      <c r="F95" s="54">
        <f t="shared" si="176"/>
        <v>53.78463916890059</v>
      </c>
      <c r="G95" s="54">
        <f t="shared" si="177"/>
        <v>42.607487305142286</v>
      </c>
      <c r="H95" s="54">
        <f t="shared" si="178"/>
        <v>54.396339149171155</v>
      </c>
      <c r="I95" s="54">
        <f t="shared" si="179"/>
        <v>43.167107591529941</v>
      </c>
      <c r="J95" s="54">
        <f t="shared" si="180"/>
        <v>55.136176137954834</v>
      </c>
      <c r="L95" s="18" t="s">
        <v>610</v>
      </c>
      <c r="M95" s="54">
        <f t="shared" si="173"/>
        <v>46.953130999999999</v>
      </c>
      <c r="N95" s="54">
        <f t="shared" si="174"/>
        <v>110.024501</v>
      </c>
      <c r="O95" s="54">
        <f t="shared" si="181"/>
        <v>47.045779798927434</v>
      </c>
      <c r="P95" s="54">
        <f t="shared" si="186"/>
        <v>102.18190191688966</v>
      </c>
      <c r="Q95" s="54">
        <f t="shared" si="182"/>
        <v>47.571214397364969</v>
      </c>
      <c r="R95" s="54">
        <f t="shared" si="183"/>
        <v>103.41314418487015</v>
      </c>
      <c r="S95" s="54">
        <f t="shared" si="184"/>
        <v>48.206715400550955</v>
      </c>
      <c r="T95" s="54">
        <f t="shared" si="185"/>
        <v>104.9023032520373</v>
      </c>
    </row>
    <row r="96" spans="2:20">
      <c r="B96" s="18" t="s">
        <v>617</v>
      </c>
      <c r="C96" s="68">
        <f>SUMPRODUCT(C86:C95,$V$22:$V$31)</f>
        <v>116.79570538640571</v>
      </c>
      <c r="D96" s="68">
        <f t="shared" ref="D96:J96" si="187">SUMPRODUCT(D86:D95,$V$22:$V$31)</f>
        <v>71.005601536762569</v>
      </c>
      <c r="E96" s="68">
        <f t="shared" si="187"/>
        <v>108.10119543999764</v>
      </c>
      <c r="F96" s="68">
        <f t="shared" si="187"/>
        <v>68.072117941790509</v>
      </c>
      <c r="G96" s="68">
        <f t="shared" si="187"/>
        <v>109.4082116762298</v>
      </c>
      <c r="H96" s="68">
        <f t="shared" si="187"/>
        <v>68.866714573275729</v>
      </c>
      <c r="I96" s="68">
        <f t="shared" si="187"/>
        <v>110.9890176067411</v>
      </c>
      <c r="J96" s="68">
        <f t="shared" si="187"/>
        <v>69.827760834672802</v>
      </c>
      <c r="L96" s="18" t="s">
        <v>617</v>
      </c>
      <c r="M96" s="68">
        <f>SUMPRODUCT(M86:M95,$AD$22:$AD$31)</f>
        <v>125.59169542664314</v>
      </c>
      <c r="N96" s="68">
        <f t="shared" ref="N96:T96" si="188">SUMPRODUCT(N86:N95,$AD$22:$AD$31)</f>
        <v>167.59793771693185</v>
      </c>
      <c r="O96" s="68">
        <f t="shared" si="188"/>
        <v>115.79052866689456</v>
      </c>
      <c r="P96" s="68">
        <f t="shared" si="188"/>
        <v>152.51180655627718</v>
      </c>
      <c r="Q96" s="68">
        <f t="shared" si="188"/>
        <v>117.19597747612494</v>
      </c>
      <c r="R96" s="68">
        <f t="shared" si="188"/>
        <v>154.38733121731107</v>
      </c>
      <c r="S96" s="68">
        <f t="shared" si="188"/>
        <v>118.89583532874525</v>
      </c>
      <c r="T96" s="68">
        <f t="shared" si="188"/>
        <v>156.65573494849167</v>
      </c>
    </row>
    <row r="99" spans="2:25">
      <c r="B99" s="450">
        <f>Summary!I$4</f>
        <v>500</v>
      </c>
      <c r="C99" s="524" t="s">
        <v>631</v>
      </c>
      <c r="D99" s="524"/>
      <c r="E99" s="524"/>
      <c r="F99" s="524"/>
      <c r="G99" s="524"/>
      <c r="H99" s="524"/>
      <c r="I99" s="524"/>
      <c r="J99" s="524"/>
      <c r="L99" s="450">
        <f>Summary!I$4</f>
        <v>500</v>
      </c>
      <c r="M99" s="524" t="s">
        <v>632</v>
      </c>
      <c r="N99" s="524"/>
      <c r="O99" s="524"/>
      <c r="P99" s="524"/>
      <c r="Q99" s="524"/>
      <c r="R99" s="524"/>
      <c r="S99" s="524"/>
      <c r="T99" s="524"/>
    </row>
    <row r="100" spans="2:25">
      <c r="B100" s="391"/>
      <c r="C100" s="525">
        <f>$C$27</f>
        <v>46023</v>
      </c>
      <c r="D100" s="526"/>
      <c r="E100" s="525">
        <f>$D$27</f>
        <v>46082</v>
      </c>
      <c r="F100" s="526"/>
      <c r="G100" s="527" t="str">
        <f>$E$21</f>
        <v>Authorized</v>
      </c>
      <c r="H100" s="527"/>
      <c r="I100" s="528" t="str">
        <f>$F$21</f>
        <v>w/Pending</v>
      </c>
      <c r="J100" s="527"/>
      <c r="L100" s="391"/>
      <c r="M100" s="525">
        <f>$C$27</f>
        <v>46023</v>
      </c>
      <c r="N100" s="526"/>
      <c r="O100" s="525">
        <f>$D$27</f>
        <v>46082</v>
      </c>
      <c r="P100" s="526"/>
      <c r="Q100" s="527" t="str">
        <f>$E$21</f>
        <v>Authorized</v>
      </c>
      <c r="R100" s="527"/>
      <c r="S100" s="528" t="str">
        <f>$F$21</f>
        <v>w/Pending</v>
      </c>
      <c r="T100" s="527"/>
    </row>
    <row r="101" spans="2:25">
      <c r="B101" s="391"/>
      <c r="C101" s="54" t="s">
        <v>594</v>
      </c>
      <c r="D101" s="54" t="s">
        <v>595</v>
      </c>
      <c r="E101" s="54" t="s">
        <v>594</v>
      </c>
      <c r="F101" s="54" t="s">
        <v>595</v>
      </c>
      <c r="G101" s="54" t="s">
        <v>594</v>
      </c>
      <c r="H101" s="54" t="s">
        <v>595</v>
      </c>
      <c r="I101" s="54" t="s">
        <v>594</v>
      </c>
      <c r="J101" s="54" t="s">
        <v>595</v>
      </c>
      <c r="L101" s="391"/>
      <c r="M101" s="54" t="s">
        <v>594</v>
      </c>
      <c r="N101" s="54" t="s">
        <v>595</v>
      </c>
      <c r="O101" s="54" t="s">
        <v>594</v>
      </c>
      <c r="P101" s="54" t="s">
        <v>595</v>
      </c>
      <c r="Q101" s="54" t="s">
        <v>594</v>
      </c>
      <c r="R101" s="54" t="s">
        <v>595</v>
      </c>
      <c r="S101" s="54" t="s">
        <v>594</v>
      </c>
      <c r="T101" s="54" t="s">
        <v>595</v>
      </c>
    </row>
    <row r="102" spans="2:25">
      <c r="B102" s="18" t="s">
        <v>600</v>
      </c>
      <c r="C102" s="54">
        <f t="shared" ref="C102:D111" si="189">$C$22*MIN(I22,$B$99)+IF($B$99-I22&gt;0,$C$23*($B$99-I22))</f>
        <v>197.717708125</v>
      </c>
      <c r="D102" s="54">
        <f t="shared" si="189"/>
        <v>204.99683625</v>
      </c>
      <c r="E102" s="54">
        <f>$D$22*MIN(I22,$B$99)+IF($B$99-I22&gt;0,$D$23*($B$99-I22))+($D$24*365.25/12)</f>
        <v>194.20897545424748</v>
      </c>
      <c r="F102" s="54">
        <f>$D$22*MIN(J22,$B$99)+IF($B$99-J22&gt;0,$D$23*($B$99-J22))+($D$24*365.25/12)</f>
        <v>200.40323307543355</v>
      </c>
      <c r="G102" s="54">
        <f>$E$22*MIN(I22,$B$99)+IF($B$99-I22&gt;0,$E$23*($B$99-I22))+($E$24*365.25/12)</f>
        <v>196.38593176781316</v>
      </c>
      <c r="H102" s="54">
        <f>$E$22*MIN(J22,$B$99)+IF($B$99-J22&gt;0,$E$23*($B$99-J22))+($E$24*365.25/12)</f>
        <v>202.65948322338974</v>
      </c>
      <c r="I102" s="54">
        <f>$F$22*MIN(I22,$B$99)+IF($B$99-I22&gt;0,$F$23*($B$99-I22))+($F$24*365.25/12)</f>
        <v>199.01891011616891</v>
      </c>
      <c r="J102" s="54">
        <f>$F$22*MIN(J22,$B$99)+IF($B$99-J22&gt;0,$F$23*($B$99-J22))+($F$24*365.25/12)</f>
        <v>205.388365631835</v>
      </c>
      <c r="L102" s="18" t="s">
        <v>600</v>
      </c>
      <c r="M102" s="54">
        <f>$C$22*MIN(S22,$B$99)+IF($B$99-S22&gt;0,$C$23*($B$99-S22))</f>
        <v>189.19499999999999</v>
      </c>
      <c r="N102" s="54">
        <f>$C$22*MIN(T22,$B$99)+IF($B$99-T22&gt;0,$C$23*($B$99-T22))</f>
        <v>189.19499999999999</v>
      </c>
      <c r="O102" s="54">
        <f>$D$22*MIN(S22,$B$99)+IF($B$99-S22&gt;0,$D$23*($B$99-S22))+($D$24*365.25/12)</f>
        <v>186.95647915938036</v>
      </c>
      <c r="P102" s="54">
        <f>$D$22*MIN(T22,$B$99)+IF($B$99-T22&gt;0,$D$23*($B$99-T22))+($D$24*365.25/12)</f>
        <v>186.95647915938036</v>
      </c>
      <c r="Q102" s="54">
        <f>$E$22*MIN(S22,$B$99)+IF($B$99-S22&gt;0,$E$23*($B$99-S22))+($E$24*365.25/12)</f>
        <v>189.04059493009288</v>
      </c>
      <c r="R102" s="54">
        <f>$E$22*MIN(T22,$B$99)+IF($B$99-T22&gt;0,$E$23*($B$99-T22))+($E$24*365.25/12)</f>
        <v>189.04059493009288</v>
      </c>
      <c r="S102" s="54">
        <f>$F$22*MIN(S22,$B$99)+IF($B$99-S22&gt;0,$F$23*($B$99-S22))+($F$24*365.25/12)</f>
        <v>191.56128478755946</v>
      </c>
      <c r="T102" s="54">
        <f>$F$22*MIN(T22,$B$99)+IF($B$99-T22&gt;0,$F$23*($B$99-T22))+($F$24*365.25/12)</f>
        <v>191.56128478755946</v>
      </c>
      <c r="V102" s="54"/>
      <c r="W102" s="54"/>
      <c r="X102" s="87"/>
      <c r="Y102" s="87"/>
    </row>
    <row r="103" spans="2:25">
      <c r="B103" s="18" t="s">
        <v>602</v>
      </c>
      <c r="C103" s="54">
        <f t="shared" si="189"/>
        <v>208.49081775000002</v>
      </c>
      <c r="D103" s="54">
        <f t="shared" si="189"/>
        <v>204.99683625</v>
      </c>
      <c r="E103" s="54">
        <f t="shared" ref="E103:F103" si="190">$D$22*MIN(I23,$B$99)+IF($B$99-I23&gt;0,$D$23*($B$99-I23))+($D$24*365.25/12)</f>
        <v>203.37647673360286</v>
      </c>
      <c r="F103" s="54">
        <f t="shared" si="190"/>
        <v>200.40323307543355</v>
      </c>
      <c r="G103" s="54">
        <f t="shared" ref="G103:H103" si="191">$E$22*MIN(I23,$B$99)+IF($B$99-I23&gt;0,$E$23*($B$99-I23))+($E$24*365.25/12)</f>
        <v>205.67078792206649</v>
      </c>
      <c r="H103" s="54">
        <f t="shared" si="191"/>
        <v>202.65948322338974</v>
      </c>
      <c r="I103" s="54">
        <f t="shared" ref="I103:J103" si="192">$F$22*MIN(I23,$B$99)+IF($B$99-I23&gt;0,$F$23*($B$99-I23))+($F$24*365.25/12)</f>
        <v>208.44570427935471</v>
      </c>
      <c r="J103" s="54">
        <f t="shared" si="192"/>
        <v>205.388365631835</v>
      </c>
      <c r="L103" s="18" t="s">
        <v>602</v>
      </c>
      <c r="M103" s="54">
        <f t="shared" ref="M103:N111" si="193">$C$22*MIN(S23,$B$99)+IF($B$99-S23&gt;0,$C$23*($B$99-S23))</f>
        <v>206.05507500000002</v>
      </c>
      <c r="N103" s="54">
        <f t="shared" si="193"/>
        <v>194.8508975</v>
      </c>
      <c r="O103" s="54">
        <f t="shared" ref="O103:P103" si="194">$D$22*MIN(S23,$B$99)+IF($B$99-S23&gt;0,$D$23*($B$99-S23))+($D$24*365.25/12)</f>
        <v>201.30375348524868</v>
      </c>
      <c r="P103" s="54">
        <f t="shared" si="194"/>
        <v>191.76943005025674</v>
      </c>
      <c r="Q103" s="54">
        <f t="shared" ref="Q103:R103" si="195">$E$22*MIN(S23,$B$99)+IF($B$99-S23&gt;0,$E$23*($B$99-S23))+($E$24*365.25/12)</f>
        <v>203.57153136107931</v>
      </c>
      <c r="R103" s="54">
        <f t="shared" si="195"/>
        <v>193.91515729311172</v>
      </c>
      <c r="S103" s="54">
        <f t="shared" ref="S103:T103" si="196">$F$22*MIN(S23,$B$99)+IF($B$99-S23&gt;0,$F$23*($B$99-S23))+($F$24*365.25/12)</f>
        <v>206.31435628996468</v>
      </c>
      <c r="T103" s="54">
        <f t="shared" si="196"/>
        <v>196.51036480219611</v>
      </c>
      <c r="V103" s="54"/>
      <c r="W103" s="54"/>
      <c r="X103" s="87"/>
      <c r="Y103" s="87"/>
    </row>
    <row r="104" spans="2:25">
      <c r="B104" s="18" t="s">
        <v>603</v>
      </c>
      <c r="C104" s="54">
        <f t="shared" si="189"/>
        <v>189.19499999999999</v>
      </c>
      <c r="D104" s="54">
        <f t="shared" si="189"/>
        <v>206.74382700000001</v>
      </c>
      <c r="E104" s="54">
        <f t="shared" ref="E104:F104" si="197">$D$22*MIN(I24,$B$99)+IF($B$99-I24&gt;0,$D$23*($B$99-I24))+($D$24*365.25/12)</f>
        <v>186.95647915938036</v>
      </c>
      <c r="F104" s="54">
        <f t="shared" si="197"/>
        <v>201.88985490451822</v>
      </c>
      <c r="G104" s="54">
        <f t="shared" ref="G104:H104" si="198">$E$22*MIN(I24,$B$99)+IF($B$99-I24&gt;0,$E$23*($B$99-I24))+($E$24*365.25/12)</f>
        <v>189.04059493009288</v>
      </c>
      <c r="H104" s="54">
        <f t="shared" si="198"/>
        <v>204.16513557272813</v>
      </c>
      <c r="I104" s="54">
        <f t="shared" ref="I104:J104" si="199">$F$22*MIN(I24,$B$99)+IF($B$99-I24&gt;0,$F$23*($B$99-I24))+($F$24*365.25/12)</f>
        <v>191.56128478755946</v>
      </c>
      <c r="J104" s="54">
        <f t="shared" si="199"/>
        <v>206.91703495559486</v>
      </c>
      <c r="L104" s="18" t="s">
        <v>603</v>
      </c>
      <c r="M104" s="54">
        <f t="shared" si="193"/>
        <v>189.19499999999999</v>
      </c>
      <c r="N104" s="54">
        <f t="shared" si="193"/>
        <v>194.61174750000001</v>
      </c>
      <c r="O104" s="54">
        <f t="shared" ref="O104:P104" si="200">$D$22*MIN(S24,$B$99)+IF($B$99-S24&gt;0,$D$23*($B$99-S24))+($D$24*365.25/12)</f>
        <v>186.95647915938036</v>
      </c>
      <c r="P104" s="54">
        <f t="shared" si="200"/>
        <v>191.56592261301037</v>
      </c>
      <c r="Q104" s="54">
        <f t="shared" ref="Q104:R104" si="201">$E$22*MIN(S24,$B$99)+IF($B$99-S24&gt;0,$E$23*($B$99-S24))+($E$24*365.25/12)</f>
        <v>189.04059493009288</v>
      </c>
      <c r="R104" s="54">
        <f t="shared" si="201"/>
        <v>193.70904471962257</v>
      </c>
      <c r="S104" s="54">
        <f t="shared" ref="S104:T104" si="202">$F$22*MIN(S24,$B$99)+IF($B$99-S24&gt;0,$F$23*($B$99-S24))+($F$24*365.25/12)</f>
        <v>191.56128478755946</v>
      </c>
      <c r="T104" s="54">
        <f t="shared" si="202"/>
        <v>196.30110137663007</v>
      </c>
      <c r="V104" s="54"/>
      <c r="W104" s="54"/>
      <c r="X104" s="87"/>
      <c r="Y104" s="87"/>
    </row>
    <row r="105" spans="2:25">
      <c r="B105" s="18" t="s">
        <v>604</v>
      </c>
      <c r="C105" s="54">
        <f t="shared" si="189"/>
        <v>193.35023125000001</v>
      </c>
      <c r="D105" s="54">
        <f t="shared" si="189"/>
        <v>207.32615724999999</v>
      </c>
      <c r="E105" s="54">
        <f t="shared" ref="E105:F105" si="203">$D$22*MIN(I25,$B$99)+IF($B$99-I25&gt;0,$D$23*($B$99-I25))+($D$24*365.25/12)</f>
        <v>190.49242088153585</v>
      </c>
      <c r="F105" s="54">
        <f t="shared" si="203"/>
        <v>202.38539551421309</v>
      </c>
      <c r="G105" s="54">
        <f t="shared" ref="G105:H105" si="204">$E$22*MIN(I25,$B$99)+IF($B$99-I25&gt;0,$E$23*($B$99-I25))+($E$24*365.25/12)</f>
        <v>192.62180089446719</v>
      </c>
      <c r="H105" s="54">
        <f t="shared" si="204"/>
        <v>204.66701968917425</v>
      </c>
      <c r="I105" s="54">
        <f t="shared" ref="I105:J105" si="205">$F$22*MIN(I25,$B$99)+IF($B$99-I25&gt;0,$F$23*($B$99-I25))+($F$24*365.25/12)</f>
        <v>195.19723680676927</v>
      </c>
      <c r="J105" s="54">
        <f t="shared" si="205"/>
        <v>207.42659139684812</v>
      </c>
      <c r="L105" s="18" t="s">
        <v>604</v>
      </c>
      <c r="M105" s="54">
        <f t="shared" si="193"/>
        <v>189.19499999999999</v>
      </c>
      <c r="N105" s="54">
        <f t="shared" si="193"/>
        <v>195.25745250000003</v>
      </c>
      <c r="O105" s="54">
        <f t="shared" ref="O105:P105" si="206">$D$22*MIN(S25,$B$99)+IF($B$99-S25&gt;0,$D$23*($B$99-S25))+($D$24*365.25/12)</f>
        <v>186.95647915938036</v>
      </c>
      <c r="P105" s="54">
        <f t="shared" si="206"/>
        <v>192.11539269357556</v>
      </c>
      <c r="Q105" s="54">
        <f t="shared" ref="Q105:R105" si="207">$E$22*MIN(S25,$B$99)+IF($B$99-S25&gt;0,$E$23*($B$99-S25))+($E$24*365.25/12)</f>
        <v>189.04059493009288</v>
      </c>
      <c r="R105" s="54">
        <f t="shared" si="207"/>
        <v>194.26554866804332</v>
      </c>
      <c r="S105" s="54">
        <f t="shared" ref="S105:T105" si="208">$F$22*MIN(S25,$B$99)+IF($B$99-S25&gt;0,$F$23*($B$99-S25))+($F$24*365.25/12)</f>
        <v>191.56128478755946</v>
      </c>
      <c r="T105" s="54">
        <f t="shared" si="208"/>
        <v>196.86611262565836</v>
      </c>
      <c r="V105" s="54"/>
      <c r="W105" s="54"/>
      <c r="X105" s="87"/>
      <c r="Y105" s="87"/>
    </row>
    <row r="106" spans="2:25">
      <c r="B106" s="18" t="s">
        <v>606</v>
      </c>
      <c r="C106" s="54">
        <f t="shared" si="189"/>
        <v>218.09926687500001</v>
      </c>
      <c r="D106" s="54">
        <f t="shared" si="189"/>
        <v>215.18761562500003</v>
      </c>
      <c r="E106" s="54">
        <f t="shared" ref="E106:F106" si="209">$D$22*MIN(I26,$B$99)+IF($B$99-I26&gt;0,$D$23*($B$99-I26))+($D$24*365.25/12)</f>
        <v>211.55289679356846</v>
      </c>
      <c r="F106" s="54">
        <f t="shared" si="209"/>
        <v>209.07519374509403</v>
      </c>
      <c r="G106" s="54">
        <f t="shared" ref="G106:H106" si="210">$E$22*MIN(I26,$B$99)+IF($B$99-I26&gt;0,$E$23*($B$99-I26))+($E$24*365.25/12)</f>
        <v>213.95187584342762</v>
      </c>
      <c r="H106" s="54">
        <f t="shared" si="210"/>
        <v>211.44245526119695</v>
      </c>
      <c r="I106" s="54">
        <f t="shared" ref="I106:J106" si="211">$F$22*MIN(I26,$B$99)+IF($B$99-I26&gt;0,$F$23*($B$99-I26))+($F$24*365.25/12)</f>
        <v>216.85338556003396</v>
      </c>
      <c r="J106" s="54">
        <f t="shared" si="211"/>
        <v>214.30560335376751</v>
      </c>
      <c r="L106" s="18" t="s">
        <v>606</v>
      </c>
      <c r="M106" s="54">
        <f t="shared" si="193"/>
        <v>211.34029000000001</v>
      </c>
      <c r="N106" s="54">
        <f t="shared" si="193"/>
        <v>207.60955000000001</v>
      </c>
      <c r="O106" s="54">
        <f t="shared" ref="O106:P106" si="212">$D$22*MIN(S26,$B$99)+IF($B$99-S26&gt;0,$D$23*($B$99-S26))+($D$24*365.25/12)</f>
        <v>205.80126784839322</v>
      </c>
      <c r="P106" s="54">
        <f t="shared" si="212"/>
        <v>202.62655182735003</v>
      </c>
      <c r="Q106" s="54">
        <f t="shared" ref="Q106:R106" si="213">$E$22*MIN(S26,$B$99)+IF($B$99-S26&gt;0,$E$23*($B$99-S26))+($E$24*365.25/12)</f>
        <v>208.12661923518996</v>
      </c>
      <c r="R106" s="54">
        <f t="shared" si="213"/>
        <v>204.91126308875891</v>
      </c>
      <c r="S106" s="54">
        <f t="shared" ref="S106:T106" si="214">$F$22*MIN(S26,$B$99)+IF($B$99-S26&gt;0,$F$23*($B$99-S26))+($F$24*365.25/12)</f>
        <v>210.93907799497399</v>
      </c>
      <c r="T106" s="54">
        <f t="shared" si="214"/>
        <v>207.6745685561439</v>
      </c>
      <c r="V106" s="54"/>
      <c r="W106" s="54"/>
      <c r="X106" s="87"/>
      <c r="Y106" s="87"/>
    </row>
    <row r="107" spans="2:25">
      <c r="B107" s="18" t="s">
        <v>607</v>
      </c>
      <c r="C107" s="54">
        <f t="shared" si="189"/>
        <v>216.352276125</v>
      </c>
      <c r="D107" s="54">
        <f t="shared" si="189"/>
        <v>213.44062487500003</v>
      </c>
      <c r="E107" s="54">
        <f t="shared" ref="E107:F107" si="215">$D$22*MIN(I27,$B$99)+IF($B$99-I27&gt;0,$D$23*($B$99-I27))+($D$24*365.25/12)</f>
        <v>210.0662749644838</v>
      </c>
      <c r="F107" s="54">
        <f t="shared" si="215"/>
        <v>207.58857191600939</v>
      </c>
      <c r="G107" s="54">
        <f t="shared" ref="G107:H107" si="216">$E$22*MIN(I27,$B$99)+IF($B$99-I27&gt;0,$E$23*($B$99-I27))+($E$24*365.25/12)</f>
        <v>212.44622349408925</v>
      </c>
      <c r="H107" s="54">
        <f t="shared" si="216"/>
        <v>209.93680291185859</v>
      </c>
      <c r="I107" s="54">
        <f t="shared" ref="I107:J107" si="217">$F$22*MIN(I27,$B$99)+IF($B$99-I27&gt;0,$F$23*($B$99-I27))+($F$24*365.25/12)</f>
        <v>215.32471623627407</v>
      </c>
      <c r="J107" s="54">
        <f t="shared" si="217"/>
        <v>212.77693403000765</v>
      </c>
      <c r="L107" s="18" t="s">
        <v>607</v>
      </c>
      <c r="M107" s="54">
        <f t="shared" si="193"/>
        <v>209.83364499999999</v>
      </c>
      <c r="N107" s="54">
        <f t="shared" si="193"/>
        <v>203.77119250000001</v>
      </c>
      <c r="O107" s="54">
        <f t="shared" ref="O107:P107" si="218">$D$22*MIN(S27,$B$99)+IF($B$99-S27&gt;0,$D$23*($B$99-S27))+($D$24*365.25/12)</f>
        <v>204.51917099374114</v>
      </c>
      <c r="P107" s="54">
        <f t="shared" si="218"/>
        <v>199.36025745954595</v>
      </c>
      <c r="Q107" s="54">
        <f t="shared" ref="Q107:R107" si="219">$E$22*MIN(S27,$B$99)+IF($B$99-S27&gt;0,$E$23*($B$99-S27))+($E$24*365.25/12)</f>
        <v>206.82811002220819</v>
      </c>
      <c r="R107" s="54">
        <f t="shared" si="219"/>
        <v>201.60315628425775</v>
      </c>
      <c r="S107" s="54">
        <f t="shared" ref="S107:T107" si="220">$F$22*MIN(S27,$B$99)+IF($B$99-S27&gt;0,$F$23*($B$99-S27))+($F$24*365.25/12)</f>
        <v>209.62071841390795</v>
      </c>
      <c r="T107" s="54">
        <f t="shared" si="220"/>
        <v>204.31589057580908</v>
      </c>
      <c r="V107" s="54"/>
      <c r="W107" s="54"/>
      <c r="X107" s="87"/>
      <c r="Y107" s="87"/>
    </row>
    <row r="108" spans="2:25">
      <c r="B108" s="18" t="s">
        <v>608</v>
      </c>
      <c r="C108" s="54">
        <f t="shared" si="189"/>
        <v>189.19499999999999</v>
      </c>
      <c r="D108" s="54">
        <f t="shared" si="189"/>
        <v>208.49081775000002</v>
      </c>
      <c r="E108" s="54">
        <f t="shared" ref="E108:F108" si="221">$D$22*MIN(I28,$B$99)+IF($B$99-I28&gt;0,$D$23*($B$99-I28))+($D$24*365.25/12)</f>
        <v>186.95647915938036</v>
      </c>
      <c r="F108" s="54">
        <f t="shared" si="221"/>
        <v>203.37647673360286</v>
      </c>
      <c r="G108" s="54">
        <f t="shared" ref="G108:H108" si="222">$E$22*MIN(I28,$B$99)+IF($B$99-I28&gt;0,$E$23*($B$99-I28))+($E$24*365.25/12)</f>
        <v>189.04059493009288</v>
      </c>
      <c r="H108" s="54">
        <f t="shared" si="222"/>
        <v>205.67078792206649</v>
      </c>
      <c r="I108" s="54">
        <f t="shared" ref="I108:J108" si="223">$F$22*MIN(I28,$B$99)+IF($B$99-I28&gt;0,$F$23*($B$99-I28))+($F$24*365.25/12)</f>
        <v>191.56128478755946</v>
      </c>
      <c r="J108" s="54">
        <f t="shared" si="223"/>
        <v>208.44570427935471</v>
      </c>
      <c r="L108" s="18" t="s">
        <v>608</v>
      </c>
      <c r="M108" s="54">
        <f t="shared" si="193"/>
        <v>189.19499999999999</v>
      </c>
      <c r="N108" s="54">
        <f t="shared" si="193"/>
        <v>197.4337175</v>
      </c>
      <c r="O108" s="54">
        <f t="shared" ref="O108:P108" si="224">$D$22*MIN(S28,$B$99)+IF($B$99-S28&gt;0,$D$23*($B$99-S28))+($D$24*365.25/12)</f>
        <v>186.95647915938036</v>
      </c>
      <c r="P108" s="54">
        <f t="shared" si="224"/>
        <v>193.96731037251743</v>
      </c>
      <c r="Q108" s="54">
        <f t="shared" ref="Q108:R108" si="225">$E$22*MIN(S28,$B$99)+IF($B$99-S28&gt;0,$E$23*($B$99-S28))+($E$24*365.25/12)</f>
        <v>189.04059493009288</v>
      </c>
      <c r="R108" s="54">
        <f t="shared" si="225"/>
        <v>196.14117308679474</v>
      </c>
      <c r="S108" s="54">
        <f t="shared" ref="S108:T108" si="226">$F$22*MIN(S28,$B$99)+IF($B$99-S28&gt;0,$F$23*($B$99-S28))+($F$24*365.25/12)</f>
        <v>191.56128478755946</v>
      </c>
      <c r="T108" s="54">
        <f t="shared" si="226"/>
        <v>198.77040979830923</v>
      </c>
      <c r="V108" s="54"/>
      <c r="W108" s="54"/>
      <c r="X108" s="87"/>
      <c r="Y108" s="87"/>
    </row>
    <row r="109" spans="2:25">
      <c r="B109" s="18" t="s">
        <v>118</v>
      </c>
      <c r="C109" s="54">
        <f t="shared" si="189"/>
        <v>208.49081775000002</v>
      </c>
      <c r="D109" s="54">
        <f t="shared" si="189"/>
        <v>208.78198287500001</v>
      </c>
      <c r="E109" s="54">
        <f t="shared" ref="E109:F109" si="227">$D$22*MIN(I29,$B$99)+IF($B$99-I29&gt;0,$D$23*($B$99-I29))+($D$24*365.25/12)</f>
        <v>203.37647673360286</v>
      </c>
      <c r="F109" s="54">
        <f t="shared" si="227"/>
        <v>203.62424703845031</v>
      </c>
      <c r="G109" s="54">
        <f t="shared" ref="G109:H109" si="228">$E$22*MIN(I29,$B$99)+IF($B$99-I29&gt;0,$E$23*($B$99-I29))+($E$24*365.25/12)</f>
        <v>205.67078792206649</v>
      </c>
      <c r="H109" s="54">
        <f t="shared" si="228"/>
        <v>205.92172998028957</v>
      </c>
      <c r="I109" s="54">
        <f t="shared" ref="I109:J109" si="229">$F$22*MIN(I29,$B$99)+IF($B$99-I29&gt;0,$F$23*($B$99-I29))+($F$24*365.25/12)</f>
        <v>208.44570427935471</v>
      </c>
      <c r="J109" s="54">
        <f t="shared" si="229"/>
        <v>208.70048249998135</v>
      </c>
      <c r="L109" s="18" t="s">
        <v>118</v>
      </c>
      <c r="M109" s="54">
        <f t="shared" si="193"/>
        <v>199.64585500000001</v>
      </c>
      <c r="N109" s="54">
        <f t="shared" si="193"/>
        <v>200.38722000000001</v>
      </c>
      <c r="O109" s="54">
        <f t="shared" ref="O109:P109" si="230">$D$22*MIN(S29,$B$99)+IF($B$99-S29&gt;0,$D$23*($B$99-S29))+($D$24*365.25/12)</f>
        <v>195.84975416704626</v>
      </c>
      <c r="P109" s="54">
        <f t="shared" si="230"/>
        <v>196.48062722250998</v>
      </c>
      <c r="Q109" s="54">
        <f t="shared" ref="Q109:R109" si="231">$E$22*MIN(S29,$B$99)+IF($B$99-S29&gt;0,$E$23*($B$99-S29))+($E$24*365.25/12)</f>
        <v>198.0477143915696</v>
      </c>
      <c r="R109" s="54">
        <f t="shared" si="231"/>
        <v>198.686663369386</v>
      </c>
      <c r="S109" s="54">
        <f t="shared" ref="S109:T109" si="232">$F$22*MIN(S29,$B$99)+IF($B$99-S29&gt;0,$F$23*($B$99-S29))+($F$24*365.25/12)</f>
        <v>200.70609648479504</v>
      </c>
      <c r="T109" s="54">
        <f t="shared" si="232"/>
        <v>201.35481310404973</v>
      </c>
      <c r="V109" s="54"/>
      <c r="W109" s="54"/>
      <c r="X109" s="87"/>
      <c r="Y109" s="87"/>
    </row>
    <row r="110" spans="2:25">
      <c r="B110" s="18" t="s">
        <v>609</v>
      </c>
      <c r="C110" s="54">
        <f t="shared" si="189"/>
        <v>206.45266187499999</v>
      </c>
      <c r="D110" s="54">
        <f t="shared" si="189"/>
        <v>204.70567112499998</v>
      </c>
      <c r="E110" s="54">
        <f t="shared" ref="E110:F110" si="233">$D$22*MIN(I30,$B$99)+IF($B$99-I30&gt;0,$D$23*($B$99-I30))+($D$24*365.25/12)</f>
        <v>201.64208459967077</v>
      </c>
      <c r="F110" s="54">
        <f t="shared" si="233"/>
        <v>200.1554627705861</v>
      </c>
      <c r="G110" s="54">
        <f t="shared" ref="G110:H110" si="234">$E$22*MIN(I30,$B$99)+IF($B$99-I30&gt;0,$E$23*($B$99-I30))+($E$24*365.25/12)</f>
        <v>203.91419351450506</v>
      </c>
      <c r="H110" s="54">
        <f t="shared" si="234"/>
        <v>202.40854116516667</v>
      </c>
      <c r="I110" s="54">
        <f t="shared" ref="I110:J110" si="235">$F$22*MIN(I30,$B$99)+IF($B$99-I30&gt;0,$F$23*($B$99-I30))+($F$24*365.25/12)</f>
        <v>206.66225673496822</v>
      </c>
      <c r="J110" s="54">
        <f t="shared" si="235"/>
        <v>205.13358741120834</v>
      </c>
      <c r="L110" s="18" t="s">
        <v>609</v>
      </c>
      <c r="M110" s="54">
        <f t="shared" si="193"/>
        <v>189.410235</v>
      </c>
      <c r="N110" s="54">
        <f t="shared" si="193"/>
        <v>190.18747250000001</v>
      </c>
      <c r="O110" s="54">
        <f t="shared" ref="O110:P110" si="236">$D$22*MIN(S30,$B$99)+IF($B$99-S30&gt;0,$D$23*($B$99-S30))+($D$24*365.25/12)</f>
        <v>187.13963585290207</v>
      </c>
      <c r="P110" s="54">
        <f t="shared" si="236"/>
        <v>187.80103502395275</v>
      </c>
      <c r="Q110" s="54">
        <f t="shared" ref="Q110:R110" si="237">$E$22*MIN(S30,$B$99)+IF($B$99-S30&gt;0,$E$23*($B$99-S30))+($E$24*365.25/12)</f>
        <v>189.22609624623311</v>
      </c>
      <c r="R110" s="54">
        <f t="shared" si="237"/>
        <v>189.8959621100729</v>
      </c>
      <c r="S110" s="54">
        <f t="shared" ref="S110:T110" si="238">$F$22*MIN(S30,$B$99)+IF($B$99-S30&gt;0,$F$23*($B$99-S30))+($F$24*365.25/12)</f>
        <v>191.74962187056889</v>
      </c>
      <c r="T110" s="54">
        <f t="shared" si="238"/>
        <v>192.42972800365851</v>
      </c>
      <c r="V110" s="54"/>
      <c r="W110" s="54"/>
      <c r="X110" s="87"/>
      <c r="Y110" s="87"/>
    </row>
    <row r="111" spans="2:25">
      <c r="B111" s="18" t="s">
        <v>610</v>
      </c>
      <c r="C111" s="54">
        <f t="shared" si="189"/>
        <v>219.84625762500002</v>
      </c>
      <c r="D111" s="54">
        <f t="shared" si="189"/>
        <v>214.31412024999997</v>
      </c>
      <c r="E111" s="54">
        <f t="shared" ref="E111:F111" si="239">$D$22*MIN(I31,$B$99)+IF($B$99-I31&gt;0,$D$23*($B$99-I31))+($D$24*365.25/12)</f>
        <v>213.03951862265311</v>
      </c>
      <c r="F111" s="54">
        <f t="shared" si="239"/>
        <v>208.33188283055168</v>
      </c>
      <c r="G111" s="54">
        <f t="shared" ref="G111:H111" si="240">$E$22*MIN(I31,$B$99)+IF($B$99-I31&gt;0,$E$23*($B$99-I31))+($E$24*365.25/12)</f>
        <v>215.45752819276598</v>
      </c>
      <c r="H111" s="54">
        <f t="shared" si="240"/>
        <v>210.68962908652779</v>
      </c>
      <c r="I111" s="54">
        <f t="shared" ref="I111:J111" si="241">$F$22*MIN(I31,$B$99)+IF($B$99-I31&gt;0,$F$23*($B$99-I31))+($F$24*365.25/12)</f>
        <v>218.38205488379378</v>
      </c>
      <c r="J111" s="54">
        <f t="shared" si="241"/>
        <v>213.54126869188755</v>
      </c>
      <c r="L111" s="18" t="s">
        <v>610</v>
      </c>
      <c r="M111" s="54">
        <f t="shared" si="193"/>
        <v>216.4581</v>
      </c>
      <c r="N111" s="54">
        <f t="shared" si="193"/>
        <v>207.95631750000001</v>
      </c>
      <c r="O111" s="54">
        <f t="shared" ref="O111:P111" si="242">$D$22*MIN(S31,$B$99)+IF($B$99-S31&gt;0,$D$23*($B$99-S31))+($D$24*365.25/12)</f>
        <v>210.1563270054653</v>
      </c>
      <c r="P111" s="54">
        <f t="shared" si="242"/>
        <v>202.92163761135723</v>
      </c>
      <c r="Q111" s="54">
        <f t="shared" ref="Q111:R111" si="243">$E$22*MIN(S31,$B$99)+IF($B$99-S31&gt;0,$E$23*($B$99-S31))+($E$24*365.25/12)</f>
        <v>212.53742830785819</v>
      </c>
      <c r="R111" s="54">
        <f t="shared" si="243"/>
        <v>205.21012632031821</v>
      </c>
      <c r="S111" s="54">
        <f t="shared" ref="S111:T111" si="244">$F$22*MIN(S31,$B$99)+IF($B$99-S31&gt;0,$F$23*($B$99-S31))+($F$24*365.25/12)</f>
        <v>215.41731530208702</v>
      </c>
      <c r="T111" s="54">
        <f t="shared" si="244"/>
        <v>207.97800052321463</v>
      </c>
      <c r="V111" s="54"/>
      <c r="W111" s="54"/>
      <c r="X111" s="87"/>
      <c r="Y111" s="87"/>
    </row>
    <row r="112" spans="2:25">
      <c r="B112" s="18" t="s">
        <v>617</v>
      </c>
      <c r="C112" s="68">
        <f t="shared" ref="C112:J112" si="245">SUMPRODUCT(C102:C111,$U$22:$U$31)</f>
        <v>194.75035484986034</v>
      </c>
      <c r="D112" s="68">
        <f t="shared" si="245"/>
        <v>207.64966747668257</v>
      </c>
      <c r="E112" s="68">
        <f t="shared" si="245"/>
        <v>191.68387212818325</v>
      </c>
      <c r="F112" s="68">
        <f t="shared" si="245"/>
        <v>202.66069025456505</v>
      </c>
      <c r="G112" s="68">
        <f t="shared" si="245"/>
        <v>193.82850412829589</v>
      </c>
      <c r="H112" s="68">
        <f t="shared" si="245"/>
        <v>204.94583852827782</v>
      </c>
      <c r="I112" s="68">
        <f t="shared" si="245"/>
        <v>196.42238696659626</v>
      </c>
      <c r="J112" s="68">
        <f t="shared" si="245"/>
        <v>207.70967255194429</v>
      </c>
      <c r="L112" s="18" t="s">
        <v>617</v>
      </c>
      <c r="M112" s="68">
        <f t="shared" ref="M112:T112" si="246">SUMPRODUCT(M102:M111,$AC$22:$AC$31)</f>
        <v>190.76745539122632</v>
      </c>
      <c r="N112" s="68">
        <f t="shared" si="246"/>
        <v>194.28243496528864</v>
      </c>
      <c r="O112" s="68">
        <f t="shared" si="246"/>
        <v>188.29457812175832</v>
      </c>
      <c r="P112" s="68">
        <f t="shared" si="246"/>
        <v>191.28569033204778</v>
      </c>
      <c r="Q112" s="68">
        <f t="shared" si="246"/>
        <v>190.39582314411157</v>
      </c>
      <c r="R112" s="68">
        <f t="shared" si="246"/>
        <v>193.42522513354015</v>
      </c>
      <c r="S112" s="68">
        <f t="shared" si="246"/>
        <v>192.93723043555363</v>
      </c>
      <c r="T112" s="68">
        <f t="shared" si="246"/>
        <v>196.01294302791362</v>
      </c>
      <c r="X112" s="87"/>
    </row>
    <row r="114" spans="2:20">
      <c r="B114" s="450">
        <f>Summary!I$4</f>
        <v>500</v>
      </c>
      <c r="C114" s="524" t="s">
        <v>633</v>
      </c>
      <c r="D114" s="524"/>
      <c r="E114" s="524"/>
      <c r="F114" s="524"/>
      <c r="G114" s="524"/>
      <c r="H114" s="524"/>
      <c r="I114" s="524"/>
      <c r="J114" s="524"/>
      <c r="L114" s="450">
        <f>Summary!I$4</f>
        <v>500</v>
      </c>
      <c r="M114" s="524" t="s">
        <v>634</v>
      </c>
      <c r="N114" s="524"/>
      <c r="O114" s="524"/>
      <c r="P114" s="524"/>
      <c r="Q114" s="524"/>
      <c r="R114" s="524"/>
      <c r="S114" s="524"/>
      <c r="T114" s="524"/>
    </row>
    <row r="115" spans="2:20">
      <c r="B115" s="391"/>
      <c r="C115" s="525">
        <f>$C$27</f>
        <v>46023</v>
      </c>
      <c r="D115" s="526"/>
      <c r="E115" s="525">
        <f>$D$27</f>
        <v>46082</v>
      </c>
      <c r="F115" s="526"/>
      <c r="G115" s="527" t="str">
        <f>$E$21</f>
        <v>Authorized</v>
      </c>
      <c r="H115" s="527"/>
      <c r="I115" s="528" t="str">
        <f>$F$21</f>
        <v>w/Pending</v>
      </c>
      <c r="J115" s="527"/>
      <c r="L115" s="391"/>
      <c r="M115" s="525">
        <f>$C$27</f>
        <v>46023</v>
      </c>
      <c r="N115" s="526"/>
      <c r="O115" s="525">
        <f>$D$27</f>
        <v>46082</v>
      </c>
      <c r="P115" s="526"/>
      <c r="Q115" s="527" t="str">
        <f>$E$21</f>
        <v>Authorized</v>
      </c>
      <c r="R115" s="527"/>
      <c r="S115" s="528" t="str">
        <f>$F$21</f>
        <v>w/Pending</v>
      </c>
      <c r="T115" s="527"/>
    </row>
    <row r="116" spans="2:20">
      <c r="B116" s="391"/>
      <c r="C116" s="54" t="s">
        <v>594</v>
      </c>
      <c r="D116" s="54" t="s">
        <v>595</v>
      </c>
      <c r="E116" s="54" t="s">
        <v>594</v>
      </c>
      <c r="F116" s="54" t="s">
        <v>595</v>
      </c>
      <c r="G116" s="54" t="s">
        <v>594</v>
      </c>
      <c r="H116" s="54" t="s">
        <v>595</v>
      </c>
      <c r="I116" s="54" t="s">
        <v>594</v>
      </c>
      <c r="J116" s="54" t="s">
        <v>595</v>
      </c>
      <c r="L116" s="391"/>
      <c r="M116" s="54" t="s">
        <v>594</v>
      </c>
      <c r="N116" s="54" t="s">
        <v>595</v>
      </c>
      <c r="O116" s="54" t="s">
        <v>594</v>
      </c>
      <c r="P116" s="54" t="s">
        <v>595</v>
      </c>
      <c r="Q116" s="54" t="s">
        <v>594</v>
      </c>
      <c r="R116" s="54" t="s">
        <v>595</v>
      </c>
      <c r="S116" s="54" t="s">
        <v>594</v>
      </c>
      <c r="T116" s="54" t="s">
        <v>595</v>
      </c>
    </row>
    <row r="117" spans="2:20">
      <c r="B117" s="18" t="s">
        <v>600</v>
      </c>
      <c r="C117" s="54">
        <f t="shared" ref="C117:D126" si="247">$C$28*MIN(I22,$B$114)+IF($B$114-I22&gt;0,$C$29*($B$114-I22))</f>
        <v>120.6589584375</v>
      </c>
      <c r="D117" s="54">
        <f t="shared" si="247"/>
        <v>125.389706875</v>
      </c>
      <c r="E117" s="54">
        <f>$D$28*MIN(I22,$B$114)+IF($B$114-I22&gt;0,$D$29*($B$114-I22))+($D$30*365.25/12)</f>
        <v>111.35043948504673</v>
      </c>
      <c r="F117" s="54">
        <f>$D$28*MIN(J22,$B$114)+IF($B$114-J22&gt;0,$D$29*($B$114-J22))+($D$30*365.25/12)</f>
        <v>115.37670693881775</v>
      </c>
      <c r="G117" s="54">
        <f>$E$28*MIN(I22,$B$114)+IF($B$114-I22&gt;0,$E$29*($B$114-I22))+($E$30*365.25/12)</f>
        <v>112.69904989364933</v>
      </c>
      <c r="H117" s="54">
        <f>$E$28*MIN(J22,$B$114)+IF($B$114-J22&gt;0,$E$29*($B$114-J22))+($E$30*365.25/12)</f>
        <v>116.77685833977419</v>
      </c>
      <c r="I117" s="54">
        <f>$F$28*MIN(I22,$B$114)+IF($B$114-I22&gt;0,$F$29*($B$114-I22))+($F$30*365.25/12)</f>
        <v>114.33016301433564</v>
      </c>
      <c r="J117" s="54">
        <f>$F$28*MIN(J22,$B$114)+IF($B$114-J22&gt;0,$F$29*($B$114-J22))+($F$30*365.25/12)</f>
        <v>118.47030909951866</v>
      </c>
      <c r="L117" s="18" t="s">
        <v>600</v>
      </c>
      <c r="M117" s="54">
        <f t="shared" ref="M117:N126" si="248">$C$28*MIN(S22,$B$114)+IF($B$114-S22&gt;0,$C$29*($B$114-S22))</f>
        <v>115.12</v>
      </c>
      <c r="N117" s="54">
        <f t="shared" si="248"/>
        <v>115.12</v>
      </c>
      <c r="O117" s="54">
        <f>$D$28*MIN(S22,$B$114)+IF($B$114-S22&gt;0,$D$29*($B$114-S22))+($D$30*365.25/12)</f>
        <v>106.63631689338303</v>
      </c>
      <c r="P117" s="54">
        <f>$D$28*MIN(T22,$B$114)+IF($B$114-T22&gt;0,$D$29*($B$114-T22))+($D$30*365.25/12)</f>
        <v>106.63631689338303</v>
      </c>
      <c r="Q117" s="54">
        <f>$E$28*MIN(S22,$B$114)+IF($B$114-S22&gt;0,$E$29*($B$114-S22))+($E$30*365.25/12)</f>
        <v>107.92458094913107</v>
      </c>
      <c r="R117" s="54">
        <f>$E$28*MIN(T22,$B$114)+IF($B$114-T22&gt;0,$E$29*($B$114-T22))+($E$30*365.25/12)</f>
        <v>107.92458094913107</v>
      </c>
      <c r="S117" s="54">
        <f>$F$28*MIN(S22,$B$114)+IF($B$114-S22&gt;0,$F$29*($B$114-S22))+($F$30*365.25/12)</f>
        <v>109.48270655073941</v>
      </c>
      <c r="T117" s="54">
        <f>$F$28*MIN(T22,$B$114)+IF($B$114-T22&gt;0,$F$29*($B$114-T22))+($F$30*365.25/12)</f>
        <v>109.48270655073941</v>
      </c>
    </row>
    <row r="118" spans="2:20">
      <c r="B118" s="18" t="s">
        <v>602</v>
      </c>
      <c r="C118" s="54">
        <f t="shared" si="247"/>
        <v>127.660466125</v>
      </c>
      <c r="D118" s="54">
        <f t="shared" si="247"/>
        <v>125.389706875</v>
      </c>
      <c r="E118" s="54">
        <f t="shared" ref="E118:F118" si="249">$D$28*MIN(I23,$B$114)+IF($B$114-I23&gt;0,$D$29*($B$114-I23))+($D$30*365.25/12)</f>
        <v>117.30931531662785</v>
      </c>
      <c r="F118" s="54">
        <f t="shared" si="249"/>
        <v>115.37670693881775</v>
      </c>
      <c r="G118" s="54">
        <f t="shared" ref="G118:H118" si="250">$E$28*MIN(I23,$B$114)+IF($B$114-I23&gt;0,$E$29*($B$114-I23))+($E$30*365.25/12)</f>
        <v>118.73420639391412</v>
      </c>
      <c r="H118" s="54">
        <f t="shared" si="250"/>
        <v>116.77685833977419</v>
      </c>
      <c r="I118" s="54">
        <f t="shared" ref="I118:J118" si="251">$F$28*MIN(I23,$B$114)+IF($B$114-I23&gt;0,$F$29*($B$114-I23))+($F$30*365.25/12)</f>
        <v>120.45757922040652</v>
      </c>
      <c r="J118" s="54">
        <f t="shared" si="251"/>
        <v>118.47030909951866</v>
      </c>
      <c r="L118" s="18" t="s">
        <v>602</v>
      </c>
      <c r="M118" s="54">
        <f t="shared" si="248"/>
        <v>126.0774625</v>
      </c>
      <c r="N118" s="54">
        <f t="shared" si="248"/>
        <v>118.79580125</v>
      </c>
      <c r="O118" s="54">
        <f t="shared" ref="O118:P118" si="252">$D$28*MIN(S23,$B$114)+IF($B$114-S23&gt;0,$D$29*($B$114-S23))+($D$30*365.25/12)</f>
        <v>115.9620452051976</v>
      </c>
      <c r="P118" s="54">
        <f t="shared" si="252"/>
        <v>109.76473497245274</v>
      </c>
      <c r="Q118" s="54">
        <f t="shared" ref="Q118:Q126" si="253">$E$28*MIN(S23,$B$114)+IF($B$114-S23&gt;0,$E$29*($B$114-S23))+($E$30*365.25/12)</f>
        <v>117.36968962927243</v>
      </c>
      <c r="R118" s="54">
        <f t="shared" ref="R118:R126" si="254">$E$28*MIN(T23,$B$114)+IF($B$114-T23&gt;0,$E$29*($B$114-T23))+($E$30*365.25/12)</f>
        <v>111.09304648509338</v>
      </c>
      <c r="S118" s="54">
        <f t="shared" ref="S118:T118" si="255">$F$28*MIN(S23,$B$114)+IF($B$114-S23&gt;0,$F$29*($B$114-S23))+($F$30*365.25/12)</f>
        <v>119.07220302730298</v>
      </c>
      <c r="T118" s="54">
        <f t="shared" si="255"/>
        <v>112.69960856025328</v>
      </c>
    </row>
    <row r="119" spans="2:20">
      <c r="B119" s="18" t="s">
        <v>603</v>
      </c>
      <c r="C119" s="54">
        <f t="shared" si="247"/>
        <v>115.12</v>
      </c>
      <c r="D119" s="54">
        <f t="shared" si="247"/>
        <v>126.52508650000001</v>
      </c>
      <c r="E119" s="54">
        <f t="shared" ref="E119:F119" si="256">$D$28*MIN(I24,$B$114)+IF($B$114-I24&gt;0,$D$29*($B$114-I24))+($D$30*365.25/12)</f>
        <v>106.63631689338303</v>
      </c>
      <c r="F119" s="54">
        <f t="shared" si="256"/>
        <v>116.34301112772279</v>
      </c>
      <c r="G119" s="54">
        <f t="shared" ref="G119:H119" si="257">$E$28*MIN(I24,$B$114)+IF($B$114-I24&gt;0,$E$29*($B$114-I24))+($E$30*365.25/12)</f>
        <v>107.92458094913107</v>
      </c>
      <c r="H119" s="54">
        <f t="shared" si="257"/>
        <v>117.75553236684416</v>
      </c>
      <c r="I119" s="54">
        <f t="shared" ref="I119:J119" si="258">$F$28*MIN(I24,$B$114)+IF($B$114-I24&gt;0,$F$29*($B$114-I24))+($F$30*365.25/12)</f>
        <v>109.48270655073941</v>
      </c>
      <c r="J119" s="54">
        <f t="shared" si="258"/>
        <v>119.46394415996258</v>
      </c>
      <c r="L119" s="18" t="s">
        <v>603</v>
      </c>
      <c r="M119" s="54">
        <f t="shared" si="248"/>
        <v>115.12</v>
      </c>
      <c r="N119" s="54">
        <f t="shared" si="248"/>
        <v>118.64037625</v>
      </c>
      <c r="O119" s="54">
        <f>$D$28*MIN(S24,$B$114)+IF($B$114-S24&gt;0,$D$29*($B$114-S24))+($D$30*365.25/12)</f>
        <v>106.63631689338303</v>
      </c>
      <c r="P119" s="54">
        <f t="shared" ref="P119" si="259">$D$28*MIN(T24,$B$114)+IF($B$114-T24&gt;0,$D$29*($B$114-T24))+($D$30*365.25/12)</f>
        <v>109.63245513824261</v>
      </c>
      <c r="Q119" s="54">
        <f t="shared" si="253"/>
        <v>107.92458094913107</v>
      </c>
      <c r="R119" s="54">
        <f t="shared" si="254"/>
        <v>110.95907331232542</v>
      </c>
      <c r="S119" s="54">
        <f t="shared" ref="S119:T119" si="260">$F$28*MIN(S24,$B$114)+IF($B$114-S24&gt;0,$F$29*($B$114-S24))+($F$30*365.25/12)</f>
        <v>109.48270655073941</v>
      </c>
      <c r="T119" s="54">
        <f t="shared" si="260"/>
        <v>112.56358733363537</v>
      </c>
    </row>
    <row r="120" spans="2:20">
      <c r="B120" s="18" t="s">
        <v>604</v>
      </c>
      <c r="C120" s="54">
        <f t="shared" si="247"/>
        <v>117.820509375</v>
      </c>
      <c r="D120" s="54">
        <f t="shared" si="247"/>
        <v>126.903546375</v>
      </c>
      <c r="E120" s="54">
        <f t="shared" ref="E120:F120" si="261">$D$28*MIN(I25,$B$114)+IF($B$114-I25&gt;0,$D$29*($B$114-I25))+($D$30*365.25/12)</f>
        <v>108.93467901278413</v>
      </c>
      <c r="F120" s="54">
        <f t="shared" si="261"/>
        <v>116.66511252402448</v>
      </c>
      <c r="G120" s="54">
        <f t="shared" ref="G120:H120" si="262">$E$28*MIN(I25,$B$114)+IF($B$114-I25&gt;0,$E$29*($B$114-I25))+($E$30*365.25/12)</f>
        <v>110.25236482597441</v>
      </c>
      <c r="H120" s="54">
        <f t="shared" si="262"/>
        <v>118.08175704253415</v>
      </c>
      <c r="I120" s="54">
        <f t="shared" ref="I120:J120" si="263">$F$28*MIN(I25,$B$114)+IF($B$114-I25&gt;0,$F$29*($B$114-I25))+($F$30*365.25/12)</f>
        <v>111.84607536322582</v>
      </c>
      <c r="J120" s="54">
        <f t="shared" si="263"/>
        <v>119.79515584677722</v>
      </c>
      <c r="L120" s="18" t="s">
        <v>604</v>
      </c>
      <c r="M120" s="54">
        <f t="shared" si="248"/>
        <v>115.12</v>
      </c>
      <c r="N120" s="54">
        <f t="shared" si="248"/>
        <v>119.06002375</v>
      </c>
      <c r="O120" s="54">
        <f t="shared" ref="O120:P120" si="264">$D$28*MIN(S25,$B$114)+IF($B$114-S25&gt;0,$D$29*($B$114-S25))+($D$30*365.25/12)</f>
        <v>106.63631689338303</v>
      </c>
      <c r="P120" s="54">
        <f t="shared" si="264"/>
        <v>109.98961069060996</v>
      </c>
      <c r="Q120" s="54">
        <f t="shared" si="253"/>
        <v>107.92458094913107</v>
      </c>
      <c r="R120" s="54">
        <f t="shared" si="254"/>
        <v>111.32080087879892</v>
      </c>
      <c r="S120" s="54">
        <f t="shared" ref="S120:T120" si="265">$F$28*MIN(S25,$B$114)+IF($B$114-S25&gt;0,$F$29*($B$114-S25))+($F$30*365.25/12)</f>
        <v>109.48270655073941</v>
      </c>
      <c r="T120" s="54">
        <f t="shared" si="265"/>
        <v>112.93084464550375</v>
      </c>
    </row>
    <row r="121" spans="2:20">
      <c r="B121" s="18" t="s">
        <v>606</v>
      </c>
      <c r="C121" s="54">
        <f t="shared" si="247"/>
        <v>133.9050540625</v>
      </c>
      <c r="D121" s="54">
        <f t="shared" si="247"/>
        <v>132.01275468750001</v>
      </c>
      <c r="E121" s="54">
        <f t="shared" ref="E121:F121" si="266">$D$28*MIN(I26,$B$114)+IF($B$114-I26&gt;0,$D$29*($B$114-I26))+($D$30*365.25/12)</f>
        <v>122.62398835560558</v>
      </c>
      <c r="F121" s="54">
        <f t="shared" si="266"/>
        <v>121.01348137409718</v>
      </c>
      <c r="G121" s="54">
        <f t="shared" ref="G121:H121" si="267">$E$28*MIN(I26,$B$114)+IF($B$114-I26&gt;0,$E$29*($B$114-I26))+($E$30*365.25/12)</f>
        <v>124.11691354279895</v>
      </c>
      <c r="H121" s="54">
        <f t="shared" si="267"/>
        <v>122.485790164349</v>
      </c>
      <c r="I121" s="54">
        <f t="shared" ref="I121:J121" si="268">$F$28*MIN(I26,$B$114)+IF($B$114-I26&gt;0,$F$29*($B$114-I26))+($F$30*365.25/12)</f>
        <v>125.92257205284812</v>
      </c>
      <c r="J121" s="54">
        <f t="shared" si="268"/>
        <v>124.26651361877492</v>
      </c>
      <c r="L121" s="18" t="s">
        <v>606</v>
      </c>
      <c r="M121" s="54">
        <f t="shared" si="248"/>
        <v>129.51235500000001</v>
      </c>
      <c r="N121" s="54">
        <f t="shared" si="248"/>
        <v>127.08772500000001</v>
      </c>
      <c r="O121" s="54">
        <f t="shared" ref="O121:P121" si="269">$D$28*MIN(S26,$B$114)+IF($B$114-S26&gt;0,$D$29*($B$114-S26))+($D$30*365.25/12)</f>
        <v>118.88542954124162</v>
      </c>
      <c r="P121" s="54">
        <f t="shared" si="269"/>
        <v>116.82186412756349</v>
      </c>
      <c r="Q121" s="54">
        <f t="shared" si="253"/>
        <v>120.3304967474444</v>
      </c>
      <c r="R121" s="54">
        <f t="shared" si="254"/>
        <v>118.24051525226419</v>
      </c>
      <c r="S121" s="54">
        <f t="shared" ref="S121:T121" si="270">$F$28*MIN(S26,$B$114)+IF($B$114-S26&gt;0,$F$29*($B$114-S26))+($F$30*365.25/12)</f>
        <v>122.07827213555908</v>
      </c>
      <c r="T121" s="54">
        <f t="shared" si="270"/>
        <v>119.95634100031947</v>
      </c>
    </row>
    <row r="122" spans="2:20">
      <c r="B122" s="18" t="s">
        <v>607</v>
      </c>
      <c r="C122" s="54">
        <f t="shared" si="247"/>
        <v>132.76967443749999</v>
      </c>
      <c r="D122" s="54">
        <f t="shared" si="247"/>
        <v>130.87737506249999</v>
      </c>
      <c r="E122" s="54">
        <f t="shared" ref="E122:F122" si="271">$D$28*MIN(I27,$B$114)+IF($B$114-I27&gt;0,$D$29*($B$114-I27))+($D$30*365.25/12)</f>
        <v>121.65768416670053</v>
      </c>
      <c r="F122" s="54">
        <f t="shared" si="271"/>
        <v>120.04717718519213</v>
      </c>
      <c r="G122" s="54">
        <f t="shared" ref="G122:H122" si="272">$E$28*MIN(I27,$B$114)+IF($B$114-I27&gt;0,$E$29*($B$114-I27))+($E$30*365.25/12)</f>
        <v>123.13823951572898</v>
      </c>
      <c r="H122" s="54">
        <f t="shared" si="272"/>
        <v>121.50711613727904</v>
      </c>
      <c r="I122" s="54">
        <f t="shared" ref="I122:J122" si="273">$F$28*MIN(I27,$B$114)+IF($B$114-I27&gt;0,$F$29*($B$114-I27))+($F$30*365.25/12)</f>
        <v>124.9289369924042</v>
      </c>
      <c r="J122" s="54">
        <f t="shared" si="273"/>
        <v>123.27287855833097</v>
      </c>
      <c r="L122" s="18" t="s">
        <v>607</v>
      </c>
      <c r="M122" s="54">
        <f t="shared" si="248"/>
        <v>128.53317749999999</v>
      </c>
      <c r="N122" s="54">
        <f t="shared" si="248"/>
        <v>124.59315375</v>
      </c>
      <c r="O122" s="54">
        <f t="shared" ref="O122:P122" si="274">$D$28*MIN(S27,$B$114)+IF($B$114-S27&gt;0,$D$29*($B$114-S27))+($D$30*365.25/12)</f>
        <v>118.05206658571775</v>
      </c>
      <c r="P122" s="54">
        <f t="shared" si="274"/>
        <v>114.6987727884908</v>
      </c>
      <c r="Q122" s="54">
        <f t="shared" si="253"/>
        <v>119.48646575900624</v>
      </c>
      <c r="R122" s="54">
        <f t="shared" si="254"/>
        <v>116.09024582933839</v>
      </c>
      <c r="S122" s="54">
        <f t="shared" ref="S122:T122" si="275">$F$28*MIN(S27,$B$114)+IF($B$114-S27&gt;0,$F$29*($B$114-S27))+($F$30*365.25/12)</f>
        <v>121.22133840786616</v>
      </c>
      <c r="T122" s="54">
        <f t="shared" si="275"/>
        <v>117.77320031310181</v>
      </c>
    </row>
    <row r="123" spans="2:20">
      <c r="B123" s="18" t="s">
        <v>608</v>
      </c>
      <c r="C123" s="54">
        <f t="shared" si="247"/>
        <v>115.12</v>
      </c>
      <c r="D123" s="54">
        <f t="shared" si="247"/>
        <v>127.660466125</v>
      </c>
      <c r="E123" s="54">
        <f t="shared" ref="E123:F123" si="276">$D$28*MIN(I28,$B$114)+IF($B$114-I28&gt;0,$D$29*($B$114-I28))+($D$30*365.25/12)</f>
        <v>106.63631689338303</v>
      </c>
      <c r="F123" s="54">
        <f t="shared" si="276"/>
        <v>117.30931531662785</v>
      </c>
      <c r="G123" s="54">
        <f t="shared" ref="G123:H123" si="277">$E$28*MIN(I28,$B$114)+IF($B$114-I28&gt;0,$E$29*($B$114-I28))+($E$30*365.25/12)</f>
        <v>107.92458094913107</v>
      </c>
      <c r="H123" s="54">
        <f t="shared" si="277"/>
        <v>118.73420639391412</v>
      </c>
      <c r="I123" s="54">
        <f t="shared" ref="I123:J123" si="278">$F$28*MIN(I28,$B$114)+IF($B$114-I28&gt;0,$F$29*($B$114-I28))+($F$30*365.25/12)</f>
        <v>109.48270655073941</v>
      </c>
      <c r="J123" s="54">
        <f t="shared" si="278"/>
        <v>120.45757922040652</v>
      </c>
      <c r="L123" s="18" t="s">
        <v>608</v>
      </c>
      <c r="M123" s="54">
        <f t="shared" si="248"/>
        <v>115.12</v>
      </c>
      <c r="N123" s="54">
        <f t="shared" si="248"/>
        <v>120.47439125000001</v>
      </c>
      <c r="O123" s="54">
        <f t="shared" ref="O123:P123" si="279">$D$28*MIN(S28,$B$114)+IF($B$114-S28&gt;0,$D$29*($B$114-S28))+($D$30*365.25/12)</f>
        <v>106.63631689338303</v>
      </c>
      <c r="P123" s="54">
        <f t="shared" si="279"/>
        <v>111.19335718192221</v>
      </c>
      <c r="Q123" s="54">
        <f t="shared" si="253"/>
        <v>107.92458094913107</v>
      </c>
      <c r="R123" s="54">
        <f t="shared" si="254"/>
        <v>112.53995675098739</v>
      </c>
      <c r="S123" s="54">
        <f t="shared" ref="S123:T123" si="280">$F$28*MIN(S28,$B$114)+IF($B$114-S28&gt;0,$F$29*($B$114-S28))+($F$30*365.25/12)</f>
        <v>109.48270655073941</v>
      </c>
      <c r="T123" s="54">
        <f t="shared" si="280"/>
        <v>114.16863780772687</v>
      </c>
    </row>
    <row r="124" spans="2:20">
      <c r="B124" s="18" t="s">
        <v>118</v>
      </c>
      <c r="C124" s="54">
        <f>$C$28*MIN(I29,$B$114)+IF($B$114-I29&gt;0,$C$29*($B$114-I29))</f>
        <v>127.660466125</v>
      </c>
      <c r="D124" s="54">
        <f>$C$28*MIN(J29,$B$114)+IF($B$114-J29&gt;0,$C$29*($B$114-J29))</f>
        <v>127.84969606249999</v>
      </c>
      <c r="E124" s="54">
        <f t="shared" ref="E124:F124" si="281">$D$28*MIN(I29,$B$114)+IF($B$114-I29&gt;0,$D$29*($B$114-I29))+($D$30*365.25/12)</f>
        <v>117.30931531662785</v>
      </c>
      <c r="F124" s="54">
        <f t="shared" si="281"/>
        <v>117.47036601477868</v>
      </c>
      <c r="G124" s="54">
        <f t="shared" ref="G124:H124" si="282">$E$28*MIN(I29,$B$114)+IF($B$114-I29&gt;0,$E$29*($B$114-I29))+($E$30*365.25/12)</f>
        <v>118.73420639391412</v>
      </c>
      <c r="H124" s="54">
        <f t="shared" si="282"/>
        <v>118.89731873175913</v>
      </c>
      <c r="I124" s="54">
        <f t="shared" ref="I124:J124" si="283">$F$28*MIN(I29,$B$114)+IF($B$114-I29&gt;0,$F$29*($B$114-I29))+($F$30*365.25/12)</f>
        <v>120.45757922040652</v>
      </c>
      <c r="J124" s="54">
        <f t="shared" si="283"/>
        <v>120.62318506381385</v>
      </c>
      <c r="L124" s="18" t="s">
        <v>118</v>
      </c>
      <c r="M124" s="54">
        <f t="shared" si="248"/>
        <v>121.91207249999999</v>
      </c>
      <c r="N124" s="54">
        <f t="shared" si="248"/>
        <v>122.39389</v>
      </c>
      <c r="O124" s="54">
        <f t="shared" ref="O124:P124" si="284">$D$28*MIN(S29,$B$114)+IF($B$114-S29&gt;0,$D$29*($B$114-S29))+($D$30*365.25/12)</f>
        <v>112.41694564836597</v>
      </c>
      <c r="P124" s="54">
        <f t="shared" si="284"/>
        <v>112.82701313441738</v>
      </c>
      <c r="Q124" s="54">
        <f t="shared" si="253"/>
        <v>113.77920859909102</v>
      </c>
      <c r="R124" s="54">
        <f t="shared" si="254"/>
        <v>114.1945254346717</v>
      </c>
      <c r="S124" s="54">
        <f t="shared" ref="S124:T124" si="285">$F$28*MIN(S29,$B$114)+IF($B$114-S29&gt;0,$F$29*($B$114-S29))+($F$30*365.25/12)</f>
        <v>115.42683415394264</v>
      </c>
      <c r="T124" s="54">
        <f t="shared" si="285"/>
        <v>115.8484999564582</v>
      </c>
    </row>
    <row r="125" spans="2:20">
      <c r="B125" s="18" t="s">
        <v>609</v>
      </c>
      <c r="C125" s="54">
        <f t="shared" si="247"/>
        <v>126.3358565625</v>
      </c>
      <c r="D125" s="54">
        <f t="shared" si="247"/>
        <v>125.2004769375</v>
      </c>
      <c r="E125" s="54">
        <f t="shared" ref="E125:F125" si="286">$D$28*MIN(I30,$B$114)+IF($B$114-I30&gt;0,$D$29*($B$114-I30))+($D$30*365.25/12)</f>
        <v>116.18196042957194</v>
      </c>
      <c r="F125" s="54">
        <f t="shared" si="286"/>
        <v>115.21565624066692</v>
      </c>
      <c r="G125" s="54">
        <f t="shared" ref="G125:H125" si="287">$E$28*MIN(I30,$B$114)+IF($B$114-I30&gt;0,$E$29*($B$114-I30))+($E$30*365.25/12)</f>
        <v>117.59242002899916</v>
      </c>
      <c r="H125" s="54">
        <f t="shared" si="287"/>
        <v>116.6137460019292</v>
      </c>
      <c r="I125" s="54">
        <f t="shared" ref="I125:J125" si="288">$F$28*MIN(I30,$B$114)+IF($B$114-I30&gt;0,$F$29*($B$114-I30))+($F$30*365.25/12)</f>
        <v>119.29833831655527</v>
      </c>
      <c r="J125" s="54">
        <f t="shared" si="288"/>
        <v>118.30470325611134</v>
      </c>
      <c r="L125" s="18" t="s">
        <v>609</v>
      </c>
      <c r="M125" s="54">
        <f t="shared" si="248"/>
        <v>115.2598825</v>
      </c>
      <c r="N125" s="54">
        <f t="shared" si="248"/>
        <v>115.76501375000001</v>
      </c>
      <c r="O125" s="54">
        <f t="shared" ref="O125:P125" si="289">$D$28*MIN(S30,$B$114)+IF($B$114-S30&gt;0,$D$29*($B$114-S30))+($D$30*365.25/12)</f>
        <v>106.75536874417215</v>
      </c>
      <c r="P125" s="54">
        <f t="shared" si="289"/>
        <v>107.18527820535508</v>
      </c>
      <c r="Q125" s="54">
        <f t="shared" si="253"/>
        <v>108.04515680462222</v>
      </c>
      <c r="R125" s="54">
        <f t="shared" si="254"/>
        <v>108.48056961611812</v>
      </c>
      <c r="S125" s="54">
        <f t="shared" ref="S125:T125" si="290">$F$28*MIN(S30,$B$114)+IF($B$114-S30&gt;0,$F$29*($B$114-S30))+($F$30*365.25/12)</f>
        <v>109.60512565469553</v>
      </c>
      <c r="T125" s="54">
        <f t="shared" si="290"/>
        <v>110.04719464120379</v>
      </c>
    </row>
    <row r="126" spans="2:20">
      <c r="B126" s="18" t="s">
        <v>610</v>
      </c>
      <c r="C126" s="54">
        <f t="shared" si="247"/>
        <v>135.04043368750001</v>
      </c>
      <c r="D126" s="54">
        <f t="shared" si="247"/>
        <v>131.44506487499999</v>
      </c>
      <c r="E126" s="54">
        <f t="shared" ref="E126:F126" si="291">$D$28*MIN(I31,$B$114)+IF($B$114-I31&gt;0,$D$29*($B$114-I31))+($D$30*365.25/12)</f>
        <v>123.59029254451062</v>
      </c>
      <c r="F126" s="54">
        <f t="shared" si="291"/>
        <v>120.53032927964463</v>
      </c>
      <c r="G126" s="54">
        <f t="shared" ref="G126:H126" si="292">$E$28*MIN(I31,$B$114)+IF($B$114-I31&gt;0,$E$29*($B$114-I31))+($E$30*365.25/12)</f>
        <v>125.09558756986891</v>
      </c>
      <c r="H126" s="54">
        <f t="shared" si="292"/>
        <v>121.99645315081401</v>
      </c>
      <c r="I126" s="54">
        <f t="shared" ref="I126:J126" si="293">$F$28*MIN(I31,$B$114)+IF($B$114-I31&gt;0,$F$29*($B$114-I31))+($F$30*365.25/12)</f>
        <v>126.91620711329205</v>
      </c>
      <c r="J126" s="54">
        <f t="shared" si="293"/>
        <v>123.76969608855293</v>
      </c>
      <c r="L126" s="18" t="s">
        <v>610</v>
      </c>
      <c r="M126" s="54">
        <f t="shared" si="248"/>
        <v>132.83844999999999</v>
      </c>
      <c r="N126" s="54">
        <f t="shared" si="248"/>
        <v>127.31309125</v>
      </c>
      <c r="O126" s="54">
        <f t="shared" ref="O126:P126" si="294">$D$28*MIN(S31,$B$114)+IF($B$114-S31&gt;0,$D$29*($B$114-S31))+($D$30*365.25/12)</f>
        <v>121.71621799333852</v>
      </c>
      <c r="P126" s="54">
        <f t="shared" si="294"/>
        <v>117.01366988716819</v>
      </c>
      <c r="Q126" s="54">
        <f t="shared" si="253"/>
        <v>123.1975226446788</v>
      </c>
      <c r="R126" s="54">
        <f t="shared" si="254"/>
        <v>118.43477635277773</v>
      </c>
      <c r="S126" s="54">
        <f t="shared" ref="S126:T126" si="295">$F$28*MIN(S31,$B$114)+IF($B$114-S31&gt;0,$F$29*($B$114-S31))+($F$30*365.25/12)</f>
        <v>124.98912638518263</v>
      </c>
      <c r="T126" s="54">
        <f t="shared" si="295"/>
        <v>120.15357177891545</v>
      </c>
    </row>
    <row r="127" spans="2:20">
      <c r="B127" s="18" t="s">
        <v>617</v>
      </c>
      <c r="C127" s="68">
        <f>SUMPRODUCT(C117:C126,$V$22:$V$31)</f>
        <v>116.89178268038819</v>
      </c>
      <c r="D127" s="68">
        <f t="shared" ref="D127:J127" si="296">SUMPRODUCT(D117:D126,$V$22:$V$31)</f>
        <v>127.03188391443483</v>
      </c>
      <c r="E127" s="68">
        <f t="shared" si="296"/>
        <v>108.14425396411255</v>
      </c>
      <c r="F127" s="68">
        <f t="shared" si="296"/>
        <v>116.77433863590721</v>
      </c>
      <c r="G127" s="68">
        <f t="shared" si="296"/>
        <v>109.45182140045442</v>
      </c>
      <c r="H127" s="68">
        <f t="shared" si="296"/>
        <v>118.19238137802274</v>
      </c>
      <c r="I127" s="68">
        <f t="shared" si="296"/>
        <v>111.03329399475932</v>
      </c>
      <c r="J127" s="68">
        <f t="shared" si="296"/>
        <v>119.90747130140196</v>
      </c>
      <c r="L127" s="18" t="s">
        <v>617</v>
      </c>
      <c r="M127" s="68">
        <f>SUMPRODUCT(M117:M126,$AD$22:$AD$31)</f>
        <v>115.75706333089168</v>
      </c>
      <c r="N127" s="68">
        <f t="shared" ref="N127:T127" si="297">SUMPRODUCT(N117:N126,$AD$22:$AD$31)</f>
        <v>118.63513403638633</v>
      </c>
      <c r="O127" s="68">
        <f t="shared" si="297"/>
        <v>107.17851172556388</v>
      </c>
      <c r="P127" s="68">
        <f t="shared" si="297"/>
        <v>109.62799357062021</v>
      </c>
      <c r="Q127" s="68">
        <f t="shared" si="297"/>
        <v>108.47371651737096</v>
      </c>
      <c r="R127" s="68">
        <f t="shared" si="297"/>
        <v>110.95455463135293</v>
      </c>
      <c r="S127" s="68">
        <f t="shared" si="297"/>
        <v>110.04023677883134</v>
      </c>
      <c r="T127" s="68">
        <f t="shared" si="297"/>
        <v>112.5589995753859</v>
      </c>
    </row>
  </sheetData>
  <mergeCells count="77">
    <mergeCell ref="AD68:AG68"/>
    <mergeCell ref="AD73:AG73"/>
    <mergeCell ref="AD63:AG63"/>
    <mergeCell ref="AD54:AG54"/>
    <mergeCell ref="C67:J67"/>
    <mergeCell ref="C68:D68"/>
    <mergeCell ref="E68:F68"/>
    <mergeCell ref="G68:H68"/>
    <mergeCell ref="I68:J68"/>
    <mergeCell ref="M67:T67"/>
    <mergeCell ref="M68:N68"/>
    <mergeCell ref="O68:P68"/>
    <mergeCell ref="Q68:R68"/>
    <mergeCell ref="S68:T68"/>
    <mergeCell ref="AD59:AG59"/>
    <mergeCell ref="C51:J51"/>
    <mergeCell ref="C52:D52"/>
    <mergeCell ref="E52:F52"/>
    <mergeCell ref="G52:H52"/>
    <mergeCell ref="I52:J52"/>
    <mergeCell ref="C35:J35"/>
    <mergeCell ref="C36:D36"/>
    <mergeCell ref="E36:F36"/>
    <mergeCell ref="G36:H36"/>
    <mergeCell ref="I36:J36"/>
    <mergeCell ref="B2:D2"/>
    <mergeCell ref="E3:K3"/>
    <mergeCell ref="P3:V3"/>
    <mergeCell ref="U20:V20"/>
    <mergeCell ref="Q21:R21"/>
    <mergeCell ref="S21:T21"/>
    <mergeCell ref="C83:J83"/>
    <mergeCell ref="C84:D84"/>
    <mergeCell ref="E84:F84"/>
    <mergeCell ref="G84:H84"/>
    <mergeCell ref="I84:J84"/>
    <mergeCell ref="C99:J99"/>
    <mergeCell ref="C100:D100"/>
    <mergeCell ref="E100:F100"/>
    <mergeCell ref="G100:H100"/>
    <mergeCell ref="I100:J100"/>
    <mergeCell ref="C114:J114"/>
    <mergeCell ref="C115:D115"/>
    <mergeCell ref="E115:F115"/>
    <mergeCell ref="G115:H115"/>
    <mergeCell ref="I115:J115"/>
    <mergeCell ref="M83:T83"/>
    <mergeCell ref="M84:N84"/>
    <mergeCell ref="O84:P84"/>
    <mergeCell ref="Q84:R84"/>
    <mergeCell ref="S84:T84"/>
    <mergeCell ref="M99:T99"/>
    <mergeCell ref="M100:N100"/>
    <mergeCell ref="O100:P100"/>
    <mergeCell ref="Q100:R100"/>
    <mergeCell ref="S100:T100"/>
    <mergeCell ref="M114:T114"/>
    <mergeCell ref="M115:N115"/>
    <mergeCell ref="O115:P115"/>
    <mergeCell ref="Q115:R115"/>
    <mergeCell ref="S115:T115"/>
    <mergeCell ref="AC20:AD20"/>
    <mergeCell ref="Y21:Z21"/>
    <mergeCell ref="AA21:AB21"/>
    <mergeCell ref="M51:T51"/>
    <mergeCell ref="M52:N52"/>
    <mergeCell ref="O52:P52"/>
    <mergeCell ref="Q52:R52"/>
    <mergeCell ref="S52:T52"/>
    <mergeCell ref="M35:T35"/>
    <mergeCell ref="M36:N36"/>
    <mergeCell ref="O36:P36"/>
    <mergeCell ref="Q36:R36"/>
    <mergeCell ref="S36:T36"/>
    <mergeCell ref="AD37:AG37"/>
    <mergeCell ref="AD43:AG43"/>
    <mergeCell ref="AD48:AG48"/>
  </mergeCells>
  <phoneticPr fontId="34" type="noConversion"/>
  <pageMargins left="0.7" right="0.7" top="0.75" bottom="0.75" header="0.3" footer="0.3"/>
  <pageSetup orientation="portrait" horizontalDpi="1200" verticalDpi="1200" r:id="rId1"/>
  <headerFooter>
    <oddHeader>&amp;R&amp;F</oddHeader>
    <oddFooter xml:space="preserve">&amp;C_x000D_&amp;1#&amp;"Aptos"&amp;12&amp;K000000 Public </oddFooter>
  </headerFooter>
</worksheet>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 Descriptions</vt:lpstr>
      <vt:lpstr>Selected Data</vt:lpstr>
      <vt:lpstr>Notes</vt:lpstr>
      <vt:lpstr>Instructions</vt:lpstr>
      <vt:lpstr>Summary</vt:lpstr>
      <vt:lpstr>Authorized Rev Req</vt:lpstr>
      <vt:lpstr>Incremental Rev Req</vt:lpstr>
      <vt:lpstr>SAR and RAR</vt:lpstr>
      <vt:lpstr>Res Bill Impact</vt:lpstr>
      <vt:lpstr>SAR and RAR (B-1)</vt:lpstr>
      <vt:lpstr>Bill Impact (B-1)</vt:lpstr>
      <vt:lpstr>Hypothetical Summary</vt:lpstr>
      <vt:lpstr>Hypothetical SAR and RAR (B-1)</vt:lpstr>
      <vt:lpstr>Hypo. Bill Impact (B-1)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Sieren-Smith, Bridget</dc:creator>
  <cp:keywords/>
  <dc:description/>
  <cp:lastModifiedBy>Faith, Jaimee</cp:lastModifiedBy>
  <cp:revision/>
  <dcterms:created xsi:type="dcterms:W3CDTF">2019-06-24T18:17:17Z</dcterms:created>
  <dcterms:modified xsi:type="dcterms:W3CDTF">2026-03-06T22:23:43Z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2023-12-15T18:55:30Z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49e51fb5-51ff-4e68-9846-d4a5ad32aec5</vt:lpwstr>
  </property>
  <property fmtid="{D5CDD505-2E9C-101B-9397-08002B2CF9AE}" pid="8" name="MSIP_Label_64fb56ae-b253-43b2-ae76-5b0fef4d3037_ContentBits">
    <vt:lpwstr>3</vt:lpwstr>
  </property>
</Properties>
</file>